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shares'!$A$1:$FA$215</definedName>
    <definedName name="Expry_Roll___20" localSheetId="17">'NIFTY GRP'!$A$1:$EY$2</definedName>
    <definedName name="fii" localSheetId="18">FII!$A$1:$N$16</definedName>
    <definedName name="_xlnm.Print_Area" localSheetId="14">Disclaimar!$A$1:$A$24</definedName>
    <definedName name="stats__2" localSheetId="15">'Data Vlaue (Cr)'!$A$1:$FB$215</definedName>
  </definedNames>
  <calcPr calcId="144525"/>
</workbook>
</file>

<file path=xl/calcChain.xml><?xml version="1.0" encoding="utf-8"?>
<calcChain xmlns="http://schemas.openxmlformats.org/spreadsheetml/2006/main">
  <c r="F189" i="18" l="1"/>
  <c r="L3" i="21" l="1"/>
  <c r="F155" i="18" l="1"/>
  <c r="F42" i="18"/>
  <c r="F185" i="18"/>
  <c r="F211" i="18"/>
  <c r="F69" i="18"/>
  <c r="F144" i="18"/>
  <c r="F80" i="18"/>
  <c r="F78" i="18"/>
  <c r="F210" i="18"/>
  <c r="F149" i="18"/>
  <c r="F98" i="18"/>
  <c r="F206" i="18"/>
  <c r="F121" i="18"/>
  <c r="F137" i="18"/>
  <c r="F203" i="18"/>
  <c r="F24" i="18"/>
  <c r="F54" i="18"/>
  <c r="F91" i="18"/>
  <c r="F115" i="18"/>
  <c r="F186" i="18"/>
  <c r="F59" i="18"/>
  <c r="F36" i="18"/>
  <c r="F46" i="18"/>
  <c r="F34" i="18"/>
  <c r="F198" i="18"/>
  <c r="F152" i="18"/>
  <c r="F77" i="18"/>
  <c r="F9" i="18"/>
  <c r="F20" i="18"/>
  <c r="F52" i="18"/>
  <c r="F164" i="18"/>
  <c r="F126" i="18"/>
  <c r="F165" i="18"/>
  <c r="F172" i="18"/>
  <c r="F29" i="18"/>
  <c r="F135" i="18"/>
  <c r="F102" i="18"/>
  <c r="F105" i="18"/>
  <c r="F97" i="18"/>
  <c r="F85" i="18"/>
  <c r="F25" i="18"/>
  <c r="F195" i="18"/>
  <c r="F71" i="18"/>
  <c r="F26" i="18"/>
  <c r="F86" i="18"/>
  <c r="F190" i="18"/>
  <c r="F94" i="18"/>
  <c r="F51" i="18"/>
  <c r="F128" i="18"/>
  <c r="F212" i="18"/>
  <c r="F37" i="18"/>
  <c r="F180" i="18"/>
  <c r="F18" i="18"/>
  <c r="F40" i="18"/>
  <c r="F162" i="18"/>
  <c r="F183" i="18"/>
  <c r="F209" i="18"/>
  <c r="F174" i="18"/>
  <c r="F61" i="18"/>
  <c r="F170" i="18"/>
  <c r="F101" i="18"/>
  <c r="F23" i="18"/>
  <c r="F38" i="18"/>
  <c r="F5" i="18"/>
  <c r="F110" i="18"/>
  <c r="F109" i="18"/>
  <c r="F148" i="18"/>
  <c r="F127" i="18"/>
  <c r="F192" i="18"/>
  <c r="F57" i="18"/>
  <c r="F104" i="18"/>
  <c r="F160" i="18"/>
  <c r="F175" i="18"/>
  <c r="F67" i="18"/>
  <c r="F13" i="18"/>
  <c r="F139" i="18"/>
  <c r="F99" i="18"/>
  <c r="F169" i="18"/>
  <c r="F204" i="18"/>
  <c r="F53" i="18"/>
  <c r="F83" i="18"/>
  <c r="F208" i="18"/>
  <c r="F64" i="18"/>
  <c r="F66" i="18"/>
  <c r="F159" i="18"/>
  <c r="F168" i="18"/>
  <c r="F16" i="18"/>
  <c r="F50" i="18"/>
  <c r="F194" i="18"/>
  <c r="F123" i="18"/>
  <c r="F30" i="18"/>
  <c r="F154" i="18"/>
  <c r="F76" i="18"/>
  <c r="F41" i="18"/>
  <c r="F191" i="18"/>
  <c r="F111" i="18"/>
  <c r="F32" i="18"/>
  <c r="F14" i="18"/>
  <c r="F62" i="18"/>
  <c r="F12" i="18"/>
  <c r="F187" i="18"/>
  <c r="F55" i="18"/>
  <c r="F90" i="18"/>
  <c r="F93" i="18"/>
  <c r="F79" i="18"/>
  <c r="F31" i="18"/>
  <c r="F207" i="18"/>
  <c r="F118" i="18"/>
  <c r="F81" i="18"/>
  <c r="F43" i="18"/>
  <c r="F112" i="18"/>
  <c r="F8" i="18"/>
  <c r="F45" i="18"/>
  <c r="F21" i="18"/>
  <c r="F178" i="18"/>
  <c r="F33" i="18"/>
  <c r="F134" i="18"/>
  <c r="F146" i="18"/>
  <c r="F171" i="18"/>
  <c r="F82" i="18"/>
  <c r="F173" i="18"/>
  <c r="F116" i="18"/>
  <c r="F75" i="18"/>
  <c r="F176" i="18"/>
  <c r="F17" i="18"/>
  <c r="F182" i="18"/>
  <c r="F44" i="18"/>
  <c r="F142" i="18"/>
  <c r="F114" i="18"/>
  <c r="F107" i="18"/>
  <c r="F89" i="18"/>
  <c r="F11" i="18"/>
  <c r="F156" i="18"/>
  <c r="F63" i="18"/>
  <c r="F202" i="18"/>
  <c r="F87" i="18"/>
  <c r="F133" i="18"/>
  <c r="F58" i="18"/>
  <c r="F15" i="18"/>
  <c r="F193" i="18"/>
  <c r="F129" i="18"/>
  <c r="F161" i="18"/>
  <c r="F150" i="18"/>
  <c r="F95" i="18"/>
  <c r="F205" i="18"/>
  <c r="F119" i="18"/>
  <c r="F70" i="18"/>
  <c r="F184" i="18"/>
  <c r="F138" i="18"/>
  <c r="F131" i="18"/>
  <c r="F100" i="18"/>
  <c r="F47" i="18"/>
  <c r="F200" i="18"/>
  <c r="F163" i="18"/>
  <c r="F49" i="18"/>
  <c r="F201" i="18"/>
  <c r="F136" i="18"/>
  <c r="F65" i="18"/>
  <c r="F72" i="18"/>
  <c r="F56" i="18"/>
  <c r="F92" i="18"/>
  <c r="F48" i="18"/>
  <c r="F179" i="18"/>
  <c r="F27" i="18"/>
  <c r="F108" i="18"/>
  <c r="F147" i="18"/>
  <c r="F19" i="18"/>
  <c r="F143" i="18"/>
  <c r="F35" i="18"/>
  <c r="F6" i="18"/>
  <c r="F158" i="18"/>
  <c r="F145" i="18"/>
  <c r="F74" i="18"/>
  <c r="F124" i="18"/>
  <c r="F28" i="18"/>
  <c r="F140" i="18"/>
  <c r="F141" i="18"/>
  <c r="F196" i="18"/>
  <c r="F22" i="18"/>
  <c r="F39" i="18"/>
  <c r="F103" i="18"/>
  <c r="F88" i="18"/>
  <c r="F122" i="18"/>
  <c r="F153" i="18"/>
  <c r="F117" i="18"/>
  <c r="F84" i="18"/>
  <c r="F120" i="18"/>
  <c r="F96" i="18"/>
  <c r="F197" i="18"/>
  <c r="F68" i="18"/>
  <c r="F188" i="18"/>
  <c r="F177" i="18"/>
  <c r="F106" i="18"/>
  <c r="F132" i="18"/>
  <c r="F10" i="18"/>
  <c r="F157" i="18"/>
  <c r="F167" i="18"/>
  <c r="F181" i="18"/>
  <c r="F151" i="18"/>
  <c r="F130" i="18"/>
  <c r="F166" i="18"/>
  <c r="F60" i="18"/>
  <c r="F113" i="18"/>
  <c r="F7" i="18"/>
  <c r="F73" i="18"/>
  <c r="F199" i="18"/>
  <c r="L4" i="21" l="1"/>
  <c r="E120"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36" i="18"/>
  <c r="E139" i="18"/>
  <c r="E86" i="18"/>
  <c r="E137" i="18"/>
  <c r="E83" i="18"/>
  <c r="E10" i="18"/>
  <c r="E5" i="18"/>
  <c r="E88" i="18"/>
  <c r="E40" i="18"/>
  <c r="E64" i="18"/>
  <c r="E30" i="18"/>
  <c r="E61" i="18"/>
  <c r="E44" i="18"/>
  <c r="E160" i="18"/>
  <c r="E177" i="18"/>
  <c r="E104" i="18"/>
  <c r="E19" i="18"/>
  <c r="E14" i="18"/>
  <c r="E115" i="18"/>
  <c r="E73" i="18"/>
  <c r="E75" i="18"/>
  <c r="E117" i="18"/>
  <c r="E25" i="18"/>
  <c r="E155" i="18"/>
  <c r="E122" i="18"/>
  <c r="E143" i="18"/>
  <c r="E95" i="18"/>
  <c r="E201" i="18"/>
  <c r="E45" i="18"/>
  <c r="E28" i="18"/>
  <c r="E31" i="18"/>
  <c r="E23" i="18"/>
  <c r="E111" i="18"/>
  <c r="E17" i="18"/>
  <c r="E69" i="18"/>
  <c r="E76" i="18"/>
  <c r="E156" i="18"/>
  <c r="E183" i="18"/>
  <c r="E32" i="18"/>
  <c r="E199" i="18"/>
  <c r="E79" i="18"/>
  <c r="E173" i="18"/>
  <c r="E209" i="18"/>
  <c r="E112" i="18"/>
  <c r="E102" i="18"/>
  <c r="E103" i="18"/>
  <c r="E195" i="18"/>
  <c r="E198" i="18"/>
  <c r="E71" i="18"/>
  <c r="E26" i="18"/>
  <c r="E109" i="18"/>
  <c r="E190" i="18"/>
  <c r="E96" i="18"/>
  <c r="E134" i="18"/>
  <c r="E196" i="18"/>
  <c r="E207" i="18"/>
  <c r="E43" i="18"/>
  <c r="E66" i="18"/>
  <c r="E33" i="18"/>
  <c r="E178" i="18"/>
  <c r="E74" i="18"/>
  <c r="E20" i="18"/>
  <c r="E15" i="18"/>
  <c r="E159" i="18"/>
  <c r="E153" i="18"/>
  <c r="E50" i="18"/>
  <c r="E208" i="18"/>
  <c r="E151" i="18"/>
  <c r="E184" i="18"/>
  <c r="E37" i="18"/>
  <c r="E18" i="18"/>
  <c r="E150" i="18"/>
  <c r="E77" i="18"/>
  <c r="E65" i="18"/>
  <c r="E22" i="18"/>
  <c r="E144" i="18"/>
  <c r="E68" i="18"/>
  <c r="E197" i="18"/>
  <c r="E186" i="18"/>
  <c r="E8" i="18"/>
  <c r="E205" i="18"/>
  <c r="E99" i="18"/>
  <c r="E38" i="18"/>
  <c r="E165" i="18"/>
  <c r="E166" i="18"/>
  <c r="E162" i="18"/>
  <c r="E12" i="18"/>
  <c r="E149" i="18"/>
  <c r="E152" i="18"/>
  <c r="E116" i="18"/>
  <c r="E126" i="18"/>
  <c r="E135" i="18"/>
  <c r="E56" i="18"/>
  <c r="E90" i="18"/>
  <c r="E110" i="18"/>
  <c r="E194" i="18"/>
  <c r="E7" i="18"/>
  <c r="E192" i="18"/>
  <c r="E174" i="18"/>
  <c r="E133" i="18"/>
  <c r="E187" i="18"/>
  <c r="E58" i="18"/>
  <c r="E132" i="18"/>
  <c r="E164" i="18"/>
  <c r="E29" i="18"/>
  <c r="E154" i="18"/>
  <c r="E185" i="18"/>
  <c r="E179" i="18"/>
  <c r="E11" i="18"/>
  <c r="E148" i="18"/>
  <c r="E145" i="18"/>
  <c r="E172" i="18"/>
  <c r="E35" i="18"/>
  <c r="E54" i="18"/>
  <c r="E94" i="18"/>
  <c r="E171" i="18"/>
  <c r="E127" i="18"/>
  <c r="E123" i="18"/>
  <c r="E108" i="18"/>
  <c r="E93" i="18"/>
  <c r="E82" i="18"/>
  <c r="E211" i="18"/>
  <c r="E84" i="18"/>
  <c r="E57" i="18"/>
  <c r="E34" i="18"/>
  <c r="E167" i="18"/>
  <c r="E191" i="18"/>
  <c r="E107" i="18"/>
  <c r="E206" i="18"/>
  <c r="E72" i="18"/>
  <c r="E21" i="18"/>
  <c r="E130" i="18"/>
  <c r="E118" i="18"/>
  <c r="E147" i="18"/>
  <c r="E204" i="18"/>
  <c r="E182" i="18"/>
  <c r="E16" i="18"/>
  <c r="E125" i="18"/>
  <c r="F125" i="18"/>
  <c r="E41" i="18"/>
  <c r="E42" i="18"/>
  <c r="E176" i="18"/>
  <c r="E67" i="18"/>
  <c r="E60" i="18"/>
  <c r="E98" i="18"/>
  <c r="E175" i="18"/>
  <c r="E87" i="18"/>
  <c r="E119" i="18"/>
  <c r="E200" i="18"/>
  <c r="E89" i="18"/>
  <c r="E63" i="18"/>
  <c r="E100" i="18"/>
  <c r="E101" i="18"/>
  <c r="E170" i="18"/>
  <c r="E202" i="18"/>
  <c r="E49" i="18"/>
  <c r="E62" i="18"/>
  <c r="E53" i="18"/>
  <c r="E161" i="18"/>
  <c r="E193" i="18"/>
  <c r="E129" i="18"/>
  <c r="E13" i="18"/>
  <c r="E81" i="18"/>
  <c r="E9" i="18"/>
  <c r="E92" i="18"/>
  <c r="E91" i="18"/>
  <c r="E181" i="18"/>
  <c r="E124" i="18"/>
  <c r="E163" i="18"/>
  <c r="E128" i="18"/>
  <c r="E113" i="18"/>
  <c r="E85" i="18"/>
  <c r="E27" i="18"/>
  <c r="E70" i="18"/>
  <c r="E24" i="18"/>
  <c r="E55" i="18"/>
  <c r="E97" i="18"/>
  <c r="E131" i="18"/>
  <c r="E210" i="18"/>
  <c r="E80" i="18"/>
  <c r="E59" i="18"/>
  <c r="E138" i="18"/>
  <c r="E52" i="18"/>
  <c r="E121" i="18"/>
  <c r="E47" i="18"/>
  <c r="E169" i="18"/>
  <c r="E105" i="18"/>
  <c r="E78" i="18"/>
  <c r="E158" i="18"/>
  <c r="E180" i="18"/>
  <c r="E6" i="18"/>
  <c r="E142" i="18"/>
  <c r="E168" i="18"/>
  <c r="E39" i="18"/>
  <c r="E106" i="18"/>
  <c r="E48" i="18"/>
  <c r="E51" i="18"/>
  <c r="E188"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E171" i="7"/>
  <c r="E113" i="7"/>
  <c r="S75" i="2"/>
  <c r="I100" i="7"/>
  <c r="G72" i="7"/>
  <c r="C72" i="7"/>
  <c r="O72" i="7"/>
  <c r="D72" i="7"/>
  <c r="I72" i="7"/>
  <c r="I12" i="10"/>
  <c r="L18" i="7"/>
  <c r="I183" i="6"/>
  <c r="K169" i="6"/>
  <c r="L52" i="6"/>
  <c r="O52" i="12" s="1"/>
  <c r="M187" i="10"/>
  <c r="L133" i="10"/>
  <c r="H133" i="10"/>
  <c r="D133" i="10"/>
  <c r="O132" i="10"/>
  <c r="J132" i="10"/>
  <c r="E132" i="10"/>
  <c r="J125" i="10"/>
  <c r="N69" i="10"/>
  <c r="O68" i="10"/>
  <c r="L57" i="10"/>
  <c r="M49" i="10"/>
  <c r="F18" i="7"/>
  <c r="E183" i="6"/>
  <c r="I169" i="6"/>
  <c r="M169" i="12" s="1"/>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64" i="12" s="1"/>
  <c r="I21" i="7"/>
  <c r="B18" i="7"/>
  <c r="L183" i="6"/>
  <c r="D183" i="6"/>
  <c r="I181" i="6"/>
  <c r="N177" i="6"/>
  <c r="K176" i="6"/>
  <c r="I170" i="6"/>
  <c r="C169" i="6"/>
  <c r="L131" i="6"/>
  <c r="K130" i="6"/>
  <c r="N122" i="6"/>
  <c r="H109" i="6"/>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L165" i="6"/>
  <c r="F165" i="6"/>
  <c r="C161" i="6"/>
  <c r="I161" i="6"/>
  <c r="F161" i="6"/>
  <c r="E112" i="6"/>
  <c r="L112" i="6"/>
  <c r="O112" i="12" s="1"/>
  <c r="I112" i="6"/>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Q31" i="12" s="1"/>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Q69" i="12" s="1"/>
  <c r="N69" i="6"/>
  <c r="E69" i="6"/>
  <c r="J69" i="6"/>
  <c r="B69" i="6"/>
  <c r="H69" i="6"/>
  <c r="M69" i="6"/>
  <c r="B41" i="6"/>
  <c r="I41" i="6"/>
  <c r="Q41" i="12" s="1"/>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F3" i="21" s="1"/>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G3" i="21" s="1"/>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A172" i="7"/>
  <c r="I172" i="7" s="1"/>
  <c r="I164" i="6"/>
  <c r="Q164" i="12" s="1"/>
  <c r="K164" i="6"/>
  <c r="A164" i="7"/>
  <c r="E164" i="7" s="1"/>
  <c r="B147" i="6"/>
  <c r="F147" i="6"/>
  <c r="I147" i="6"/>
  <c r="M147" i="12" s="1"/>
  <c r="L147" i="6"/>
  <c r="O147" i="12" s="1"/>
  <c r="B135" i="6"/>
  <c r="F135" i="6"/>
  <c r="J135" i="6"/>
  <c r="N135" i="6"/>
  <c r="C135" i="6"/>
  <c r="G135" i="6"/>
  <c r="K135" i="6"/>
  <c r="O135" i="6"/>
  <c r="D135" i="6"/>
  <c r="H135" i="6"/>
  <c r="P135" i="12" s="1"/>
  <c r="L135" i="6"/>
  <c r="B125" i="6"/>
  <c r="E125" i="6"/>
  <c r="H125" i="6"/>
  <c r="J125" i="6"/>
  <c r="A125" i="7"/>
  <c r="E54" i="6"/>
  <c r="J54" i="6"/>
  <c r="A54" i="7"/>
  <c r="I54" i="7" s="1"/>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E36" i="3" s="1"/>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M66" i="12" s="1"/>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H36" i="3" s="1"/>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A147" i="7"/>
  <c r="L147" i="7" s="1"/>
  <c r="E136" i="7"/>
  <c r="C119" i="7"/>
  <c r="F119" i="7"/>
  <c r="C77" i="7"/>
  <c r="D77" i="7"/>
  <c r="O77" i="7"/>
  <c r="G77" i="7"/>
  <c r="I77" i="7"/>
  <c r="E185" i="6"/>
  <c r="I185" i="6"/>
  <c r="M185" i="6"/>
  <c r="B141" i="6"/>
  <c r="L141" i="6"/>
  <c r="O141" i="12" s="1"/>
  <c r="A141" i="7"/>
  <c r="I135" i="6"/>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A160" i="7"/>
  <c r="I160" i="7" s="1"/>
  <c r="B152" i="6"/>
  <c r="I152" i="6"/>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R83" i="12" s="1"/>
  <c r="O83" i="6"/>
  <c r="B51" i="6"/>
  <c r="G51" i="6"/>
  <c r="M51" i="6"/>
  <c r="C51" i="6"/>
  <c r="I51" i="6"/>
  <c r="M51" i="12" s="1"/>
  <c r="N51" i="6"/>
  <c r="E51" i="6"/>
  <c r="O51" i="6"/>
  <c r="F51" i="6"/>
  <c r="J51" i="6"/>
  <c r="E28" i="6"/>
  <c r="A28" i="7"/>
  <c r="K173" i="10"/>
  <c r="E94" i="7"/>
  <c r="F42" i="7"/>
  <c r="K31" i="7"/>
  <c r="M27" i="7"/>
  <c r="G27" i="7"/>
  <c r="O21" i="7"/>
  <c r="C21" i="7"/>
  <c r="M12" i="7"/>
  <c r="N10" i="7"/>
  <c r="K7" i="7"/>
  <c r="G180" i="6"/>
  <c r="M177" i="6"/>
  <c r="E177" i="6"/>
  <c r="I176" i="6"/>
  <c r="M176" i="12" s="1"/>
  <c r="I175" i="6"/>
  <c r="M175" i="12" s="1"/>
  <c r="O173" i="6"/>
  <c r="H171" i="6"/>
  <c r="L163" i="6"/>
  <c r="L161" i="6"/>
  <c r="E161" i="6"/>
  <c r="N155" i="6"/>
  <c r="I155" i="6"/>
  <c r="D155" i="6"/>
  <c r="M153" i="6"/>
  <c r="L151" i="6"/>
  <c r="M149" i="6"/>
  <c r="I138" i="6"/>
  <c r="M138" i="12" s="1"/>
  <c r="G132" i="6"/>
  <c r="E130" i="6"/>
  <c r="M128" i="6"/>
  <c r="C128" i="6"/>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6"/>
  <c r="O60" i="12" s="1"/>
  <c r="E36" i="6"/>
  <c r="C36" i="6"/>
  <c r="I36" i="6"/>
  <c r="M36" i="12" s="1"/>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I3" i="21" s="1"/>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E147" i="5" s="1"/>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E183" i="7"/>
  <c r="I162" i="7"/>
  <c r="M162" i="7"/>
  <c r="N148" i="7"/>
  <c r="F148" i="7"/>
  <c r="O47" i="3"/>
  <c r="G47" i="3"/>
  <c r="J45" i="3"/>
  <c r="P44" i="3"/>
  <c r="M42" i="3"/>
  <c r="F42" i="3"/>
  <c r="Q37" i="3"/>
  <c r="G37" i="3"/>
  <c r="F34" i="3"/>
  <c r="M34" i="3"/>
  <c r="G31" i="3"/>
  <c r="E31" i="5" s="1"/>
  <c r="F31" i="5" s="1"/>
  <c r="G31" i="5" s="1"/>
  <c r="L31" i="3"/>
  <c r="C28" i="3"/>
  <c r="I28" i="3"/>
  <c r="N28" i="3"/>
  <c r="Q26" i="3"/>
  <c r="D26" i="3"/>
  <c r="M23" i="3"/>
  <c r="J21" i="3"/>
  <c r="J13" i="3"/>
  <c r="I9" i="3"/>
  <c r="F9" i="3"/>
  <c r="C189" i="7"/>
  <c r="D189" i="7"/>
  <c r="I189" i="7"/>
  <c r="N189" i="7"/>
  <c r="J163"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E35" i="5" s="1"/>
  <c r="F35" i="5" s="1"/>
  <c r="G35" i="5" s="1"/>
  <c r="C32" i="3"/>
  <c r="I32" i="3"/>
  <c r="N32" i="3"/>
  <c r="Q30" i="3"/>
  <c r="M28" i="3"/>
  <c r="F28" i="3"/>
  <c r="Q27" i="3"/>
  <c r="N26" i="3"/>
  <c r="L23" i="3"/>
  <c r="C21" i="3"/>
  <c r="M18" i="3"/>
  <c r="C16" i="3"/>
  <c r="G16" i="3"/>
  <c r="F13" i="3"/>
  <c r="H13" i="3" s="1"/>
  <c r="G11" i="3"/>
  <c r="F10" i="3"/>
  <c r="L10" i="3"/>
  <c r="D167" i="7"/>
  <c r="C163" i="7"/>
  <c r="H163" i="7"/>
  <c r="F37" i="3"/>
  <c r="N37" i="3"/>
  <c r="I26" i="3"/>
  <c r="P26" i="3"/>
  <c r="C8" i="3"/>
  <c r="I8" i="3"/>
  <c r="N163" i="7"/>
  <c r="C148" i="7"/>
  <c r="G148" i="7"/>
  <c r="C3" i="21" s="1"/>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O144" i="12" s="1"/>
  <c r="G144" i="6"/>
  <c r="M144" i="6"/>
  <c r="I180" i="7"/>
  <c r="M144" i="7"/>
  <c r="E144" i="7"/>
  <c r="L136" i="7"/>
  <c r="H136" i="7"/>
  <c r="K135" i="7"/>
  <c r="M132" i="7"/>
  <c r="G132" i="7"/>
  <c r="B132" i="7"/>
  <c r="L114" i="7"/>
  <c r="K112" i="7"/>
  <c r="K111" i="7"/>
  <c r="G107" i="7"/>
  <c r="M105" i="7"/>
  <c r="M97" i="7"/>
  <c r="M94" i="7"/>
  <c r="L92" i="7"/>
  <c r="M72" i="7"/>
  <c r="K41" i="7"/>
  <c r="M30"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L164" i="5" s="1"/>
  <c r="O164" i="6"/>
  <c r="G164" i="6"/>
  <c r="C157" i="6"/>
  <c r="E157" i="6"/>
  <c r="I157" i="6"/>
  <c r="M157" i="6"/>
  <c r="B151" i="6"/>
  <c r="H151" i="6"/>
  <c r="M151" i="6"/>
  <c r="D151" i="6"/>
  <c r="I151" i="6"/>
  <c r="M151" i="12" s="1"/>
  <c r="N151" i="6"/>
  <c r="E151" i="6"/>
  <c r="J151" i="6"/>
  <c r="C143" i="6"/>
  <c r="L143" i="5" s="1"/>
  <c r="E143" i="6"/>
  <c r="I143" i="6"/>
  <c r="M143" i="6"/>
  <c r="D49" i="7"/>
  <c r="C45" i="7"/>
  <c r="D45" i="7"/>
  <c r="O45" i="7"/>
  <c r="G45" i="7"/>
  <c r="C22" i="7"/>
  <c r="B22" i="7"/>
  <c r="J22" i="7"/>
  <c r="E22" i="7"/>
  <c r="L22" i="7"/>
  <c r="E20" i="7"/>
  <c r="M20" i="7"/>
  <c r="B173" i="6"/>
  <c r="C173" i="6"/>
  <c r="K173" i="6"/>
  <c r="E173" i="6"/>
  <c r="M173" i="6"/>
  <c r="B160" i="6"/>
  <c r="C160" i="6"/>
  <c r="L160" i="5" s="1"/>
  <c r="O160" i="6"/>
  <c r="G160" i="6"/>
  <c r="I160" i="6"/>
  <c r="B149" i="6"/>
  <c r="F149" i="6"/>
  <c r="J149" i="6"/>
  <c r="N149" i="6"/>
  <c r="C149" i="6"/>
  <c r="G149" i="6"/>
  <c r="K149" i="6"/>
  <c r="N149" i="12" s="1"/>
  <c r="O149" i="6"/>
  <c r="D149" i="6"/>
  <c r="H149" i="6"/>
  <c r="L149" i="6"/>
  <c r="B58" i="7"/>
  <c r="F58" i="7"/>
  <c r="L58" i="7"/>
  <c r="C57" i="7"/>
  <c r="D54" i="7"/>
  <c r="E41" i="7"/>
  <c r="C41" i="7"/>
  <c r="M41" i="7"/>
  <c r="G41" i="7"/>
  <c r="M22" i="7"/>
  <c r="C31" i="7"/>
  <c r="C13" i="7"/>
  <c r="I186" i="6"/>
  <c r="M186" i="12" s="1"/>
  <c r="M183" i="6"/>
  <c r="H183" i="6"/>
  <c r="B183" i="6"/>
  <c r="N181" i="6"/>
  <c r="J181" i="6"/>
  <c r="F181" i="6"/>
  <c r="K180" i="6"/>
  <c r="N180" i="12" s="1"/>
  <c r="C180" i="6"/>
  <c r="N175" i="6"/>
  <c r="D175" i="6"/>
  <c r="F163" i="6"/>
  <c r="M161" i="6"/>
  <c r="H161" i="6"/>
  <c r="B161" i="6"/>
  <c r="L159" i="6"/>
  <c r="I156" i="6"/>
  <c r="Q156" i="12" s="1"/>
  <c r="I153" i="6"/>
  <c r="N147" i="6"/>
  <c r="D147" i="6"/>
  <c r="K142" i="6"/>
  <c r="H141" i="6"/>
  <c r="O139" i="6"/>
  <c r="G139" i="6"/>
  <c r="N138" i="6"/>
  <c r="C138" i="6"/>
  <c r="H136" i="6"/>
  <c r="F133" i="6"/>
  <c r="J131" i="6"/>
  <c r="E131" i="6"/>
  <c r="N126" i="6"/>
  <c r="L125" i="6"/>
  <c r="F123" i="6"/>
  <c r="M120" i="6"/>
  <c r="O116" i="6"/>
  <c r="L115" i="6"/>
  <c r="O115" i="12" s="1"/>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O85" i="12" s="1"/>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L116" i="6"/>
  <c r="F115" i="6"/>
  <c r="G107" i="6"/>
  <c r="H105" i="6"/>
  <c r="L105" i="12" s="1"/>
  <c r="M99" i="6"/>
  <c r="H99" i="6"/>
  <c r="L99" i="12" s="1"/>
  <c r="M97" i="6"/>
  <c r="B97" i="6"/>
  <c r="O95" i="6"/>
  <c r="D95" i="6"/>
  <c r="N93" i="6"/>
  <c r="I93" i="6"/>
  <c r="M93" i="12" s="1"/>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L126" i="5" s="1"/>
  <c r="F121" i="6"/>
  <c r="I117" i="6"/>
  <c r="D116" i="6"/>
  <c r="O107" i="6"/>
  <c r="D107" i="6"/>
  <c r="O100" i="6"/>
  <c r="M93" i="6"/>
  <c r="H93" i="6"/>
  <c r="P93" i="12" s="1"/>
  <c r="C92" i="6"/>
  <c r="L92" i="5" s="1"/>
  <c r="E89" i="6"/>
  <c r="B85" i="6"/>
  <c r="H85" i="6"/>
  <c r="P85" i="12" s="1"/>
  <c r="M85" i="6"/>
  <c r="G84" i="6"/>
  <c r="I84" i="6"/>
  <c r="Q84" i="12" s="1"/>
  <c r="M81" i="6"/>
  <c r="B77" i="6"/>
  <c r="H77" i="6"/>
  <c r="M77" i="6"/>
  <c r="G76" i="6"/>
  <c r="I76" i="6"/>
  <c r="O67" i="6"/>
  <c r="D64" i="6"/>
  <c r="G64" i="6"/>
  <c r="K62" i="6"/>
  <c r="S62" i="12" s="1"/>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P20" i="5" s="1"/>
  <c r="C20" i="5"/>
  <c r="K18" i="5"/>
  <c r="N17" i="5"/>
  <c r="O16" i="5"/>
  <c r="C16" i="5"/>
  <c r="K14" i="5"/>
  <c r="N13" i="5"/>
  <c r="O12" i="5"/>
  <c r="P12" i="5" s="1"/>
  <c r="C12" i="5"/>
  <c r="K10" i="5"/>
  <c r="N9" i="5"/>
  <c r="O8" i="5"/>
  <c r="P8" i="5" s="1"/>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M139" i="3"/>
  <c r="Q139" i="3"/>
  <c r="B138" i="3"/>
  <c r="G138" i="3"/>
  <c r="E138" i="5" s="1"/>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F44" i="2" s="1"/>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E95" i="5" s="1"/>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E60" i="3" s="1"/>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H29" i="3" s="1"/>
  <c r="D24" i="3"/>
  <c r="J24" i="3"/>
  <c r="O24" i="3"/>
  <c r="B22" i="3"/>
  <c r="L22" i="3"/>
  <c r="B21" i="3"/>
  <c r="I21" i="3"/>
  <c r="K21" i="3" s="1"/>
  <c r="O21" i="3"/>
  <c r="M20" i="3"/>
  <c r="F20" i="3"/>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I177" i="7"/>
  <c r="O171" i="7"/>
  <c r="K171" i="7"/>
  <c r="G171" i="7"/>
  <c r="C171" i="7"/>
  <c r="I157" i="7"/>
  <c r="F151" i="7"/>
  <c r="K145" i="7"/>
  <c r="E145" i="7"/>
  <c r="O144" i="7"/>
  <c r="K144" i="7"/>
  <c r="G144" i="7"/>
  <c r="C144" i="7"/>
  <c r="I135" i="7"/>
  <c r="N134" i="7"/>
  <c r="B119"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90" i="12" s="1"/>
  <c r="L189" i="6"/>
  <c r="O190" i="12" s="1"/>
  <c r="B189" i="6"/>
  <c r="F189" i="6"/>
  <c r="J189" i="6"/>
  <c r="N189" i="6"/>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D188" i="6"/>
  <c r="E188" i="6"/>
  <c r="M188" i="6"/>
  <c r="G188" i="6"/>
  <c r="O188" i="6"/>
  <c r="C188" i="6"/>
  <c r="K188" i="6"/>
  <c r="N188" i="12" s="1"/>
  <c r="I65" i="7"/>
  <c r="L46" i="7"/>
  <c r="L42" i="7"/>
  <c r="L41" i="7"/>
  <c r="F31" i="7"/>
  <c r="L30" i="7"/>
  <c r="N22" i="7"/>
  <c r="I22" i="7"/>
  <c r="D22" i="7"/>
  <c r="M21" i="7"/>
  <c r="N14" i="7"/>
  <c r="I14" i="7"/>
  <c r="D14" i="7"/>
  <c r="K8" i="7"/>
  <c r="M7" i="7"/>
  <c r="E7" i="7"/>
  <c r="J179" i="6"/>
  <c r="E179" i="6"/>
  <c r="I178" i="6"/>
  <c r="M178" i="12" s="1"/>
  <c r="J175" i="6"/>
  <c r="E175" i="6"/>
  <c r="L173" i="6"/>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L156" i="5" s="1"/>
  <c r="N153" i="6"/>
  <c r="J153" i="6"/>
  <c r="F153" i="6"/>
  <c r="B153" i="6"/>
  <c r="K152" i="6"/>
  <c r="C152" i="6"/>
  <c r="L152" i="5" s="1"/>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L110" i="5" s="1"/>
  <c r="N110" i="6"/>
  <c r="K107" i="6"/>
  <c r="S107" i="12" s="1"/>
  <c r="E107" i="6"/>
  <c r="J105" i="6"/>
  <c r="I104" i="6"/>
  <c r="O103" i="6"/>
  <c r="I103" i="6"/>
  <c r="M103" i="12" s="1"/>
  <c r="C100" i="6"/>
  <c r="B99" i="6"/>
  <c r="F99" i="6"/>
  <c r="J99" i="6"/>
  <c r="N99" i="6"/>
  <c r="L97" i="6"/>
  <c r="O97" i="12" s="1"/>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O123" i="12" s="1"/>
  <c r="B117" i="6"/>
  <c r="H117" i="6"/>
  <c r="M117" i="6"/>
  <c r="C115" i="6"/>
  <c r="G115" i="6"/>
  <c r="K115" i="6"/>
  <c r="O115" i="6"/>
  <c r="D105" i="6"/>
  <c r="I105" i="6"/>
  <c r="M105" i="12" s="1"/>
  <c r="N105" i="6"/>
  <c r="C102" i="6"/>
  <c r="L102" i="5" s="1"/>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O53" i="12" s="1"/>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L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M100" i="12" s="1"/>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P51" i="12" s="1"/>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S39" i="12" s="1"/>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O33" i="12" s="1"/>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P139" i="5"/>
  <c r="K138" i="5"/>
  <c r="K134" i="5"/>
  <c r="K130" i="5"/>
  <c r="K126" i="5"/>
  <c r="K122" i="5"/>
  <c r="K118" i="5"/>
  <c r="K114" i="5"/>
  <c r="K110" i="5"/>
  <c r="O108" i="5"/>
  <c r="C108" i="5"/>
  <c r="P107" i="5"/>
  <c r="K106" i="5"/>
  <c r="O104" i="5"/>
  <c r="C104" i="5"/>
  <c r="K102" i="5"/>
  <c r="O100" i="5"/>
  <c r="C100" i="5"/>
  <c r="K98" i="5"/>
  <c r="O96" i="5"/>
  <c r="C96" i="5"/>
  <c r="K94" i="5"/>
  <c r="O92" i="5"/>
  <c r="C92" i="5"/>
  <c r="K90" i="5"/>
  <c r="O88" i="5"/>
  <c r="C88" i="5"/>
  <c r="K86" i="5"/>
  <c r="O84" i="5"/>
  <c r="C84" i="5"/>
  <c r="K82" i="5"/>
  <c r="O80" i="5"/>
  <c r="C80" i="5"/>
  <c r="K78" i="5"/>
  <c r="O76" i="5"/>
  <c r="C76" i="5"/>
  <c r="K74" i="5"/>
  <c r="O72" i="5"/>
  <c r="P72" i="5" s="1"/>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P149" i="5"/>
  <c r="O146" i="5"/>
  <c r="O142" i="5"/>
  <c r="O138" i="5"/>
  <c r="O134" i="5"/>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K72" i="5"/>
  <c r="O70" i="5"/>
  <c r="K68" i="5"/>
  <c r="O66" i="5"/>
  <c r="K64" i="5"/>
  <c r="O49" i="5"/>
  <c r="P49" i="5" s="1"/>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J3" i="21" s="1"/>
  <c r="P152" i="2"/>
  <c r="C152" i="2"/>
  <c r="H3" i="21" s="1"/>
  <c r="H152" i="2"/>
  <c r="B3" i="21" s="1"/>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E3" i="21" s="1"/>
  <c r="C148" i="2"/>
  <c r="F148" i="2" s="1"/>
  <c r="H148" i="2"/>
  <c r="M148" i="2"/>
  <c r="N148" i="2" s="1"/>
  <c r="O148" i="2" s="1"/>
  <c r="S148" i="2"/>
  <c r="E148" i="2"/>
  <c r="G148" i="2" s="1"/>
  <c r="P148" i="2"/>
  <c r="D3" i="21" s="1"/>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S46" i="2"/>
  <c r="E46" i="2"/>
  <c r="P46" i="2"/>
  <c r="B46" i="2"/>
  <c r="H46" i="2"/>
  <c r="M46" i="2"/>
  <c r="N46" i="2" s="1"/>
  <c r="O46" i="2" s="1"/>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B149" i="2"/>
  <c r="H149" i="2"/>
  <c r="J149" i="2" s="1"/>
  <c r="K149" i="2" s="1"/>
  <c r="M149" i="2"/>
  <c r="R149" i="2"/>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O168" i="3"/>
  <c r="C165" i="3"/>
  <c r="E165" i="3" s="1"/>
  <c r="G165" i="3"/>
  <c r="O165" i="3"/>
  <c r="B165" i="3"/>
  <c r="F165" i="3"/>
  <c r="J165" i="3"/>
  <c r="K165" i="3" s="1"/>
  <c r="N165" i="3"/>
  <c r="J164" i="3"/>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N145" i="3"/>
  <c r="D132" i="3"/>
  <c r="L132" i="3"/>
  <c r="P132" i="3"/>
  <c r="C132" i="3"/>
  <c r="G132" i="3"/>
  <c r="E132" i="5" s="1"/>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E157" i="5" s="1"/>
  <c r="O157" i="3"/>
  <c r="B157" i="3"/>
  <c r="F157" i="3"/>
  <c r="J157" i="3"/>
  <c r="K157" i="3" s="1"/>
  <c r="N157" i="3"/>
  <c r="J156" i="3"/>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J39" i="3"/>
  <c r="N39" i="3"/>
  <c r="M38" i="3"/>
  <c r="P35" i="3"/>
  <c r="C34" i="3"/>
  <c r="G34" i="3"/>
  <c r="O34" i="3"/>
  <c r="M33" i="3"/>
  <c r="G33" i="3"/>
  <c r="E33" i="5" s="1"/>
  <c r="F33" i="5" s="1"/>
  <c r="G33" i="5" s="1"/>
  <c r="P30" i="3"/>
  <c r="J30" i="3"/>
  <c r="K30" i="3" s="1"/>
  <c r="D29" i="3"/>
  <c r="L29" i="3"/>
  <c r="P29" i="3"/>
  <c r="M27" i="3"/>
  <c r="O25" i="3"/>
  <c r="J25" i="3"/>
  <c r="K25" i="3" s="1"/>
  <c r="B23" i="3"/>
  <c r="F23" i="3"/>
  <c r="H23" i="3" s="1"/>
  <c r="J23" i="3"/>
  <c r="N23" i="3"/>
  <c r="M22" i="3"/>
  <c r="P19" i="3"/>
  <c r="C18" i="3"/>
  <c r="G18" i="3"/>
  <c r="O18" i="3"/>
  <c r="M17" i="3"/>
  <c r="G17" i="3"/>
  <c r="E17" i="5" s="1"/>
  <c r="F17" i="5" s="1"/>
  <c r="G17" i="5" s="1"/>
  <c r="P14" i="3"/>
  <c r="J14" i="3"/>
  <c r="K14" i="3" s="1"/>
  <c r="D13" i="3"/>
  <c r="L13" i="3"/>
  <c r="P13" i="3"/>
  <c r="M11" i="3"/>
  <c r="O9" i="3"/>
  <c r="J9" i="3"/>
  <c r="B7" i="3"/>
  <c r="F7" i="3"/>
  <c r="J7" i="3"/>
  <c r="N7" i="3"/>
  <c r="E166" i="5"/>
  <c r="E162" i="5"/>
  <c r="E159" i="5"/>
  <c r="E158" i="5"/>
  <c r="E151" i="5"/>
  <c r="E116" i="5"/>
  <c r="E109" i="5"/>
  <c r="E103" i="5"/>
  <c r="E101" i="5"/>
  <c r="E93" i="5"/>
  <c r="E92" i="5"/>
  <c r="E84" i="5"/>
  <c r="E71" i="5"/>
  <c r="E68" i="5"/>
  <c r="E67" i="5"/>
  <c r="E64"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47" i="5"/>
  <c r="F47" i="5" s="1"/>
  <c r="G47" i="5" s="1"/>
  <c r="E43" i="5"/>
  <c r="F43" i="5" s="1"/>
  <c r="G43"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H162" i="3" s="1"/>
  <c r="N158" i="3"/>
  <c r="J158" i="3"/>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N95" i="3"/>
  <c r="M94" i="3"/>
  <c r="B94" i="3"/>
  <c r="N93" i="3"/>
  <c r="I93" i="3"/>
  <c r="K93" i="3" s="1"/>
  <c r="C93" i="3"/>
  <c r="P91" i="3"/>
  <c r="C90" i="3"/>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O162" i="12" s="1"/>
  <c r="I158" i="6"/>
  <c r="Q158" i="12" s="1"/>
  <c r="B154" i="6"/>
  <c r="F154" i="6"/>
  <c r="J154" i="6"/>
  <c r="N154" i="6"/>
  <c r="C154" i="6"/>
  <c r="G154" i="6"/>
  <c r="K154" i="6"/>
  <c r="S154" i="12" s="1"/>
  <c r="O154" i="6"/>
  <c r="D154" i="6"/>
  <c r="H154" i="6"/>
  <c r="L154" i="12" s="1"/>
  <c r="L154" i="6"/>
  <c r="O154" i="12" s="1"/>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A124" i="7"/>
  <c r="D124" i="6"/>
  <c r="I124" i="6"/>
  <c r="O124" i="6"/>
  <c r="E124" i="6"/>
  <c r="K124" i="6"/>
  <c r="H49" i="5"/>
  <c r="H48" i="5"/>
  <c r="H47" i="5"/>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L134" i="5" s="1"/>
  <c r="M134" i="5" s="1"/>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L106" i="5" s="1"/>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I111" i="12" s="1"/>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12" s="1"/>
  <c r="L174" i="6"/>
  <c r="O174" i="12" s="1"/>
  <c r="B166" i="6"/>
  <c r="F166" i="6"/>
  <c r="J166" i="6"/>
  <c r="N166" i="6"/>
  <c r="C166" i="6"/>
  <c r="G166" i="6"/>
  <c r="K166" i="6"/>
  <c r="O166" i="6"/>
  <c r="D166" i="6"/>
  <c r="H166" i="6"/>
  <c r="L166" i="12" s="1"/>
  <c r="L166" i="6"/>
  <c r="O166" i="12" s="1"/>
  <c r="B158" i="6"/>
  <c r="F158" i="6"/>
  <c r="J158" i="6"/>
  <c r="N158" i="6"/>
  <c r="C158" i="6"/>
  <c r="G158" i="6"/>
  <c r="K158" i="6"/>
  <c r="O158" i="6"/>
  <c r="D158" i="6"/>
  <c r="H158" i="6"/>
  <c r="L158" i="6"/>
  <c r="O158" i="12" s="1"/>
  <c r="B150" i="6"/>
  <c r="F150" i="6"/>
  <c r="J150" i="6"/>
  <c r="N150" i="6"/>
  <c r="C150" i="6"/>
  <c r="G150" i="6"/>
  <c r="K150" i="6"/>
  <c r="O150" i="6"/>
  <c r="D150" i="6"/>
  <c r="H150" i="6"/>
  <c r="L150" i="6"/>
  <c r="O150" i="12" s="1"/>
  <c r="B140" i="6"/>
  <c r="F140" i="6"/>
  <c r="J140" i="6"/>
  <c r="N140" i="6"/>
  <c r="C140" i="6"/>
  <c r="H140" i="6"/>
  <c r="L140" i="12" s="1"/>
  <c r="M140" i="6"/>
  <c r="A140" i="7"/>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L40" i="12" s="1"/>
  <c r="M40" i="6"/>
  <c r="B32" i="6"/>
  <c r="F32" i="6"/>
  <c r="J32" i="6"/>
  <c r="N32" i="6"/>
  <c r="C32" i="6"/>
  <c r="L32" i="5" s="1"/>
  <c r="H32" i="6"/>
  <c r="P32" i="12" s="1"/>
  <c r="M32" i="6"/>
  <c r="E32" i="6"/>
  <c r="K32" i="6"/>
  <c r="O13" i="12"/>
  <c r="M23" i="12"/>
  <c r="O25" i="12"/>
  <c r="M13" i="12"/>
  <c r="M25" i="12"/>
  <c r="M61" i="12"/>
  <c r="L31" i="12"/>
  <c r="O40" i="12"/>
  <c r="M46" i="12"/>
  <c r="L47" i="12"/>
  <c r="M74" i="12"/>
  <c r="M78" i="12"/>
  <c r="M12" i="12"/>
  <c r="O61" i="12"/>
  <c r="O48" i="12"/>
  <c r="O65" i="12"/>
  <c r="M82" i="12"/>
  <c r="M86" i="12"/>
  <c r="M90" i="12"/>
  <c r="M94" i="12"/>
  <c r="M98" i="12"/>
  <c r="O49" i="12"/>
  <c r="M55" i="12"/>
  <c r="O64" i="12"/>
  <c r="M85" i="12"/>
  <c r="O87" i="12"/>
  <c r="M121" i="12"/>
  <c r="M88" i="12"/>
  <c r="M111" i="12"/>
  <c r="M115" i="12"/>
  <c r="O131" i="12"/>
  <c r="M156" i="12"/>
  <c r="M160" i="12"/>
  <c r="O127" i="12"/>
  <c r="O173" i="12"/>
  <c r="M179" i="12"/>
  <c r="N134" i="12"/>
  <c r="N135" i="12"/>
  <c r="L117" i="12"/>
  <c r="M161" i="12"/>
  <c r="M185" i="12"/>
  <c r="M184" i="12"/>
  <c r="M188" i="12"/>
  <c r="L165"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48" i="12"/>
  <c r="D142" i="6"/>
  <c r="H142" i="6"/>
  <c r="L142" i="6"/>
  <c r="O142" i="12" s="1"/>
  <c r="C137" i="6"/>
  <c r="G137" i="6"/>
  <c r="K137" i="6"/>
  <c r="R137" i="12" s="1"/>
  <c r="O137" i="6"/>
  <c r="Q132" i="12"/>
  <c r="B132" i="6"/>
  <c r="F132" i="6"/>
  <c r="J132" i="6"/>
  <c r="N132" i="6"/>
  <c r="D126" i="6"/>
  <c r="H126" i="6"/>
  <c r="P126" i="12" s="1"/>
  <c r="L126" i="6"/>
  <c r="O126" i="12" s="1"/>
  <c r="Q121" i="12"/>
  <c r="C121" i="6"/>
  <c r="G121" i="6"/>
  <c r="K121" i="6"/>
  <c r="O121" i="6"/>
  <c r="B116" i="6"/>
  <c r="F116" i="6"/>
  <c r="J116" i="6"/>
  <c r="N116" i="6"/>
  <c r="D110" i="6"/>
  <c r="H110" i="6"/>
  <c r="P110" i="12" s="1"/>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L172" i="12" s="1"/>
  <c r="D172" i="6"/>
  <c r="O171" i="6"/>
  <c r="K171" i="6"/>
  <c r="G171" i="6"/>
  <c r="C171" i="6"/>
  <c r="S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35" i="12"/>
  <c r="S127" i="12"/>
  <c r="R127" i="12"/>
  <c r="P119" i="12"/>
  <c r="Q115" i="12"/>
  <c r="S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P31" i="12"/>
  <c r="O29" i="6"/>
  <c r="K29" i="6"/>
  <c r="G29" i="6"/>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B190" i="12"/>
  <c r="F190" i="12"/>
  <c r="J190"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D188" i="12"/>
  <c r="B184" i="12"/>
  <c r="F184" i="12"/>
  <c r="N184" i="12"/>
  <c r="D184" i="12"/>
  <c r="B180" i="12"/>
  <c r="F180" i="12"/>
  <c r="D180" i="12"/>
  <c r="B176" i="12"/>
  <c r="F176" i="12"/>
  <c r="N176" i="12"/>
  <c r="D176" i="12"/>
  <c r="M172" i="12"/>
  <c r="E172" i="12"/>
  <c r="E168" i="12"/>
  <c r="E164" i="12"/>
  <c r="C162" i="12"/>
  <c r="G162" i="12"/>
  <c r="D162" i="12"/>
  <c r="L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L160" i="12"/>
  <c r="D160" i="12"/>
  <c r="G159" i="12"/>
  <c r="D156" i="12"/>
  <c r="O155" i="12"/>
  <c r="G155" i="12"/>
  <c r="D152" i="12"/>
  <c r="G151" i="12"/>
  <c r="F150" i="12"/>
  <c r="B150" i="12"/>
  <c r="D148" i="12"/>
  <c r="G147" i="12"/>
  <c r="F146" i="12"/>
  <c r="B146" i="12"/>
  <c r="P144" i="12"/>
  <c r="L144" i="12"/>
  <c r="D144" i="12"/>
  <c r="R142"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S112" i="12"/>
  <c r="B110" i="12"/>
  <c r="F110" i="12"/>
  <c r="R110" i="12"/>
  <c r="D110" i="12"/>
  <c r="S108" i="12"/>
  <c r="B106" i="12"/>
  <c r="F106" i="12"/>
  <c r="D106" i="12"/>
  <c r="B102" i="12"/>
  <c r="F102" i="12"/>
  <c r="N102" i="12"/>
  <c r="R102" i="12"/>
  <c r="D102" i="12"/>
  <c r="D142" i="12"/>
  <c r="B140" i="12"/>
  <c r="F140" i="12"/>
  <c r="C133" i="12"/>
  <c r="G133" i="12"/>
  <c r="D126" i="12"/>
  <c r="B124" i="12"/>
  <c r="F124" i="12"/>
  <c r="D120" i="12"/>
  <c r="P120" i="12"/>
  <c r="B120" i="12"/>
  <c r="F120" i="12"/>
  <c r="D116" i="12"/>
  <c r="B116" i="12"/>
  <c r="F116" i="12"/>
  <c r="D112" i="12"/>
  <c r="P112" i="12"/>
  <c r="B112" i="12"/>
  <c r="F112" i="12"/>
  <c r="N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L96" i="12"/>
  <c r="B96" i="12"/>
  <c r="F96" i="12"/>
  <c r="N96" i="12"/>
  <c r="R96" i="12"/>
  <c r="G150" i="12"/>
  <c r="G146" i="12"/>
  <c r="S142" i="12"/>
  <c r="N142" i="12"/>
  <c r="C142" i="12"/>
  <c r="C141" i="12"/>
  <c r="G141" i="12"/>
  <c r="D140" i="12"/>
  <c r="D134" i="12"/>
  <c r="P134" i="12"/>
  <c r="D133" i="12"/>
  <c r="B132" i="12"/>
  <c r="F132" i="12"/>
  <c r="S126" i="12"/>
  <c r="C126" i="12"/>
  <c r="C125" i="12"/>
  <c r="G125" i="12"/>
  <c r="D124" i="12"/>
  <c r="E120" i="12"/>
  <c r="E116" i="12"/>
  <c r="M112" i="12"/>
  <c r="E112" i="12"/>
  <c r="M108"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P76" i="12"/>
  <c r="E76" i="12"/>
  <c r="D73" i="12"/>
  <c r="B71" i="12"/>
  <c r="F71" i="12"/>
  <c r="D71" i="12"/>
  <c r="G69" i="12"/>
  <c r="R68" i="12"/>
  <c r="D60" i="12"/>
  <c r="L60" i="12"/>
  <c r="P60" i="12"/>
  <c r="B60" i="12"/>
  <c r="G60" i="12"/>
  <c r="E60" i="12"/>
  <c r="Q52" i="12"/>
  <c r="N51" i="12"/>
  <c r="D77" i="12"/>
  <c r="L77" i="12"/>
  <c r="P77" i="12"/>
  <c r="B75" i="12"/>
  <c r="F75" i="12"/>
  <c r="B66" i="12"/>
  <c r="F66" i="12"/>
  <c r="E66" i="12"/>
  <c r="C66" i="12"/>
  <c r="C51" i="12"/>
  <c r="G51" i="12"/>
  <c r="S51" i="12"/>
  <c r="B51" i="12"/>
  <c r="R51" i="12"/>
  <c r="E51" i="12"/>
  <c r="B50" i="12"/>
  <c r="F50" i="12"/>
  <c r="N50" i="12"/>
  <c r="R50" i="12"/>
  <c r="D50" i="12"/>
  <c r="E50" i="12"/>
  <c r="C50" i="12"/>
  <c r="S50" i="12"/>
  <c r="F98" i="12"/>
  <c r="F94" i="12"/>
  <c r="D92" i="12"/>
  <c r="R90" i="12"/>
  <c r="F90" i="12"/>
  <c r="D88" i="12"/>
  <c r="R86" i="12"/>
  <c r="N86" i="12"/>
  <c r="F86" i="12"/>
  <c r="D84" i="12"/>
  <c r="D81" i="12"/>
  <c r="B79" i="12"/>
  <c r="F79" i="12"/>
  <c r="E77" i="12"/>
  <c r="P75" i="12"/>
  <c r="E75" i="12"/>
  <c r="N68" i="12"/>
  <c r="C67" i="12"/>
  <c r="G67" i="12"/>
  <c r="S67" i="12"/>
  <c r="B67" i="12"/>
  <c r="E67" i="12"/>
  <c r="N59" i="12"/>
  <c r="B58" i="12"/>
  <c r="F58" i="12"/>
  <c r="N58" i="12"/>
  <c r="R58" i="12"/>
  <c r="C58" i="12"/>
  <c r="H58" i="12"/>
  <c r="S58" i="12"/>
  <c r="E58" i="12"/>
  <c r="K58" i="12"/>
  <c r="D52" i="12"/>
  <c r="L52" i="12"/>
  <c r="P52" i="12"/>
  <c r="E52" i="12"/>
  <c r="B52" i="12"/>
  <c r="G52" i="12"/>
  <c r="M52" i="12"/>
  <c r="S92" i="12"/>
  <c r="G92" i="12"/>
  <c r="G88" i="12"/>
  <c r="G84" i="12"/>
  <c r="C77" i="12"/>
  <c r="C76" i="12"/>
  <c r="G76" i="12"/>
  <c r="D75" i="12"/>
  <c r="D69" i="12"/>
  <c r="L69" i="12"/>
  <c r="P69" i="12"/>
  <c r="B69" i="12"/>
  <c r="F69" i="12"/>
  <c r="D68" i="12"/>
  <c r="E68" i="12"/>
  <c r="S68" i="12"/>
  <c r="B68" i="12"/>
  <c r="G68" i="12"/>
  <c r="M68" i="12"/>
  <c r="Q68" i="12"/>
  <c r="G66" i="12"/>
  <c r="C59" i="12"/>
  <c r="G59" i="12"/>
  <c r="O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G72" i="12"/>
  <c r="C64" i="12"/>
  <c r="C63" i="12"/>
  <c r="G63" i="12"/>
  <c r="O63" i="12"/>
  <c r="D62" i="12"/>
  <c r="D56" i="12"/>
  <c r="N55" i="12"/>
  <c r="D55" i="12"/>
  <c r="B54" i="12"/>
  <c r="F54" i="12"/>
  <c r="N54" i="12"/>
  <c r="R54" i="12"/>
  <c r="C48" i="12"/>
  <c r="C47" i="12"/>
  <c r="G47" i="12"/>
  <c r="O47" i="12"/>
  <c r="D46" i="12"/>
  <c r="R44" i="12"/>
  <c r="G44" i="12"/>
  <c r="E43" i="12"/>
  <c r="D40" i="12"/>
  <c r="P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N12" i="12"/>
  <c r="R12" i="12"/>
  <c r="D12" i="12"/>
  <c r="B8" i="12"/>
  <c r="F8" i="12"/>
  <c r="D8" i="12"/>
  <c r="O35" i="12"/>
  <c r="G35" i="12"/>
  <c r="G31" i="12"/>
  <c r="S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M126" i="5" l="1"/>
  <c r="H171" i="3"/>
  <c r="P163" i="5"/>
  <c r="H148" i="12"/>
  <c r="J148" i="12"/>
  <c r="E155" i="7"/>
  <c r="R88" i="12"/>
  <c r="Q138" i="12"/>
  <c r="L89" i="12"/>
  <c r="L155" i="7"/>
  <c r="M54" i="7"/>
  <c r="O68" i="7"/>
  <c r="P105" i="12"/>
  <c r="O54" i="7"/>
  <c r="H155" i="7"/>
  <c r="F73" i="7"/>
  <c r="J55" i="2"/>
  <c r="K55" i="2" s="1"/>
  <c r="J67" i="2"/>
  <c r="K67" i="2" s="1"/>
  <c r="J60" i="2"/>
  <c r="K60" i="2" s="1"/>
  <c r="H54" i="7"/>
  <c r="K54" i="7"/>
  <c r="D155" i="7"/>
  <c r="H110" i="3"/>
  <c r="P119" i="5"/>
  <c r="B54" i="7"/>
  <c r="F158" i="7"/>
  <c r="C54" i="7"/>
  <c r="K158" i="7"/>
  <c r="P134" i="5"/>
  <c r="K64" i="3"/>
  <c r="D183" i="7"/>
  <c r="S35" i="12"/>
  <c r="L13" i="12"/>
  <c r="D158" i="7"/>
  <c r="I183" i="12"/>
  <c r="G158" i="7"/>
  <c r="E117" i="3"/>
  <c r="H92" i="3"/>
  <c r="Q66" i="12"/>
  <c r="I158" i="7"/>
  <c r="I158" i="12" s="1"/>
  <c r="J80" i="12"/>
  <c r="C158" i="7"/>
  <c r="J32" i="2"/>
  <c r="K32" i="2" s="1"/>
  <c r="M33" i="5"/>
  <c r="M49" i="5"/>
  <c r="N158" i="7"/>
  <c r="H39" i="3"/>
  <c r="O80" i="7"/>
  <c r="F183" i="7"/>
  <c r="P87" i="5"/>
  <c r="L80" i="7"/>
  <c r="H20" i="3"/>
  <c r="O146" i="7"/>
  <c r="E146" i="7"/>
  <c r="H59" i="3"/>
  <c r="E57" i="3"/>
  <c r="N54" i="7"/>
  <c r="F68" i="7"/>
  <c r="J54" i="7"/>
  <c r="K72" i="12"/>
  <c r="N184" i="2"/>
  <c r="O184" i="2" s="1"/>
  <c r="N50" i="2"/>
  <c r="O50" i="2" s="1"/>
  <c r="H24" i="3"/>
  <c r="F155" i="7"/>
  <c r="P22" i="5"/>
  <c r="Q169" i="12"/>
  <c r="I53" i="7"/>
  <c r="B33" i="7"/>
  <c r="H98" i="7"/>
  <c r="N69" i="7"/>
  <c r="K95" i="12"/>
  <c r="F25" i="7"/>
  <c r="L35" i="7"/>
  <c r="M90" i="7"/>
  <c r="H160" i="7"/>
  <c r="M88" i="5"/>
  <c r="E29" i="5"/>
  <c r="F29" i="5" s="1"/>
  <c r="G29" i="5" s="1"/>
  <c r="N33" i="2"/>
  <c r="O33" i="2" s="1"/>
  <c r="N94" i="2"/>
  <c r="O94" i="2" s="1"/>
  <c r="I98" i="7"/>
  <c r="E80" i="7"/>
  <c r="G117" i="7"/>
  <c r="M164" i="7"/>
  <c r="O13" i="7"/>
  <c r="N68" i="7"/>
  <c r="L183" i="7"/>
  <c r="I13" i="7"/>
  <c r="I13" i="12" s="1"/>
  <c r="K91" i="7"/>
  <c r="J91" i="12" s="1"/>
  <c r="G96" i="14"/>
  <c r="N62" i="12"/>
  <c r="Q27" i="12"/>
  <c r="K98" i="7"/>
  <c r="I35" i="7"/>
  <c r="J53" i="7"/>
  <c r="D35" i="7"/>
  <c r="E90" i="3"/>
  <c r="K122" i="3"/>
  <c r="K156" i="3"/>
  <c r="L25" i="7"/>
  <c r="K25" i="12" s="1"/>
  <c r="K20" i="3"/>
  <c r="K88" i="7"/>
  <c r="J88" i="12" s="1"/>
  <c r="F134" i="7"/>
  <c r="M158" i="7"/>
  <c r="O155" i="7"/>
  <c r="B183" i="7"/>
  <c r="I96" i="7"/>
  <c r="O88" i="7"/>
  <c r="H134" i="7"/>
  <c r="G35" i="7"/>
  <c r="E28" i="3"/>
  <c r="D33" i="7"/>
  <c r="L104" i="12"/>
  <c r="R24" i="12"/>
  <c r="N156" i="12"/>
  <c r="L135" i="12"/>
  <c r="I90" i="7"/>
  <c r="C98" i="7"/>
  <c r="H13" i="7"/>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N104" i="2"/>
  <c r="O104" i="2" s="1"/>
  <c r="N13" i="7"/>
  <c r="O134" i="7"/>
  <c r="H77" i="3"/>
  <c r="F46" i="2"/>
  <c r="J180" i="2"/>
  <c r="K180" i="2" s="1"/>
  <c r="M13" i="7"/>
  <c r="M51" i="7"/>
  <c r="D24" i="7"/>
  <c r="E73" i="7"/>
  <c r="N88" i="7"/>
  <c r="C183" i="7"/>
  <c r="E155" i="3"/>
  <c r="E35" i="7"/>
  <c r="K155" i="7"/>
  <c r="D61" i="7"/>
  <c r="R26" i="12"/>
  <c r="J13" i="7"/>
  <c r="H51" i="7"/>
  <c r="H51" i="12" s="1"/>
  <c r="K50" i="3"/>
  <c r="K78" i="3"/>
  <c r="N145" i="2"/>
  <c r="O145" i="2" s="1"/>
  <c r="J51" i="7"/>
  <c r="K24" i="7"/>
  <c r="F91" i="7"/>
  <c r="N96" i="7"/>
  <c r="G88" i="7"/>
  <c r="I88" i="7"/>
  <c r="F88" i="7"/>
  <c r="G183" i="7"/>
  <c r="J52" i="7"/>
  <c r="M25" i="7"/>
  <c r="J158" i="7"/>
  <c r="C73" i="7"/>
  <c r="B158" i="7"/>
  <c r="G162" i="14"/>
  <c r="G26" i="14"/>
  <c r="M146" i="12"/>
  <c r="M106" i="5"/>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S83" i="12"/>
  <c r="B13" i="7"/>
  <c r="I25" i="7"/>
  <c r="I51" i="7"/>
  <c r="I51" i="12" s="1"/>
  <c r="E90" i="7"/>
  <c r="C134" i="7"/>
  <c r="K90" i="7"/>
  <c r="M53" i="7"/>
  <c r="E98" i="7"/>
  <c r="K158" i="3"/>
  <c r="L6" i="3"/>
  <c r="C53" i="7"/>
  <c r="E96" i="7"/>
  <c r="F96" i="7"/>
  <c r="L88" i="7"/>
  <c r="K88" i="12" s="1"/>
  <c r="D134" i="7"/>
  <c r="I155" i="7"/>
  <c r="O183" i="7"/>
  <c r="K147" i="3"/>
  <c r="M35" i="7"/>
  <c r="H25" i="7"/>
  <c r="I91" i="7"/>
  <c r="B90" i="7"/>
  <c r="N190" i="2"/>
  <c r="O190" i="2" s="1"/>
  <c r="R47" i="12"/>
  <c r="O103" i="12"/>
  <c r="L101" i="12"/>
  <c r="I117" i="7"/>
  <c r="I117" i="12" s="1"/>
  <c r="O25" i="7"/>
  <c r="E53" i="7"/>
  <c r="J90" i="7"/>
  <c r="G90" i="7"/>
  <c r="N25" i="7"/>
  <c r="J98" i="7"/>
  <c r="H180" i="12"/>
  <c r="J157" i="5"/>
  <c r="K95" i="3"/>
  <c r="I6" i="3"/>
  <c r="N113" i="2"/>
  <c r="O113" i="2" s="1"/>
  <c r="K96" i="7"/>
  <c r="J96" i="12" s="1"/>
  <c r="B96" i="7"/>
  <c r="H88" i="7"/>
  <c r="M88" i="7"/>
  <c r="I134" i="7"/>
  <c r="N155" i="7"/>
  <c r="G25" i="7"/>
  <c r="M183" i="7"/>
  <c r="F52" i="2"/>
  <c r="P146" i="12"/>
  <c r="P172" i="12"/>
  <c r="R154" i="12"/>
  <c r="P124" i="12"/>
  <c r="N154" i="12"/>
  <c r="P30" i="12"/>
  <c r="S69" i="12"/>
  <c r="P159" i="5"/>
  <c r="O172" i="12"/>
  <c r="B233" i="2"/>
  <c r="L10" i="7"/>
  <c r="M56" i="5"/>
  <c r="L32" i="12"/>
  <c r="S137" i="12"/>
  <c r="L110" i="12"/>
  <c r="O104" i="12"/>
  <c r="P102" i="12"/>
  <c r="S116" i="12"/>
  <c r="L98" i="12"/>
  <c r="N137" i="12"/>
  <c r="S155" i="12"/>
  <c r="H48" i="3"/>
  <c r="L109" i="12"/>
  <c r="O107" i="12"/>
  <c r="S150" i="12"/>
  <c r="Q124" i="12"/>
  <c r="S162" i="12"/>
  <c r="K111" i="12"/>
  <c r="R145" i="12"/>
  <c r="L108" i="5"/>
  <c r="O105" i="12"/>
  <c r="R100" i="12"/>
  <c r="L107" i="12"/>
  <c r="O153" i="12"/>
  <c r="P157" i="12"/>
  <c r="P123" i="12"/>
  <c r="L100" i="5"/>
  <c r="R131" i="12"/>
  <c r="O121" i="12"/>
  <c r="J111" i="12"/>
  <c r="R148" i="12"/>
  <c r="M173" i="12"/>
  <c r="O151" i="12"/>
  <c r="N160" i="12"/>
  <c r="E117" i="5"/>
  <c r="O135" i="12"/>
  <c r="M122" i="12"/>
  <c r="Q112" i="12"/>
  <c r="O109" i="12"/>
  <c r="L121" i="12"/>
  <c r="S124" i="12"/>
  <c r="L124" i="5"/>
  <c r="M124" i="5" s="1"/>
  <c r="L146" i="5"/>
  <c r="R170" i="12"/>
  <c r="H111" i="12"/>
  <c r="E128" i="5"/>
  <c r="O117" i="12"/>
  <c r="L116" i="5"/>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L137" i="12"/>
  <c r="S140" i="12"/>
  <c r="L140" i="5"/>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2"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D117" i="7"/>
  <c r="C51" i="7"/>
  <c r="D91" i="7"/>
  <c r="J127" i="7"/>
  <c r="E15" i="7"/>
  <c r="L127" i="7"/>
  <c r="D51" i="7"/>
  <c r="C62" i="7"/>
  <c r="B188" i="7"/>
  <c r="H170" i="7"/>
  <c r="H170" i="12" s="1"/>
  <c r="J49" i="2"/>
  <c r="K49" i="2" s="1"/>
  <c r="F89" i="2"/>
  <c r="N105" i="2"/>
  <c r="O105" i="2" s="1"/>
  <c r="P108" i="5"/>
  <c r="I15" i="7"/>
  <c r="O8" i="7"/>
  <c r="F51" i="7"/>
  <c r="D16" i="7"/>
  <c r="O24" i="7"/>
  <c r="N91" i="7"/>
  <c r="E60" i="7"/>
  <c r="C84" i="7"/>
  <c r="I118" i="7"/>
  <c r="I170" i="7"/>
  <c r="P36" i="5"/>
  <c r="M16" i="7"/>
  <c r="E52" i="7"/>
  <c r="M38" i="7"/>
  <c r="F38" i="7"/>
  <c r="H65" i="7"/>
  <c r="H65" i="12" s="1"/>
  <c r="C65" i="7"/>
  <c r="I33" i="7"/>
  <c r="C8" i="7"/>
  <c r="N181" i="7"/>
  <c r="J69" i="7"/>
  <c r="J182" i="12"/>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K171" i="12"/>
  <c r="R123" i="12"/>
  <c r="S128" i="12"/>
  <c r="P159" i="12"/>
  <c r="K117" i="7"/>
  <c r="F69" i="7"/>
  <c r="H171" i="12"/>
  <c r="J86" i="5"/>
  <c r="K13" i="3"/>
  <c r="H74" i="3"/>
  <c r="K170" i="7"/>
  <c r="J170" i="12" s="1"/>
  <c r="G61" i="2"/>
  <c r="C24" i="7"/>
  <c r="J43" i="7"/>
  <c r="B91" i="7"/>
  <c r="G187" i="2"/>
  <c r="G123" i="14"/>
  <c r="E38" i="7"/>
  <c r="D52" i="7"/>
  <c r="I60" i="7"/>
  <c r="F62" i="7"/>
  <c r="J118" i="7"/>
  <c r="L52" i="7"/>
  <c r="H86" i="7"/>
  <c r="J169" i="7"/>
  <c r="G33" i="7"/>
  <c r="F127" i="7"/>
  <c r="E117" i="7"/>
  <c r="S34" i="12"/>
  <c r="S152" i="12"/>
  <c r="O118" i="7"/>
  <c r="B69" i="7"/>
  <c r="H181" i="12"/>
  <c r="K78" i="7"/>
  <c r="J78" i="12" s="1"/>
  <c r="H31" i="3"/>
  <c r="E74" i="3"/>
  <c r="G170" i="7"/>
  <c r="E25" i="3"/>
  <c r="F121" i="2"/>
  <c r="G167" i="14"/>
  <c r="P66" i="5"/>
  <c r="G52" i="7"/>
  <c r="K11" i="7"/>
  <c r="N60" i="7"/>
  <c r="K60" i="7"/>
  <c r="J60" i="12" s="1"/>
  <c r="N123" i="7"/>
  <c r="K129" i="3"/>
  <c r="N38" i="7"/>
  <c r="C52" i="7"/>
  <c r="C60" i="7"/>
  <c r="E62" i="7"/>
  <c r="E86" i="7"/>
  <c r="F167" i="7"/>
  <c r="I188" i="7"/>
  <c r="I188" i="12" s="1"/>
  <c r="N136" i="2"/>
  <c r="O136" i="2" s="1"/>
  <c r="F86" i="7"/>
  <c r="M170" i="7"/>
  <c r="M52" i="7"/>
  <c r="K127" i="7"/>
  <c r="E33" i="7"/>
  <c r="L33" i="7"/>
  <c r="Q97" i="12"/>
  <c r="R69" i="12"/>
  <c r="R128" i="12"/>
  <c r="R152" i="12"/>
  <c r="R25" i="12"/>
  <c r="K15" i="7"/>
  <c r="O38" i="7"/>
  <c r="K118" i="7"/>
  <c r="H117" i="7"/>
  <c r="G188" i="7"/>
  <c r="C170" i="7"/>
  <c r="E27" i="3"/>
  <c r="K164" i="3"/>
  <c r="N85" i="2"/>
  <c r="O85" i="2" s="1"/>
  <c r="F106" i="2"/>
  <c r="P84" i="5"/>
  <c r="K52" i="7"/>
  <c r="J52" i="12" s="1"/>
  <c r="C11" i="7"/>
  <c r="G60" i="7"/>
  <c r="N24" i="7"/>
  <c r="J60" i="7"/>
  <c r="D129" i="7"/>
  <c r="K56" i="3"/>
  <c r="E170" i="3"/>
  <c r="M67" i="5"/>
  <c r="I38" i="7"/>
  <c r="L65" i="7"/>
  <c r="K65" i="12" s="1"/>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J38" i="12" s="1"/>
  <c r="D62" i="7"/>
  <c r="G118" i="7"/>
  <c r="H69" i="7"/>
  <c r="H69" i="12" s="1"/>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E69" i="7"/>
  <c r="C118" i="7"/>
  <c r="J63" i="12"/>
  <c r="N117" i="7"/>
  <c r="M69" i="7"/>
  <c r="K77" i="3"/>
  <c r="H188" i="7"/>
  <c r="H189" i="12" s="1"/>
  <c r="N170" i="7"/>
  <c r="K188" i="7"/>
  <c r="F61" i="2"/>
  <c r="N169" i="2"/>
  <c r="O169" i="2" s="1"/>
  <c r="G157" i="14"/>
  <c r="F24" i="7"/>
  <c r="E181" i="7"/>
  <c r="M8" i="7"/>
  <c r="D65" i="7"/>
  <c r="E129" i="7"/>
  <c r="O51" i="7"/>
  <c r="D181" i="7"/>
  <c r="H33" i="7"/>
  <c r="D86" i="7"/>
  <c r="O117" i="7"/>
  <c r="D127" i="7"/>
  <c r="R126" i="12"/>
  <c r="R106" i="12"/>
  <c r="N15" i="7"/>
  <c r="D69" i="7"/>
  <c r="N127" i="7"/>
  <c r="N33" i="7"/>
  <c r="C38" i="7"/>
  <c r="N62" i="7"/>
  <c r="K69" i="7"/>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I86" i="12" s="1"/>
  <c r="E51" i="7"/>
  <c r="H64" i="3"/>
  <c r="K28" i="3"/>
  <c r="I181" i="7"/>
  <c r="I180" i="12" s="1"/>
  <c r="M33" i="7"/>
  <c r="K129" i="7"/>
  <c r="E91" i="7"/>
  <c r="K33" i="7"/>
  <c r="J33" i="12" s="1"/>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K51" i="7"/>
  <c r="J51" i="12" s="1"/>
  <c r="B99" i="7"/>
  <c r="M143" i="5"/>
  <c r="N86" i="7"/>
  <c r="G51" i="7"/>
  <c r="B181" i="7"/>
  <c r="L38" i="7"/>
  <c r="K38" i="12" s="1"/>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J100" i="12" s="1"/>
  <c r="D100" i="7"/>
  <c r="K171" i="3"/>
  <c r="L90" i="7"/>
  <c r="K90" i="12" s="1"/>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G78" i="7"/>
  <c r="F89" i="7"/>
  <c r="H178" i="7"/>
  <c r="G137" i="2"/>
  <c r="F134" i="2"/>
  <c r="O16" i="7"/>
  <c r="E43" i="7"/>
  <c r="K55" i="7"/>
  <c r="J55" i="12" s="1"/>
  <c r="E16" i="7"/>
  <c r="C121" i="7"/>
  <c r="C89" i="7"/>
  <c r="E89" i="7"/>
  <c r="F123" i="7"/>
  <c r="M77" i="5"/>
  <c r="H43" i="7"/>
  <c r="G87" i="7"/>
  <c r="D123" i="7"/>
  <c r="C78" i="7"/>
  <c r="B89" i="7"/>
  <c r="N121" i="7"/>
  <c r="D178" i="7"/>
  <c r="K16" i="7"/>
  <c r="J16" i="12" s="1"/>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J123" i="12" s="1"/>
  <c r="L55" i="7"/>
  <c r="K55" i="12" s="1"/>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O87" i="7"/>
  <c r="M133" i="7"/>
  <c r="F178" i="7"/>
  <c r="J174" i="2"/>
  <c r="K174" i="2" s="1"/>
  <c r="L16" i="7"/>
  <c r="K16" i="12" s="1"/>
  <c r="I55" i="7"/>
  <c r="I55" i="12" s="1"/>
  <c r="C123" i="7"/>
  <c r="L133" i="7"/>
  <c r="K133" i="12" s="1"/>
  <c r="M186" i="7"/>
  <c r="N124" i="12"/>
  <c r="H87" i="7"/>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H49" i="12" s="1"/>
  <c r="G49" i="7"/>
  <c r="O163" i="7"/>
  <c r="O175" i="7"/>
  <c r="P81" i="5"/>
  <c r="G116" i="7"/>
  <c r="P107" i="12"/>
  <c r="L111" i="12"/>
  <c r="O97" i="7"/>
  <c r="C49" i="7"/>
  <c r="K163" i="7"/>
  <c r="E182" i="7"/>
  <c r="L109" i="7"/>
  <c r="J175" i="7"/>
  <c r="F111" i="7"/>
  <c r="P80" i="5"/>
  <c r="G37" i="7"/>
  <c r="I97" i="7"/>
  <c r="D177" i="7"/>
  <c r="G163" i="7"/>
  <c r="I182" i="7"/>
  <c r="I182" i="12" s="1"/>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K37" i="12" s="1"/>
  <c r="F175" i="7"/>
  <c r="F154" i="7"/>
  <c r="F116" i="7"/>
  <c r="M171" i="12"/>
  <c r="M39" i="5"/>
  <c r="L57" i="7"/>
  <c r="K57" i="12" s="1"/>
  <c r="E163" i="7"/>
  <c r="I37" i="7"/>
  <c r="G109" i="7"/>
  <c r="L118" i="7"/>
  <c r="K118" i="12" s="1"/>
  <c r="M175" i="7"/>
  <c r="F177" i="7"/>
  <c r="S167" i="12"/>
  <c r="J162" i="5"/>
  <c r="N49" i="2"/>
  <c r="O49" i="2" s="1"/>
  <c r="P104" i="5"/>
  <c r="E57" i="7"/>
  <c r="O49" i="7"/>
  <c r="H175" i="7"/>
  <c r="H175" i="12" s="1"/>
  <c r="M163" i="7"/>
  <c r="D37" i="7"/>
  <c r="I163" i="7"/>
  <c r="O109" i="7"/>
  <c r="K175" i="7"/>
  <c r="B175" i="7"/>
  <c r="C97" i="7"/>
  <c r="L20" i="12"/>
  <c r="J31" i="5"/>
  <c r="F69" i="2"/>
  <c r="I170" i="12"/>
  <c r="K57" i="7"/>
  <c r="J57" i="12" s="1"/>
  <c r="I49" i="7"/>
  <c r="L175" i="7"/>
  <c r="K175" i="12" s="1"/>
  <c r="F163" i="7"/>
  <c r="L163" i="7"/>
  <c r="K163" i="12" s="1"/>
  <c r="C37" i="7"/>
  <c r="L177" i="7"/>
  <c r="E97" i="7"/>
  <c r="D13" i="28"/>
  <c r="D12" i="28"/>
  <c r="G153" i="2"/>
  <c r="E158" i="3"/>
  <c r="F179" i="2"/>
  <c r="K53" i="3"/>
  <c r="E142" i="3"/>
  <c r="F153" i="2"/>
  <c r="S85" i="12"/>
  <c r="J153" i="2"/>
  <c r="K153" i="2" s="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I70" i="12" s="1"/>
  <c r="E161" i="7"/>
  <c r="J179" i="7"/>
  <c r="H44" i="3"/>
  <c r="K131" i="7"/>
  <c r="M161" i="7"/>
  <c r="M131" i="7"/>
  <c r="M10" i="7"/>
  <c r="C161" i="7"/>
  <c r="O131" i="7"/>
  <c r="K116" i="7"/>
  <c r="C26" i="7"/>
  <c r="G18" i="2"/>
  <c r="J83" i="2"/>
  <c r="K83" i="2" s="1"/>
  <c r="D70" i="7"/>
  <c r="J161" i="7"/>
  <c r="F179" i="7"/>
  <c r="I26" i="7"/>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I131" i="12" s="1"/>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H125" i="7"/>
  <c r="H125" i="12" s="1"/>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E137" i="7"/>
  <c r="I157" i="12"/>
  <c r="I137" i="7"/>
  <c r="I137" i="12" s="1"/>
  <c r="K154" i="12"/>
  <c r="D137" i="7"/>
  <c r="H162" i="12"/>
  <c r="M137" i="7"/>
  <c r="K112" i="12"/>
  <c r="H154" i="12"/>
  <c r="C137" i="7"/>
  <c r="H112" i="12"/>
  <c r="H132" i="12"/>
  <c r="H137" i="7"/>
  <c r="H137" i="12" s="1"/>
  <c r="J162" i="12"/>
  <c r="H144" i="12"/>
  <c r="K162" i="12"/>
  <c r="L148" i="12"/>
  <c r="K66" i="3"/>
  <c r="Q42" i="12"/>
  <c r="M42" i="12"/>
  <c r="C153" i="7"/>
  <c r="O153" i="7"/>
  <c r="I153" i="7"/>
  <c r="I153" i="12" s="1"/>
  <c r="B153" i="7"/>
  <c r="F153" i="7"/>
  <c r="J153" i="7"/>
  <c r="M153" i="7"/>
  <c r="H40" i="3"/>
  <c r="E40" i="5"/>
  <c r="F40" i="5" s="1"/>
  <c r="G40" i="5" s="1"/>
  <c r="I141" i="7"/>
  <c r="I141" i="12" s="1"/>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J17" i="12" s="1"/>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H50" i="7"/>
  <c r="H50" i="12" s="1"/>
  <c r="I62" i="12"/>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H96" i="12"/>
  <c r="C50" i="7"/>
  <c r="F61" i="7"/>
  <c r="C146" i="7"/>
  <c r="F129" i="7"/>
  <c r="H146" i="7"/>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102" i="5"/>
  <c r="F25" i="2"/>
  <c r="F105" i="2"/>
  <c r="J138" i="2"/>
  <c r="K138" i="2" s="1"/>
  <c r="D50" i="7"/>
  <c r="I80" i="7"/>
  <c r="I80" i="12" s="1"/>
  <c r="H129" i="7"/>
  <c r="H129" i="12" s="1"/>
  <c r="K99" i="7"/>
  <c r="G44" i="2"/>
  <c r="H68" i="7"/>
  <c r="H68" i="12" s="1"/>
  <c r="I167" i="7"/>
  <c r="I166" i="12" s="1"/>
  <c r="C169" i="7"/>
  <c r="N108" i="2"/>
  <c r="O108" i="2" s="1"/>
  <c r="F8" i="7"/>
  <c r="B146" i="7"/>
  <c r="I176" i="7"/>
  <c r="I175" i="12" s="1"/>
  <c r="N84" i="7"/>
  <c r="K173" i="3"/>
  <c r="G100" i="14"/>
  <c r="G132" i="14"/>
  <c r="K63" i="12"/>
  <c r="J62" i="12"/>
  <c r="J67" i="12"/>
  <c r="J94" i="12"/>
  <c r="H77" i="12"/>
  <c r="H60" i="12"/>
  <c r="M89" i="5"/>
  <c r="L181" i="12"/>
  <c r="K87" i="12"/>
  <c r="I106" i="7"/>
  <c r="I106" i="12" s="1"/>
  <c r="H151" i="12"/>
  <c r="H59"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K80" i="12"/>
  <c r="M104" i="12"/>
  <c r="K96"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H88" i="12"/>
  <c r="K100" i="12"/>
  <c r="M61" i="7"/>
  <c r="I67" i="12"/>
  <c r="O73" i="7"/>
  <c r="D126" i="7"/>
  <c r="J43" i="5"/>
  <c r="I92" i="12"/>
  <c r="H70" i="12"/>
  <c r="J73" i="7"/>
  <c r="D176" i="7"/>
  <c r="J126" i="5"/>
  <c r="E11" i="5"/>
  <c r="F11" i="5" s="1"/>
  <c r="G11" i="5" s="1"/>
  <c r="K94" i="3"/>
  <c r="G21" i="14"/>
  <c r="P146" i="5"/>
  <c r="B80" i="7"/>
  <c r="F163" i="2"/>
  <c r="G57" i="14"/>
  <c r="H8" i="7"/>
  <c r="H8" i="12" s="1"/>
  <c r="B68" i="7"/>
  <c r="M126" i="7"/>
  <c r="D17" i="28" s="1"/>
  <c r="K68" i="7"/>
  <c r="J68" i="12" s="1"/>
  <c r="B167" i="7"/>
  <c r="D8" i="7"/>
  <c r="K167" i="7"/>
  <c r="J167" i="12" s="1"/>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B85" i="7"/>
  <c r="J124" i="5"/>
  <c r="J129" i="5"/>
  <c r="F90" i="2"/>
  <c r="D120" i="7"/>
  <c r="K108" i="3"/>
  <c r="J20" i="2"/>
  <c r="K20" i="2" s="1"/>
  <c r="L156" i="7"/>
  <c r="K156" i="12" s="1"/>
  <c r="M156" i="7"/>
  <c r="J20" i="12"/>
  <c r="P14" i="12"/>
  <c r="J26" i="12"/>
  <c r="P99" i="12"/>
  <c r="I85" i="7"/>
  <c r="I85" i="12" s="1"/>
  <c r="H86" i="3"/>
  <c r="B2" i="28"/>
  <c r="J35" i="2"/>
  <c r="K35" i="2" s="1"/>
  <c r="N108" i="7"/>
  <c r="I120" i="7"/>
  <c r="L85" i="7"/>
  <c r="K85" i="12" s="1"/>
  <c r="H16" i="12"/>
  <c r="J8" i="12"/>
  <c r="J86" i="12"/>
  <c r="P140" i="12"/>
  <c r="M85" i="5"/>
  <c r="R107" i="12"/>
  <c r="S161" i="12"/>
  <c r="N63" i="12"/>
  <c r="O85" i="7"/>
  <c r="K86" i="12"/>
  <c r="H85" i="3"/>
  <c r="H70" i="3"/>
  <c r="N53" i="2"/>
  <c r="O53" i="2" s="1"/>
  <c r="P82" i="5"/>
  <c r="I108" i="7"/>
  <c r="I108" i="12" s="1"/>
  <c r="O120" i="7"/>
  <c r="E179" i="3"/>
  <c r="I156" i="7"/>
  <c r="I156" i="12" s="1"/>
  <c r="L120" i="7"/>
  <c r="K120" i="12" s="1"/>
  <c r="K31" i="12"/>
  <c r="H14" i="12"/>
  <c r="J22" i="12"/>
  <c r="H86"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J54" i="12"/>
  <c r="O76" i="12"/>
  <c r="J120" i="12"/>
  <c r="J118" i="12"/>
  <c r="M43" i="5"/>
  <c r="E85" i="7"/>
  <c r="F142" i="2"/>
  <c r="O75" i="7"/>
  <c r="H76" i="7"/>
  <c r="H76" i="12" s="1"/>
  <c r="H108" i="7"/>
  <c r="F156" i="7"/>
  <c r="K108" i="7"/>
  <c r="J108" i="12" s="1"/>
  <c r="C156" i="7"/>
  <c r="B76" i="7"/>
  <c r="G108" i="7"/>
  <c r="G75" i="7"/>
  <c r="O108" i="7"/>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3" i="2"/>
  <c r="O164" i="12"/>
  <c r="N171" i="12"/>
  <c r="L176" i="12"/>
  <c r="L185" i="12"/>
  <c r="B231"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O99" i="12"/>
  <c r="M183" i="12"/>
  <c r="I169"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M46"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2"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F168" i="7"/>
  <c r="O168" i="7"/>
  <c r="E168" i="7"/>
  <c r="M168" i="7"/>
  <c r="H167" i="12"/>
  <c r="L168" i="7"/>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H141" i="12"/>
  <c r="J105" i="12"/>
  <c r="H105" i="12"/>
  <c r="P114" i="5"/>
  <c r="B104" i="7"/>
  <c r="B168" i="7"/>
  <c r="G82" i="2"/>
  <c r="H179" i="3"/>
  <c r="E134" i="3"/>
  <c r="H128" i="7"/>
  <c r="H128" i="12" s="1"/>
  <c r="K39" i="7"/>
  <c r="J42" i="12" s="1"/>
  <c r="B39" i="7"/>
  <c r="J39" i="7"/>
  <c r="I39" i="7"/>
  <c r="I39" i="12" s="1"/>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I100" i="12"/>
  <c r="J103" i="12"/>
  <c r="J139" i="7"/>
  <c r="G92" i="2"/>
  <c r="F92" i="2"/>
  <c r="F115" i="7"/>
  <c r="L115" i="7"/>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R99" i="12"/>
  <c r="M61" i="5"/>
  <c r="M140" i="5"/>
  <c r="H107" i="12"/>
  <c r="N126" i="7"/>
  <c r="J20" i="5"/>
  <c r="I145" i="12"/>
  <c r="I159" i="12"/>
  <c r="H163"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B17" i="28" s="1"/>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C15" i="28" s="1"/>
  <c r="G149" i="14"/>
  <c r="M23" i="5"/>
  <c r="O150" i="7"/>
  <c r="H157" i="12"/>
  <c r="J44" i="5"/>
  <c r="K152" i="12"/>
  <c r="H159" i="12"/>
  <c r="G126" i="7"/>
  <c r="D15" i="28" s="1"/>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63" i="12"/>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D16" i="28" s="1"/>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J133" i="12"/>
  <c r="C147" i="7"/>
  <c r="J19" i="5"/>
  <c r="H9" i="7"/>
  <c r="H9" i="12" s="1"/>
  <c r="E66" i="7"/>
  <c r="D147" i="7"/>
  <c r="J106" i="5"/>
  <c r="F186" i="7"/>
  <c r="E105" i="3"/>
  <c r="H163" i="3"/>
  <c r="F66" i="7"/>
  <c r="K147" i="7"/>
  <c r="J155" i="12" s="1"/>
  <c r="E146" i="3"/>
  <c r="N193" i="2"/>
  <c r="O193" i="2" s="1"/>
  <c r="G186" i="7"/>
  <c r="S171" i="12"/>
  <c r="Q29" i="12"/>
  <c r="L141" i="12"/>
  <c r="C66" i="7"/>
  <c r="N110" i="7"/>
  <c r="I147" i="7"/>
  <c r="J189" i="12"/>
  <c r="D9" i="7"/>
  <c r="J66" i="7"/>
  <c r="F143" i="5"/>
  <c r="G143" i="5" s="1"/>
  <c r="B186" i="7"/>
  <c r="I66" i="7"/>
  <c r="I71" i="12" s="1"/>
  <c r="O186" i="7"/>
  <c r="K146" i="12"/>
  <c r="J141" i="12"/>
  <c r="Q28" i="12"/>
  <c r="L139" i="12"/>
  <c r="L65" i="12"/>
  <c r="N87" i="12"/>
  <c r="N147" i="7"/>
  <c r="I109" i="12"/>
  <c r="O9" i="7"/>
  <c r="K178" i="3"/>
  <c r="L186" i="7"/>
  <c r="K186" i="12" s="1"/>
  <c r="G26" i="2"/>
  <c r="P110" i="5"/>
  <c r="H16" i="3"/>
  <c r="I65" i="12"/>
  <c r="N66" i="7"/>
  <c r="H187" i="12"/>
  <c r="G119" i="14"/>
  <c r="P24" i="12"/>
  <c r="Q50" i="12"/>
  <c r="R66" i="12"/>
  <c r="N150" i="12"/>
  <c r="J188" i="12"/>
  <c r="S87" i="12"/>
  <c r="L95" i="12"/>
  <c r="I184" i="12"/>
  <c r="K9" i="7"/>
  <c r="J10" i="12" s="1"/>
  <c r="H186" i="7"/>
  <c r="H186" i="12" s="1"/>
  <c r="E62" i="3"/>
  <c r="G13" i="2"/>
  <c r="D66" i="7"/>
  <c r="M9" i="7"/>
  <c r="H10" i="12"/>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I187" i="12"/>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J127" i="12"/>
  <c r="J119" i="12"/>
  <c r="H136" i="12"/>
  <c r="H119" i="12"/>
  <c r="H55" i="12"/>
  <c r="K53" i="12"/>
  <c r="H53" i="12"/>
  <c r="K49" i="12"/>
  <c r="H41" i="12"/>
  <c r="I26" i="12"/>
  <c r="I18" i="12"/>
  <c r="I10" i="12"/>
  <c r="H27" i="12"/>
  <c r="H19" i="12"/>
  <c r="H11" i="12"/>
  <c r="K56" i="12"/>
  <c r="H25" i="12"/>
  <c r="K30" i="12"/>
  <c r="K22" i="12"/>
  <c r="K14" i="12"/>
  <c r="I49" i="12"/>
  <c r="I33" i="12"/>
  <c r="I17" i="12"/>
  <c r="K33"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J129" i="12"/>
  <c r="I120" i="12"/>
  <c r="I112" i="12"/>
  <c r="K131" i="12"/>
  <c r="H123" i="12"/>
  <c r="H117" i="12"/>
  <c r="K135" i="12"/>
  <c r="I135" i="12"/>
  <c r="I119" i="12"/>
  <c r="K52" i="12"/>
  <c r="H57" i="12"/>
  <c r="K48" i="12"/>
  <c r="J31" i="12"/>
  <c r="J23" i="12"/>
  <c r="J15" i="12"/>
  <c r="J7" i="12"/>
  <c r="H38" i="12"/>
  <c r="J25" i="12"/>
  <c r="J53" i="12"/>
  <c r="J37" i="12"/>
  <c r="H21" i="12"/>
  <c r="J47" i="12"/>
  <c r="J41" i="12"/>
  <c r="H37" i="12"/>
  <c r="I20" i="12"/>
  <c r="I12" i="12"/>
  <c r="I45" i="12"/>
  <c r="I29"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B15" i="28"/>
  <c r="E210" i="6"/>
  <c r="C210" i="6"/>
  <c r="N151" i="12"/>
  <c r="L61" i="12"/>
  <c r="M45" i="12"/>
  <c r="H191" i="5"/>
  <c r="H192" i="5" s="1"/>
  <c r="J37" i="5"/>
  <c r="K138" i="12"/>
  <c r="H135" i="12"/>
  <c r="J117" i="12"/>
  <c r="I122" i="12"/>
  <c r="K134" i="12"/>
  <c r="J48" i="12"/>
  <c r="H54" i="12"/>
  <c r="H45" i="12"/>
  <c r="I56" i="12"/>
  <c r="I47" i="12"/>
  <c r="I38" i="12"/>
  <c r="I30" i="12"/>
  <c r="I22" i="12"/>
  <c r="I14" i="12"/>
  <c r="H31" i="12"/>
  <c r="H23" i="12"/>
  <c r="H15" i="12"/>
  <c r="H7" i="12"/>
  <c r="H33" i="12"/>
  <c r="H17" i="12"/>
  <c r="H4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13"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K121" i="12" l="1"/>
  <c r="I189"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<sst xmlns="http://schemas.openxmlformats.org/spreadsheetml/2006/main" count="3356" uniqueCount="692">
  <si>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</si>
  <si>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</si>
  <si>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</si>
  <si>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</si>
  <si>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</si>
  <si>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</si>
  <si>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</si>
  <si>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</si>
  <si>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</si>
  <si>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</si>
  <si>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</si>
  <si>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</si>
  <si>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</si>
  <si>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</si>
  <si>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</si>
  <si>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</si>
  <si>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</si>
  <si>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</si>
  <si>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</si>
  <si>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</si>
  <si>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</si>
  <si>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</si>
  <si>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</si>
  <si>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</si>
  <si>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</si>
  <si>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</si>
  <si>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</si>
  <si>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</si>
  <si>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</si>
  <si>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</si>
  <si>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</si>
  <si>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</si>
  <si>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</si>
  <si>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</si>
  <si>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</si>
  <si>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</si>
  <si>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</si>
  <si>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</si>
  <si>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</si>
  <si>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</si>
  <si>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</si>
  <si>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</si>
  <si>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</si>
  <si>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</si>
  <si>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</si>
  <si>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</si>
  <si>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</si>
  <si>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</si>
  <si>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</si>
  <si>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</si>
  <si>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</si>
  <si>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</si>
  <si>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</si>
  <si>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</si>
  <si>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</si>
  <si>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</si>
  <si>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</si>
  <si>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</si>
  <si>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</si>
  <si>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</si>
  <si>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</si>
  <si>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</si>
  <si>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</si>
  <si>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</si>
  <si>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</si>
  <si>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</si>
  <si>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</si>
  <si>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</si>
  <si>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</si>
  <si>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</si>
  <si>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</si>
  <si>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</si>
  <si>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</si>
  <si>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</si>
  <si>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</si>
  <si>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</si>
  <si>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</si>
  <si>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</si>
  <si>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</si>
  <si>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</si>
  <si>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</si>
  <si>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</si>
  <si>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</si>
  <si>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</si>
  <si>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</si>
  <si>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</si>
  <si>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</si>
  <si>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</si>
  <si>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</si>
  <si>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</si>
  <si>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</si>
  <si>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</si>
  <si>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</si>
  <si>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</si>
  <si>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</si>
  <si>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</si>
  <si>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</si>
  <si>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</si>
  <si>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</si>
  <si>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</si>
  <si>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</si>
  <si>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</si>
  <si>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</si>
  <si>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</si>
  <si>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</si>
  <si>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</si>
  <si>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</si>
  <si>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</si>
  <si>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</si>
  <si>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</si>
  <si>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</si>
  <si>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</si>
  <si>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</si>
  <si>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</si>
  <si>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</si>
  <si>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</si>
  <si>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</si>
  <si>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</si>
  <si>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</si>
  <si>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</si>
  <si>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</si>
  <si>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</si>
  <si>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</si>
  <si>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</si>
  <si>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</si>
  <si>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</si>
  <si>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</si>
  <si>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</si>
  <si>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</si>
  <si>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</si>
  <si>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</si>
  <si>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</si>
  <si>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</si>
  <si>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</si>
  <si>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</si>
  <si>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</si>
  <si>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</si>
  <si>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</si>
  <si>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</si>
  <si>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</si>
  <si>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</si>
  <si>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</si>
  <si>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</si>
  <si>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</si>
  <si>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</si>
  <si>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</si>
  <si>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</si>
  <si>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</si>
  <si>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</si>
  <si>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</si>
  <si>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</si>
  <si>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</si>
  <si>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</si>
  <si>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</si>
  <si>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</si>
  <si>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</si>
  <si>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</si>
  <si>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</si>
  <si>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</si>
  <si>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</si>
  <si>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</si>
  <si>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</si>
  <si>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</si>
  <si>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</si>
  <si>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</si>
  <si>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</si>
  <si>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</si>
  <si>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</si>
  <si>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</si>
  <si>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</si>
  <si>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</si>
  <si>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</si>
  <si>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</si>
  <si>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</si>
  <si>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</si>
  <si>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</si>
  <si>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</si>
  <si>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</si>
  <si>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</si>
  <si>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</si>
  <si>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</si>
  <si>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</si>
  <si>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</si>
  <si>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</si>
  <si>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</si>
  <si>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</si>
  <si>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</si>
  <si>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</si>
  <si>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</si>
  <si>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</si>
  <si>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</si>
  <si>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</si>
  <si>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</si>
  <si>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</si>
  <si>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</si>
  <si>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</si>
  <si>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</si>
  <si>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</si>
  <si>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</si>
  <si>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</si>
  <si>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</si>
  <si>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</si>
  <si>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</si>
  <si>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</si>
  <si>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</si>
  <si>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</si>
  <si>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</si>
  <si>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</si>
  <si>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</si>
  <si>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</si>
  <si>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</si>
  <si>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</si>
  <si>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</si>
  <si>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</si>
  <si>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</si>
  <si>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</si>
  <si>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</si>
  <si>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</si>
  <si>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</si>
  <si>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</si>
  <si>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</si>
  <si>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</si>
  <si>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</si>
  <si>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</si>
  <si>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</si>
  <si>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</si>
  <si>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</si>
  <si>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</si>
  <si>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</si>
  <si>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</si>
  <si>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</si>
  <si>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</si>
  <si>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</si>
  <si>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</si>
  <si>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</si>
  <si>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</si>
  <si>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</si>
  <si>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</si>
  <si>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</si>
  <si>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</si>
  <si>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</si>
  <si>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</si>
  <si>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</si>
  <si>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</si>
  <si>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</si>
  <si>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</si>
  <si>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</si>
  <si>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</si>
  <si>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</si>
  <si>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</si>
  <si>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</si>
  <si>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</si>
  <si>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</si>
  <si>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</si>
  <si>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</si>
  <si>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</si>
  <si>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</si>
  <si>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</si>
  <si>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</si>
  <si>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</si>
  <si>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</si>
  <si>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</si>
  <si>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</si>
  <si>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</si>
  <si>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</si>
  <si>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</si>
  <si>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</si>
  <si>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</si>
  <si>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</si>
  <si>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</si>
  <si>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</si>
  <si>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</si>
  <si>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</si>
  <si>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</si>
  <si>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</si>
  <si>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</si>
  <si>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</si>
  <si>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</si>
  <si>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</si>
  <si>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</si>
  <si>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</si>
  <si>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</si>
  <si>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</si>
  <si>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</si>
  <si>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</si>
  <si>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</si>
  <si>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</si>
  <si>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</si>
  <si>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</si>
  <si>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</si>
  <si>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</si>
  <si>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</si>
  <si>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</si>
  <si>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</si>
  <si>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</si>
  <si>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</si>
  <si>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</si>
  <si>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</si>
  <si>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</si>
  <si>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</si>
  <si>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</si>
  <si>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</si>
  <si>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</si>
  <si>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</si>
  <si>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</si>
  <si>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</si>
  <si>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</si>
  <si>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</si>
  <si>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</si>
  <si>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</si>
  <si>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</si>
  <si>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</si>
  <si>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</si>
  <si>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</si>
  <si>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</si>
  <si>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</si>
  <si>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</si>
  <si>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</si>
  <si>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</si>
  <si>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</si>
  <si>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</si>
  <si>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</si>
  <si>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</si>
  <si>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</si>
  <si>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</si>
  <si>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</si>
  <si>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</si>
  <si>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</si>
  <si>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</si>
  <si>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</si>
  <si>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</si>
  <si>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</si>
  <si>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</si>
  <si>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</si>
  <si>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</si>
  <si>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</si>
  <si>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</si>
  <si>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</si>
  <si>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</si>
  <si>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</si>
  <si>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</si>
  <si>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</si>
  <si>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</si>
  <si>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</si>
  <si>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</si>
  <si>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</si>
  <si>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</si>
  <si>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</si>
  <si>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</si>
  <si>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</si>
  <si>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</si>
  <si>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</si>
  <si>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</si>
  <si>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</si>
  <si>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</si>
  <si>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</si>
  <si>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</si>
  <si>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</si>
  <si>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</si>
  <si>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</si>
  <si>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</si>
  <si>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</si>
  <si>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</si>
  <si>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</si>
  <si>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</si>
  <si>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</si>
  <si>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</si>
  <si>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</si>
  <si>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</si>
  <si>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</si>
  <si>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</si>
  <si>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</si>
  <si>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</si>
  <si>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</si>
  <si>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</si>
  <si>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</si>
  <si>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</si>
  <si>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</si>
  <si>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</si>
  <si>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</si>
  <si>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</si>
  <si>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</si>
  <si>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</si>
  <si>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</si>
  <si>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</si>
  <si>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</si>
  <si>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</si>
  <si>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</si>
  <si>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</si>
  <si>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</si>
  <si>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</si>
  <si>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</si>
  <si>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</si>
  <si>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</si>
  <si>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</si>
  <si>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</si>
  <si>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</si>
  <si>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</si>
  <si>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</si>
  <si>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</si>
  <si>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</si>
  <si>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</si>
  <si>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</si>
  <si>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</si>
  <si>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</si>
  <si>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</si>
  <si>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</si>
  <si>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</si>
  <si>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</si>
  <si>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</si>
  <si>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</si>
  <si>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</si>
  <si>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</si>
  <si>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</si>
  <si>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</si>
  <si>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</si>
  <si>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</si>
  <si>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</si>
  <si>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</si>
  <si>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</si>
  <si>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</si>
  <si>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</si>
  <si>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</si>
  <si>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</si>
  <si>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</si>
  <si>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</si>
  <si>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</si>
  <si>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</si>
  <si>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</si>
  <si>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</si>
  <si>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</si>
  <si>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</si>
  <si>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</si>
  <si>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</si>
  <si>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</si>
  <si>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</si>
  <si>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</si>
  <si>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</si>
  <si>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</si>
  <si>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</si>
  <si>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</si>
  <si>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</si>
  <si>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</si>
  <si>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</si>
  <si>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</si>
  <si>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</si>
  <si>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</si>
  <si>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</si>
  <si>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</si>
  <si>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</si>
  <si>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</si>
  <si>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</si>
  <si>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</si>
  <si>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</si>
  <si>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</si>
  <si>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</si>
  <si>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</si>
  <si>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</si>
  <si>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</si>
  <si>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</si>
  <si>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</si>
  <si>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</si>
  <si>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</si>
  <si>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</si>
  <si>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</si>
  <si>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</si>
  <si>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</si>
  <si>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</si>
  <si>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</si>
  <si>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</si>
  <si>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</si>
  <si>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</si>
  <si>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</si>
  <si>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</si>
  <si>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</si>
  <si>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</si>
  <si>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</si>
  <si>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</si>
  <si>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</si>
  <si>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</si>
  <si>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</si>
  <si>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</si>
  <si>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</si>
  <si>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</si>
  <si>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</si>
  <si>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</si>
  <si>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</si>
  <si>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</si>
  <si>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</si>
  <si>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</si>
  <si>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</si>
  <si>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</si>
  <si>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</si>
  <si>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</si>
  <si>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</si>
  <si>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</si>
  <si>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</si>
  <si>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</si>
  <si>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</si>
  <si>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</si>
  <si>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</si>
  <si>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</si>
  <si>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</si>
  <si>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</si>
  <si>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</si>
  <si>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</si>
  <si>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</si>
  <si>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</si>
  <si>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</si>
  <si>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</si>
  <si>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</si>
  <si>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</si>
  <si>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</si>
  <si>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</si>
  <si>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</si>
  <si>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</si>
  <si>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</si>
  <si>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</si>
  <si>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</si>
  <si>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</si>
  <si>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</si>
  <si>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</si>
  <si>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</si>
  <si>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</si>
  <si>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</si>
  <si>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</si>
  <si>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</si>
  <si>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</si>
  <si>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</si>
  <si>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</si>
  <si>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</si>
  <si>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</si>
  <si>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</si>
  <si>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</si>
  <si>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</si>
  <si>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</si>
  <si>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</si>
  <si>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</si>
  <si>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</si>
  <si>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</si>
  <si>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</si>
  <si>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</si>
  <si>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</si>
  <si>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</si>
  <si>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</si>
  <si>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</si>
  <si>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</si>
  <si>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</si>
  <si>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</si>
  <si>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</si>
  <si>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</si>
  <si>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</si>
  <si>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</si>
  <si>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</si>
  <si>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</si>
  <si>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</si>
  <si>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</si>
  <si>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</si>
  <si>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</si>
  <si>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</si>
  <si>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</si>
  <si>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</si>
  <si>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</si>
  <si>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</si>
  <si>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</si>
  <si>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</si>
  <si>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</si>
  <si>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</si>
  <si>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</si>
  <si>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</si>
  <si>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</si>
  <si>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</si>
  <si>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</si>
  <si>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</si>
  <si>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</si>
  <si>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</si>
  <si>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</si>
  <si>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</si>
  <si>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</si>
  <si>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</si>
  <si>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</si>
  <si>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</si>
  <si>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</si>
  <si>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</si>
  <si>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</si>
  <si>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</si>
  <si>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</si>
  <si>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</si>
  <si>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</si>
  <si>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</si>
  <si>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</si>
  <si>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</si>
  <si>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</si>
  <si>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</si>
  <si>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</si>
  <si>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</si>
  <si>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</si>
  <si>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</si>
  <si>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</si>
  <si>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</si>
  <si>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</si>
  <si>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</si>
  <si>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</si>
  <si>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</si>
  <si>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</si>
  <si>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</si>
  <si>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</si>
  <si>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</si>
  <si>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</si>
  <si>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</si>
  <si>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</si>
  <si>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</si>
  <si>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</si>
  <si>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</si>
  <si>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</si>
  <si>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</si>
  <si>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</si>
  <si>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</si>
  <si>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</si>
  <si>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</si>
  <si>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</si>
  <si>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</si>
  <si>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</si>
  <si>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</si>
  <si>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</si>
  <si>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</si>
  <si>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</si>
  <si>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</si>
  <si>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</si>
  <si>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</si>
  <si>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</si>
  <si>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</si>
  <si>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</si>
  <si>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</si>
  <si>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</si>
  <si>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</si>
  <si>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</si>
  <si>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</si>
  <si>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</si>
  <si>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</si>
  <si>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</si>
  <si>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</si>
  <si>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</si>
  <si>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</si>
  <si>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</si>
  <si>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</si>
  <si>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</si>
  <si>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</si>
  <si>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</si>
  <si>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</si>
  <si>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</si>
  <si>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</si>
  <si>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</si>
  <si>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</si>
  <si>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</si>
  <si>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</si>
  <si>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</si>
  <si>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</si>
  <si>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</si>
  <si>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</si>
  <si>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</si>
  <si>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</si>
  <si>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</si>
  <si>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</si>
  <si>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</si>
  <si>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</si>
  <si>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</si>
  <si>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</si>
  <si>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</si>
  <si>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</si>
  <si>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</si>
  <si>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</si>
  <si>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</si>
  <si>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</si>
  <si>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</si>
  <si>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</si>
  <si>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</si>
  <si>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</si>
  <si>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</si>
  <si>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</si>
  <si>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</si>
  <si>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</si>
  <si>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</si>
  <si>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</si>
  <si>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</si>
  <si>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</si>
  <si>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</si>
  <si>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</si>
  <si>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</si>
  <si>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</si>
  <si>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</si>
  <si>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F&amp;O Market Trading Kit for 18 Dec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</si>
</sst>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7" activePane="bottomLeft" state="frozen"/>
      <selection pane="bottomLeft" activeCell="AA26" sqref="AA26"/>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691</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46008</v>
      </c>
      <c r="D10" s="66">
        <f>'Data Vlaue (Cr)'!A2</f>
        <v>46008</v>
      </c>
      <c r="E10" s="65" t="s">
        <v>322</v>
      </c>
      <c r="F10" s="65" t="s">
        <v>320</v>
      </c>
      <c r="G10" s="65" t="s">
        <v>321</v>
      </c>
      <c r="H10" s="66">
        <f>D10</f>
        <v>46008</v>
      </c>
      <c r="I10" s="65" t="s">
        <v>322</v>
      </c>
      <c r="J10" s="65" t="s">
        <v>323</v>
      </c>
      <c r="K10" s="65" t="s">
        <v>324</v>
      </c>
      <c r="L10" s="66">
        <f>D10</f>
        <v>46008</v>
      </c>
      <c r="M10" s="65" t="s">
        <v>322</v>
      </c>
      <c r="N10" s="65" t="s">
        <v>323</v>
      </c>
      <c r="O10" s="65" t="s">
        <v>324</v>
      </c>
      <c r="P10" s="66">
        <f>D10</f>
        <v>46008</v>
      </c>
      <c r="Q10" s="65" t="s">
        <v>324</v>
      </c>
      <c r="R10" s="66">
        <f>D10</f>
        <v>46008</v>
      </c>
      <c r="S10" s="65" t="s">
        <v>324</v>
      </c>
    </row>
    <row r="11" spans="1:19" x14ac:dyDescent="0.25">
      <c r="A11" s="96" t="str">
        <f>'Data Vlaue (Cr)'!C2</f>
        <v>360ONE</v>
      </c>
      <c r="B11" s="75">
        <f>VLOOKUP($A11,'Data Vlaue (Cr)'!$C:$FB,2)</f>
        <v>500</v>
      </c>
      <c r="C11" s="75">
        <f>VLOOKUP($A11,'Data Vlaue (Cr)'!$C:$FB,8)</f>
        <v>1126.0999999999999</v>
      </c>
      <c r="D11" s="75">
        <f>VLOOKUP($A11,'Data Vlaue (Cr)'!$C:$FB,4)</f>
        <v>1130.0999999999999</v>
      </c>
      <c r="E11" s="75">
        <f>VLOOKUP($A11,'Data Vlaue (Cr)'!$C:$FB,5)</f>
        <v>1133.2</v>
      </c>
      <c r="F11" s="75">
        <f>D11-C11</f>
        <v>4</v>
      </c>
      <c r="G11" s="75">
        <f>(D11-E11)/D11*100</f>
        <v>-0.2743120077869336</v>
      </c>
      <c r="H11" s="75">
        <f>VLOOKUP($A11,'Data Vlaue (Cr)'!$C:$FB,99)</f>
        <v>535</v>
      </c>
      <c r="I11" s="75">
        <f>VLOOKUP($A11,'Data Vlaue (Cr)'!$C:$FB,100)</f>
        <v>507</v>
      </c>
      <c r="J11" s="75">
        <f>H11-I11</f>
        <v>28</v>
      </c>
      <c r="K11" s="75">
        <f>J11/H11*100</f>
        <v>5.2336448598130847</v>
      </c>
      <c r="L11" s="75">
        <f>VLOOKUP($A11,'Data Vlaue (Cr)'!$C:$FB,67)</f>
        <v>2089</v>
      </c>
      <c r="M11" s="75">
        <f>VLOOKUP($A11,'Data Vlaue (Cr)'!$C:$FB,68)</f>
        <v>161</v>
      </c>
      <c r="N11" s="75">
        <f>L11-M11</f>
        <v>1928</v>
      </c>
      <c r="O11" s="75">
        <f>N11/L11*100</f>
        <v>92.292963140258493</v>
      </c>
      <c r="P11" s="75">
        <f>VLOOKUP($A11,'Data Vlaue (Cr)'!$C:$FB,119)</f>
        <v>0.63</v>
      </c>
      <c r="Q11" s="75">
        <f>VLOOKUP($A11,'Data Vlaue (Cr)'!$C:$FB,122)*100</f>
        <v>1.6099999999999999</v>
      </c>
      <c r="R11" s="75">
        <f>VLOOKUP($A11,'Data Vlaue (Cr)'!$C:$FB,125)</f>
        <v>0.61</v>
      </c>
      <c r="S11" s="75">
        <f>VLOOKUP($A11,'Data Vlaue (Cr)'!$C:$FB,128)*100</f>
        <v>32.61</v>
      </c>
    </row>
    <row r="12" spans="1:19" x14ac:dyDescent="0.25">
      <c r="A12" s="96" t="str">
        <f>'Data Vlaue (Cr)'!C3</f>
        <v>ABB</v>
      </c>
      <c r="B12" s="75">
        <f>VLOOKUP($A12,'Data Vlaue (Cr)'!$C:$FB,2)</f>
        <v>125</v>
      </c>
      <c r="C12" s="75">
        <f>VLOOKUP($A12,'Data Vlaue (Cr)'!$C:$FB,8)</f>
        <v>5171</v>
      </c>
      <c r="D12" s="75">
        <f>VLOOKUP($A12,'Data Vlaue (Cr)'!$C:$FB,4)</f>
        <v>5190</v>
      </c>
      <c r="E12" s="75">
        <f>VLOOKUP($A12,'Data Vlaue (Cr)'!$C:$FB,5)</f>
        <v>5262</v>
      </c>
      <c r="F12" s="75">
        <f t="shared" ref="F12:F75" si="0">D12-C12</f>
        <v>19</v>
      </c>
      <c r="G12" s="75">
        <f t="shared" ref="G12:G74" si="1">(D12-E12)/D12*100</f>
        <v>-1.3872832369942196</v>
      </c>
      <c r="H12" s="75">
        <f>VLOOKUP($A12,'Data Vlaue (Cr)'!$C:$FB,99)</f>
        <v>2104</v>
      </c>
      <c r="I12" s="75">
        <f>VLOOKUP($A12,'Data Vlaue (Cr)'!$C:$FB,100)</f>
        <v>2077</v>
      </c>
      <c r="J12" s="75">
        <f t="shared" ref="J12:J75" si="2">H12-I12</f>
        <v>27</v>
      </c>
      <c r="K12" s="75">
        <f t="shared" ref="K12:K75" si="3">J12/H12*100</f>
        <v>1.2832699619771863</v>
      </c>
      <c r="L12" s="75">
        <f>VLOOKUP($A12,'Data Vlaue (Cr)'!$C:$FB,67)</f>
        <v>745</v>
      </c>
      <c r="M12" s="75">
        <f>VLOOKUP($A12,'Data Vlaue (Cr)'!$C:$FB,68)</f>
        <v>578</v>
      </c>
      <c r="N12" s="75">
        <f t="shared" ref="N12:N75" si="4">L12-M12</f>
        <v>167</v>
      </c>
      <c r="O12" s="75">
        <f t="shared" ref="O12:O75" si="5">N12/L12*100</f>
        <v>22.416107382550337</v>
      </c>
      <c r="P12" s="75">
        <f>VLOOKUP($A12,'Data Vlaue (Cr)'!$C:$FB,119)</f>
        <v>0.78</v>
      </c>
      <c r="Q12" s="75">
        <f>VLOOKUP($A12,'Data Vlaue (Cr)'!$C:$FB,122)*100</f>
        <v>-6.02</v>
      </c>
      <c r="R12" s="75">
        <f>VLOOKUP($A12,'Data Vlaue (Cr)'!$C:$FB,125)</f>
        <v>0.5</v>
      </c>
      <c r="S12" s="75">
        <f>VLOOKUP($A12,'Data Vlaue (Cr)'!$C:$FB,128)*100</f>
        <v>-3.85</v>
      </c>
    </row>
    <row r="13" spans="1:19" x14ac:dyDescent="0.25">
      <c r="A13" s="96" t="str">
        <f>'Data Vlaue (Cr)'!C4</f>
        <v>ABCAPITAL</v>
      </c>
      <c r="B13" s="75">
        <f>VLOOKUP($A13,'Data Vlaue (Cr)'!$C:$FB,2)</f>
        <v>3100</v>
      </c>
      <c r="C13" s="75">
        <f>VLOOKUP($A13,'Data Vlaue (Cr)'!$C:$FB,8)</f>
        <v>346.8</v>
      </c>
      <c r="D13" s="75">
        <f>VLOOKUP($A13,'Data Vlaue (Cr)'!$C:$FB,4)</f>
        <v>347.7</v>
      </c>
      <c r="E13" s="75">
        <f>VLOOKUP($A13,'Data Vlaue (Cr)'!$C:$FB,5)</f>
        <v>348.75</v>
      </c>
      <c r="F13" s="75">
        <f t="shared" si="0"/>
        <v>0.89999999999997726</v>
      </c>
      <c r="G13" s="75">
        <f t="shared" si="1"/>
        <v>-0.30198446937015</v>
      </c>
      <c r="H13" s="75">
        <f>VLOOKUP($A13,'Data Vlaue (Cr)'!$C:$FB,99)</f>
        <v>4173</v>
      </c>
      <c r="I13" s="75">
        <f>VLOOKUP($A13,'Data Vlaue (Cr)'!$C:$FB,100)</f>
        <v>4117</v>
      </c>
      <c r="J13" s="75">
        <f t="shared" si="2"/>
        <v>56</v>
      </c>
      <c r="K13" s="75">
        <f t="shared" si="3"/>
        <v>1.3419602204648935</v>
      </c>
      <c r="L13" s="75">
        <f>VLOOKUP($A13,'Data Vlaue (Cr)'!$C:$FB,67)</f>
        <v>1900</v>
      </c>
      <c r="M13" s="75">
        <f>VLOOKUP($A13,'Data Vlaue (Cr)'!$C:$FB,68)</f>
        <v>1797</v>
      </c>
      <c r="N13" s="75">
        <f t="shared" si="4"/>
        <v>103</v>
      </c>
      <c r="O13" s="75">
        <f t="shared" si="5"/>
        <v>5.4210526315789469</v>
      </c>
      <c r="P13" s="75">
        <f>VLOOKUP($A13,'Data Vlaue (Cr)'!$C:$FB,119)</f>
        <v>0.65</v>
      </c>
      <c r="Q13" s="75">
        <f>VLOOKUP($A13,'Data Vlaue (Cr)'!$C:$FB,122)*100</f>
        <v>-1.52</v>
      </c>
      <c r="R13" s="75">
        <f>VLOOKUP($A13,'Data Vlaue (Cr)'!$C:$FB,125)</f>
        <v>0.55000000000000004</v>
      </c>
      <c r="S13" s="75">
        <f>VLOOKUP($A13,'Data Vlaue (Cr)'!$C:$FB,128)*100</f>
        <v>48.65</v>
      </c>
    </row>
    <row r="14" spans="1:19" x14ac:dyDescent="0.25">
      <c r="A14" s="96" t="str">
        <f>'Data Vlaue (Cr)'!C5</f>
        <v>ADANIENSOL</v>
      </c>
      <c r="B14" s="75">
        <f>VLOOKUP($A14,'Data Vlaue (Cr)'!$C:$FB,2)</f>
        <v>675</v>
      </c>
      <c r="C14" s="75">
        <f>VLOOKUP($A14,'Data Vlaue (Cr)'!$C:$FB,8)</f>
        <v>977.55</v>
      </c>
      <c r="D14" s="75">
        <f>VLOOKUP($A14,'Data Vlaue (Cr)'!$C:$FB,4)</f>
        <v>981.3</v>
      </c>
      <c r="E14" s="75">
        <f>VLOOKUP($A14,'Data Vlaue (Cr)'!$C:$FB,5)</f>
        <v>995.95</v>
      </c>
      <c r="F14" s="75">
        <f t="shared" si="0"/>
        <v>3.75</v>
      </c>
      <c r="G14" s="75">
        <f t="shared" si="1"/>
        <v>-1.4929175583409857</v>
      </c>
      <c r="H14" s="75">
        <f>VLOOKUP($A14,'Data Vlaue (Cr)'!$C:$FB,99)</f>
        <v>2395</v>
      </c>
      <c r="I14" s="75">
        <f>VLOOKUP($A14,'Data Vlaue (Cr)'!$C:$FB,100)</f>
        <v>2398</v>
      </c>
      <c r="J14" s="75">
        <f t="shared" si="2"/>
        <v>-3</v>
      </c>
      <c r="K14" s="75">
        <f t="shared" si="3"/>
        <v>-0.12526096033402923</v>
      </c>
      <c r="L14" s="75">
        <f>VLOOKUP($A14,'Data Vlaue (Cr)'!$C:$FB,67)</f>
        <v>722</v>
      </c>
      <c r="M14" s="75">
        <f>VLOOKUP($A14,'Data Vlaue (Cr)'!$C:$FB,68)</f>
        <v>625</v>
      </c>
      <c r="N14" s="75">
        <f t="shared" si="4"/>
        <v>97</v>
      </c>
      <c r="O14" s="75">
        <f>N14/L14*100</f>
        <v>13.434903047091412</v>
      </c>
      <c r="P14" s="75">
        <f>VLOOKUP($A14,'Data Vlaue (Cr)'!$C:$FB,119)</f>
        <v>0.56000000000000005</v>
      </c>
      <c r="Q14" s="75">
        <f>VLOOKUP($A14,'Data Vlaue (Cr)'!$C:$FB,122)*100</f>
        <v>-1.7500000000000002</v>
      </c>
      <c r="R14" s="75">
        <f>VLOOKUP($A14,'Data Vlaue (Cr)'!$C:$FB,125)</f>
        <v>0.6</v>
      </c>
      <c r="S14" s="75">
        <f>VLOOKUP($A14,'Data Vlaue (Cr)'!$C:$FB,128)*100</f>
        <v>-17.810000000000002</v>
      </c>
    </row>
    <row r="15" spans="1:19" x14ac:dyDescent="0.25">
      <c r="A15" s="96" t="str">
        <f>'Data Vlaue (Cr)'!C6</f>
        <v>ADANIENT</v>
      </c>
      <c r="B15" s="75">
        <f>VLOOKUP($A15,'Data Vlaue (Cr)'!$C:$FB,2)</f>
        <v>309</v>
      </c>
      <c r="C15" s="75">
        <f>VLOOKUP($A15,'Data Vlaue (Cr)'!$C:$FB,8)</f>
        <v>2232.5</v>
      </c>
      <c r="D15" s="75">
        <f>VLOOKUP($A15,'Data Vlaue (Cr)'!$C:$FB,4)</f>
        <v>2241.8000000000002</v>
      </c>
      <c r="E15" s="75">
        <f>VLOOKUP($A15,'Data Vlaue (Cr)'!$C:$FB,5)</f>
        <v>2256.1999999999998</v>
      </c>
      <c r="F15" s="75">
        <f t="shared" si="0"/>
        <v>9.3000000000001819</v>
      </c>
      <c r="G15" s="75">
        <f t="shared" si="1"/>
        <v>-0.64234097600141116</v>
      </c>
      <c r="H15" s="75">
        <f>VLOOKUP($A15,'Data Vlaue (Cr)'!$C:$FB,99)</f>
        <v>10256</v>
      </c>
      <c r="I15" s="75">
        <f>VLOOKUP($A15,'Data Vlaue (Cr)'!$C:$FB,100)</f>
        <v>10152</v>
      </c>
      <c r="J15" s="75">
        <f t="shared" si="2"/>
        <v>104</v>
      </c>
      <c r="K15" s="75">
        <f t="shared" si="3"/>
        <v>1.014040561622465</v>
      </c>
      <c r="L15" s="75">
        <f>VLOOKUP($A15,'Data Vlaue (Cr)'!$C:$FB,67)</f>
        <v>3160</v>
      </c>
      <c r="M15" s="75">
        <f>VLOOKUP($A15,'Data Vlaue (Cr)'!$C:$FB,68)</f>
        <v>3181</v>
      </c>
      <c r="N15" s="75">
        <f t="shared" si="4"/>
        <v>-21</v>
      </c>
      <c r="O15" s="75">
        <f t="shared" si="5"/>
        <v>-0.66455696202531644</v>
      </c>
      <c r="P15" s="75">
        <f>VLOOKUP($A15,'Data Vlaue (Cr)'!$C:$FB,119)</f>
        <v>0.61</v>
      </c>
      <c r="Q15" s="75">
        <f>VLOOKUP($A15,'Data Vlaue (Cr)'!$C:$FB,122)*100</f>
        <v>0</v>
      </c>
      <c r="R15" s="75">
        <f>VLOOKUP($A15,'Data Vlaue (Cr)'!$C:$FB,125)</f>
        <v>0.47</v>
      </c>
      <c r="S15" s="75">
        <f>VLOOKUP($A15,'Data Vlaue (Cr)'!$C:$FB,128)*100</f>
        <v>14.63</v>
      </c>
    </row>
    <row r="16" spans="1:19" x14ac:dyDescent="0.25">
      <c r="A16" s="96" t="str">
        <f>'Data Vlaue (Cr)'!C7</f>
        <v>ADANIGREEN</v>
      </c>
      <c r="B16" s="75">
        <f>VLOOKUP($A16,'Data Vlaue (Cr)'!$C:$FB,2)</f>
        <v>600</v>
      </c>
      <c r="C16" s="75">
        <f>VLOOKUP($A16,'Data Vlaue (Cr)'!$C:$FB,8)</f>
        <v>1020.7</v>
      </c>
      <c r="D16" s="75">
        <f>VLOOKUP($A16,'Data Vlaue (Cr)'!$C:$FB,4)</f>
        <v>1023.6</v>
      </c>
      <c r="E16" s="75">
        <f>VLOOKUP($A16,'Data Vlaue (Cr)'!$C:$FB,5)</f>
        <v>1030.8</v>
      </c>
      <c r="F16" s="75">
        <f t="shared" si="0"/>
        <v>2.8999999999999773</v>
      </c>
      <c r="G16" s="75">
        <f t="shared" si="1"/>
        <v>-0.70339976553340489</v>
      </c>
      <c r="H16" s="75">
        <f>VLOOKUP($A16,'Data Vlaue (Cr)'!$C:$FB,99)</f>
        <v>4620</v>
      </c>
      <c r="I16" s="75">
        <f>VLOOKUP($A16,'Data Vlaue (Cr)'!$C:$FB,100)</f>
        <v>4595</v>
      </c>
      <c r="J16" s="75">
        <f t="shared" si="2"/>
        <v>25</v>
      </c>
      <c r="K16" s="75">
        <f t="shared" si="3"/>
        <v>0.54112554112554112</v>
      </c>
      <c r="L16" s="75">
        <f>VLOOKUP($A16,'Data Vlaue (Cr)'!$C:$FB,67)</f>
        <v>1705</v>
      </c>
      <c r="M16" s="75">
        <f>VLOOKUP($A16,'Data Vlaue (Cr)'!$C:$FB,68)</f>
        <v>2041</v>
      </c>
      <c r="N16" s="75">
        <f t="shared" si="4"/>
        <v>-336</v>
      </c>
      <c r="O16" s="75">
        <f t="shared" si="5"/>
        <v>-19.706744868035191</v>
      </c>
      <c r="P16" s="75">
        <f>VLOOKUP($A16,'Data Vlaue (Cr)'!$C:$FB,119)</f>
        <v>0.54</v>
      </c>
      <c r="Q16" s="75">
        <f>VLOOKUP($A16,'Data Vlaue (Cr)'!$C:$FB,122)*100</f>
        <v>1.8900000000000001</v>
      </c>
      <c r="R16" s="75">
        <f>VLOOKUP($A16,'Data Vlaue (Cr)'!$C:$FB,125)</f>
        <v>0.53</v>
      </c>
      <c r="S16" s="75">
        <f>VLOOKUP($A16,'Data Vlaue (Cr)'!$C:$FB,128)*100</f>
        <v>-28.38</v>
      </c>
    </row>
    <row r="17" spans="1:19" x14ac:dyDescent="0.25">
      <c r="A17" s="96" t="str">
        <f>'Data Vlaue (Cr)'!C8</f>
        <v>ADANIPORTS</v>
      </c>
      <c r="B17" s="75">
        <f>VLOOKUP($A17,'Data Vlaue (Cr)'!$C:$FB,2)</f>
        <v>475</v>
      </c>
      <c r="C17" s="75">
        <f>VLOOKUP($A17,'Data Vlaue (Cr)'!$C:$FB,8)</f>
        <v>1486.3</v>
      </c>
      <c r="D17" s="75">
        <f>VLOOKUP($A17,'Data Vlaue (Cr)'!$C:$FB,4)</f>
        <v>1491.8</v>
      </c>
      <c r="E17" s="75">
        <f>VLOOKUP($A17,'Data Vlaue (Cr)'!$C:$FB,5)</f>
        <v>1503.9</v>
      </c>
      <c r="F17" s="75">
        <f t="shared" si="0"/>
        <v>5.5</v>
      </c>
      <c r="G17" s="75">
        <f t="shared" si="1"/>
        <v>-0.81110068373777566</v>
      </c>
      <c r="H17" s="75">
        <f>VLOOKUP($A17,'Data Vlaue (Cr)'!$C:$FB,99)</f>
        <v>5639</v>
      </c>
      <c r="I17" s="75">
        <f>VLOOKUP($A17,'Data Vlaue (Cr)'!$C:$FB,100)</f>
        <v>5538</v>
      </c>
      <c r="J17" s="75">
        <f t="shared" si="2"/>
        <v>101</v>
      </c>
      <c r="K17" s="75">
        <f t="shared" si="3"/>
        <v>1.7910977123603475</v>
      </c>
      <c r="L17" s="75">
        <f>VLOOKUP($A17,'Data Vlaue (Cr)'!$C:$FB,67)</f>
        <v>1782</v>
      </c>
      <c r="M17" s="75">
        <f>VLOOKUP($A17,'Data Vlaue (Cr)'!$C:$FB,68)</f>
        <v>1459</v>
      </c>
      <c r="N17" s="75">
        <f t="shared" si="4"/>
        <v>323</v>
      </c>
      <c r="O17" s="75">
        <f t="shared" si="5"/>
        <v>18.125701459034794</v>
      </c>
      <c r="P17" s="75">
        <f>VLOOKUP($A17,'Data Vlaue (Cr)'!$C:$FB,119)</f>
        <v>0.49</v>
      </c>
      <c r="Q17" s="75">
        <f>VLOOKUP($A17,'Data Vlaue (Cr)'!$C:$FB,122)*100</f>
        <v>-3.92</v>
      </c>
      <c r="R17" s="75">
        <f>VLOOKUP($A17,'Data Vlaue (Cr)'!$C:$FB,125)</f>
        <v>0.45</v>
      </c>
      <c r="S17" s="75">
        <f>VLOOKUP($A17,'Data Vlaue (Cr)'!$C:$FB,128)*100</f>
        <v>-4.26</v>
      </c>
    </row>
    <row r="18" spans="1:19" x14ac:dyDescent="0.25">
      <c r="A18" s="96" t="str">
        <f>'Data Vlaue (Cr)'!C9</f>
        <v>ALKEM</v>
      </c>
      <c r="B18" s="75">
        <f>VLOOKUP($A18,'Data Vlaue (Cr)'!$C:$FB,2)</f>
        <v>125</v>
      </c>
      <c r="C18" s="75">
        <f>VLOOKUP($A18,'Data Vlaue (Cr)'!$C:$FB,8)</f>
        <v>5628.5</v>
      </c>
      <c r="D18" s="75">
        <f>VLOOKUP($A18,'Data Vlaue (Cr)'!$C:$FB,4)</f>
        <v>5635.5</v>
      </c>
      <c r="E18" s="75">
        <f>VLOOKUP($A18,'Data Vlaue (Cr)'!$C:$FB,5)</f>
        <v>5671.5</v>
      </c>
      <c r="F18" s="75">
        <f t="shared" si="0"/>
        <v>7</v>
      </c>
      <c r="G18" s="75">
        <f t="shared" si="1"/>
        <v>-0.63880755922278409</v>
      </c>
      <c r="H18" s="75">
        <f>VLOOKUP($A18,'Data Vlaue (Cr)'!$C:$FB,99)</f>
        <v>1134</v>
      </c>
      <c r="I18" s="75">
        <f>VLOOKUP($A18,'Data Vlaue (Cr)'!$C:$FB,100)</f>
        <v>1117</v>
      </c>
      <c r="J18" s="75">
        <f t="shared" si="2"/>
        <v>17</v>
      </c>
      <c r="K18" s="75">
        <f t="shared" si="3"/>
        <v>1.4991181657848323</v>
      </c>
      <c r="L18" s="75">
        <f>VLOOKUP($A18,'Data Vlaue (Cr)'!$C:$FB,67)</f>
        <v>368</v>
      </c>
      <c r="M18" s="75">
        <f>VLOOKUP($A18,'Data Vlaue (Cr)'!$C:$FB,68)</f>
        <v>239</v>
      </c>
      <c r="N18" s="75">
        <f t="shared" si="4"/>
        <v>129</v>
      </c>
      <c r="O18" s="75">
        <f t="shared" si="5"/>
        <v>35.054347826086953</v>
      </c>
      <c r="P18" s="75">
        <f>VLOOKUP($A18,'Data Vlaue (Cr)'!$C:$FB,119)</f>
        <v>0.65</v>
      </c>
      <c r="Q18" s="75">
        <f>VLOOKUP($A18,'Data Vlaue (Cr)'!$C:$FB,122)*100</f>
        <v>-13.33</v>
      </c>
      <c r="R18" s="75">
        <f>VLOOKUP($A18,'Data Vlaue (Cr)'!$C:$FB,125)</f>
        <v>0.42</v>
      </c>
      <c r="S18" s="75">
        <f>VLOOKUP($A18,'Data Vlaue (Cr)'!$C:$FB,128)*100</f>
        <v>31.25</v>
      </c>
    </row>
    <row r="19" spans="1:19" x14ac:dyDescent="0.25">
      <c r="A19" s="96" t="str">
        <f>'Data Vlaue (Cr)'!C10</f>
        <v>AMBER</v>
      </c>
      <c r="B19" s="75">
        <f>VLOOKUP($A19,'Data Vlaue (Cr)'!$C:$FB,2)</f>
        <v>100</v>
      </c>
      <c r="C19" s="75">
        <f>VLOOKUP($A19,'Data Vlaue (Cr)'!$C:$FB,8)</f>
        <v>6580.5</v>
      </c>
      <c r="D19" s="75">
        <f>VLOOKUP($A19,'Data Vlaue (Cr)'!$C:$FB,4)</f>
        <v>6600</v>
      </c>
      <c r="E19" s="75">
        <f>VLOOKUP($A19,'Data Vlaue (Cr)'!$C:$FB,5)</f>
        <v>6793.5</v>
      </c>
      <c r="F19" s="75">
        <f t="shared" si="0"/>
        <v>19.5</v>
      </c>
      <c r="G19" s="75">
        <f t="shared" si="1"/>
        <v>-2.9318181818181821</v>
      </c>
      <c r="H19" s="75">
        <f>VLOOKUP($A19,'Data Vlaue (Cr)'!$C:$FB,99)</f>
        <v>2069</v>
      </c>
      <c r="I19" s="75">
        <f>VLOOKUP($A19,'Data Vlaue (Cr)'!$C:$FB,100)</f>
        <v>1992</v>
      </c>
      <c r="J19" s="75">
        <f t="shared" si="2"/>
        <v>77</v>
      </c>
      <c r="K19" s="75">
        <f t="shared" si="3"/>
        <v>3.7216046399226683</v>
      </c>
      <c r="L19" s="75">
        <f>VLOOKUP($A19,'Data Vlaue (Cr)'!$C:$FB,67)</f>
        <v>2185</v>
      </c>
      <c r="M19" s="75">
        <f>VLOOKUP($A19,'Data Vlaue (Cr)'!$C:$FB,68)</f>
        <v>1355</v>
      </c>
      <c r="N19" s="75">
        <f t="shared" si="4"/>
        <v>830</v>
      </c>
      <c r="O19" s="75">
        <f t="shared" si="5"/>
        <v>37.986270022883296</v>
      </c>
      <c r="P19" s="75">
        <f>VLOOKUP($A19,'Data Vlaue (Cr)'!$C:$FB,119)</f>
        <v>0.66</v>
      </c>
      <c r="Q19" s="75">
        <f>VLOOKUP($A19,'Data Vlaue (Cr)'!$C:$FB,122)*100</f>
        <v>-8.33</v>
      </c>
      <c r="R19" s="75">
        <f>VLOOKUP($A19,'Data Vlaue (Cr)'!$C:$FB,125)</f>
        <v>0.8</v>
      </c>
      <c r="S19" s="75">
        <f>VLOOKUP($A19,'Data Vlaue (Cr)'!$C:$FB,128)*100</f>
        <v>45.45</v>
      </c>
    </row>
    <row r="20" spans="1:19" x14ac:dyDescent="0.25">
      <c r="A20" s="96" t="str">
        <f>'Data Vlaue (Cr)'!C11</f>
        <v>AMBUJACEM</v>
      </c>
      <c r="B20" s="75">
        <f>VLOOKUP($A20,'Data Vlaue (Cr)'!$C:$FB,2)</f>
        <v>1050</v>
      </c>
      <c r="C20" s="75">
        <f>VLOOKUP($A20,'Data Vlaue (Cr)'!$C:$FB,8)</f>
        <v>541.29999999999995</v>
      </c>
      <c r="D20" s="75">
        <f>VLOOKUP($A20,'Data Vlaue (Cr)'!$C:$FB,4)</f>
        <v>541.9</v>
      </c>
      <c r="E20" s="75">
        <f>VLOOKUP($A20,'Data Vlaue (Cr)'!$C:$FB,5)</f>
        <v>549.5</v>
      </c>
      <c r="F20" s="75">
        <f t="shared" si="0"/>
        <v>0.60000000000002274</v>
      </c>
      <c r="G20" s="75">
        <f t="shared" si="1"/>
        <v>-1.4024727809559001</v>
      </c>
      <c r="H20" s="75">
        <f>VLOOKUP($A20,'Data Vlaue (Cr)'!$C:$FB,99)</f>
        <v>3769</v>
      </c>
      <c r="I20" s="75">
        <f>VLOOKUP($A20,'Data Vlaue (Cr)'!$C:$FB,100)</f>
        <v>3747</v>
      </c>
      <c r="J20" s="75">
        <f t="shared" si="2"/>
        <v>22</v>
      </c>
      <c r="K20" s="75">
        <f t="shared" si="3"/>
        <v>0.58370920668612369</v>
      </c>
      <c r="L20" s="75">
        <f>VLOOKUP($A20,'Data Vlaue (Cr)'!$C:$FB,67)</f>
        <v>549</v>
      </c>
      <c r="M20" s="75">
        <f>VLOOKUP($A20,'Data Vlaue (Cr)'!$C:$FB,68)</f>
        <v>797</v>
      </c>
      <c r="N20" s="75">
        <f t="shared" si="4"/>
        <v>-248</v>
      </c>
      <c r="O20" s="75">
        <f t="shared" si="5"/>
        <v>-45.173041894353375</v>
      </c>
      <c r="P20" s="75">
        <f>VLOOKUP($A20,'Data Vlaue (Cr)'!$C:$FB,119)</f>
        <v>0.81</v>
      </c>
      <c r="Q20" s="75">
        <f>VLOOKUP($A20,'Data Vlaue (Cr)'!$C:$FB,122)*100</f>
        <v>-5.81</v>
      </c>
      <c r="R20" s="75">
        <f>VLOOKUP($A20,'Data Vlaue (Cr)'!$C:$FB,125)</f>
        <v>0.45</v>
      </c>
      <c r="S20" s="75">
        <f>VLOOKUP($A20,'Data Vlaue (Cr)'!$C:$FB,128)*100</f>
        <v>-25</v>
      </c>
    </row>
    <row r="21" spans="1:19" x14ac:dyDescent="0.25">
      <c r="A21" s="96" t="str">
        <f>'Data Vlaue (Cr)'!C12</f>
        <v>ANGELONE</v>
      </c>
      <c r="B21" s="75">
        <f>VLOOKUP($A21,'Data Vlaue (Cr)'!$C:$FB,2)</f>
        <v>250</v>
      </c>
      <c r="C21" s="75">
        <f>VLOOKUP($A21,'Data Vlaue (Cr)'!$C:$FB,8)</f>
        <v>2504.6</v>
      </c>
      <c r="D21" s="75">
        <f>VLOOKUP($A21,'Data Vlaue (Cr)'!$C:$FB,4)</f>
        <v>2478.9</v>
      </c>
      <c r="E21" s="75">
        <f>VLOOKUP($A21,'Data Vlaue (Cr)'!$C:$FB,5)</f>
        <v>2507.6</v>
      </c>
      <c r="F21" s="75">
        <f t="shared" si="0"/>
        <v>-25.699999999999818</v>
      </c>
      <c r="G21" s="75">
        <f t="shared" si="1"/>
        <v>-1.1577715922384855</v>
      </c>
      <c r="H21" s="75">
        <f>VLOOKUP($A21,'Data Vlaue (Cr)'!$C:$FB,99)</f>
        <v>2838</v>
      </c>
      <c r="I21" s="75">
        <f>VLOOKUP($A21,'Data Vlaue (Cr)'!$C:$FB,100)</f>
        <v>2746</v>
      </c>
      <c r="J21" s="75">
        <f t="shared" si="2"/>
        <v>92</v>
      </c>
      <c r="K21" s="75">
        <f t="shared" si="3"/>
        <v>3.2417195207892879</v>
      </c>
      <c r="L21" s="75">
        <f>VLOOKUP($A21,'Data Vlaue (Cr)'!$C:$FB,67)</f>
        <v>1584</v>
      </c>
      <c r="M21" s="75">
        <f>VLOOKUP($A21,'Data Vlaue (Cr)'!$C:$FB,68)</f>
        <v>1543</v>
      </c>
      <c r="N21" s="75">
        <f t="shared" si="4"/>
        <v>41</v>
      </c>
      <c r="O21" s="75">
        <f t="shared" si="5"/>
        <v>2.5883838383838382</v>
      </c>
      <c r="P21" s="75">
        <f>VLOOKUP($A21,'Data Vlaue (Cr)'!$C:$FB,119)</f>
        <v>0.41</v>
      </c>
      <c r="Q21" s="75">
        <f>VLOOKUP($A21,'Data Vlaue (Cr)'!$C:$FB,122)*100</f>
        <v>-4.6500000000000004</v>
      </c>
      <c r="R21" s="75">
        <f>VLOOKUP($A21,'Data Vlaue (Cr)'!$C:$FB,125)</f>
        <v>0.4</v>
      </c>
      <c r="S21" s="75">
        <f>VLOOKUP($A21,'Data Vlaue (Cr)'!$C:$FB,128)*100</f>
        <v>-21.57</v>
      </c>
    </row>
    <row r="22" spans="1:19" x14ac:dyDescent="0.25">
      <c r="A22" s="96" t="str">
        <f>'Data Vlaue (Cr)'!C13</f>
        <v>APLAPOLLO</v>
      </c>
      <c r="B22" s="75">
        <f>VLOOKUP($A22,'Data Vlaue (Cr)'!$C:$FB,2)</f>
        <v>350</v>
      </c>
      <c r="C22" s="75">
        <f>VLOOKUP($A22,'Data Vlaue (Cr)'!$C:$FB,8)</f>
        <v>1764.5</v>
      </c>
      <c r="D22" s="75">
        <f>VLOOKUP($A22,'Data Vlaue (Cr)'!$C:$FB,4)</f>
        <v>1769.5</v>
      </c>
      <c r="E22" s="75">
        <f>VLOOKUP($A22,'Data Vlaue (Cr)'!$C:$FB,5)</f>
        <v>1737.1</v>
      </c>
      <c r="F22" s="75">
        <f t="shared" si="0"/>
        <v>5</v>
      </c>
      <c r="G22" s="75">
        <f t="shared" si="1"/>
        <v>1.8310257134783889</v>
      </c>
      <c r="H22" s="75">
        <f>VLOOKUP($A22,'Data Vlaue (Cr)'!$C:$FB,99)</f>
        <v>1744</v>
      </c>
      <c r="I22" s="75">
        <f>VLOOKUP($A22,'Data Vlaue (Cr)'!$C:$FB,100)</f>
        <v>1705</v>
      </c>
      <c r="J22" s="75">
        <f t="shared" si="2"/>
        <v>39</v>
      </c>
      <c r="K22" s="75">
        <f t="shared" si="3"/>
        <v>2.2362385321100917</v>
      </c>
      <c r="L22" s="75">
        <f>VLOOKUP($A22,'Data Vlaue (Cr)'!$C:$FB,67)</f>
        <v>1624</v>
      </c>
      <c r="M22" s="75">
        <f>VLOOKUP($A22,'Data Vlaue (Cr)'!$C:$FB,68)</f>
        <v>234</v>
      </c>
      <c r="N22" s="75">
        <f t="shared" si="4"/>
        <v>1390</v>
      </c>
      <c r="O22" s="75">
        <f t="shared" si="5"/>
        <v>85.591133004926107</v>
      </c>
      <c r="P22" s="75">
        <f>VLOOKUP($A22,'Data Vlaue (Cr)'!$C:$FB,119)</f>
        <v>0.75</v>
      </c>
      <c r="Q22" s="75">
        <f>VLOOKUP($A22,'Data Vlaue (Cr)'!$C:$FB,122)*100</f>
        <v>-13.79</v>
      </c>
      <c r="R22" s="75">
        <f>VLOOKUP($A22,'Data Vlaue (Cr)'!$C:$FB,125)</f>
        <v>0.32</v>
      </c>
      <c r="S22" s="75">
        <f>VLOOKUP($A22,'Data Vlaue (Cr)'!$C:$FB,128)*100</f>
        <v>-17.95</v>
      </c>
    </row>
    <row r="23" spans="1:19" x14ac:dyDescent="0.25">
      <c r="A23" s="96" t="str">
        <f>'Data Vlaue (Cr)'!C14</f>
        <v>APOLLOHOSP</v>
      </c>
      <c r="B23" s="75">
        <f>VLOOKUP($A23,'Data Vlaue (Cr)'!$C:$FB,2)</f>
        <v>125</v>
      </c>
      <c r="C23" s="75">
        <f>VLOOKUP($A23,'Data Vlaue (Cr)'!$C:$FB,8)</f>
        <v>6921.5</v>
      </c>
      <c r="D23" s="75">
        <f>VLOOKUP($A23,'Data Vlaue (Cr)'!$C:$FB,4)</f>
        <v>6927.5</v>
      </c>
      <c r="E23" s="75">
        <f>VLOOKUP($A23,'Data Vlaue (Cr)'!$C:$FB,5)</f>
        <v>7067.5</v>
      </c>
      <c r="F23" s="75">
        <f t="shared" si="0"/>
        <v>6</v>
      </c>
      <c r="G23" s="75">
        <f t="shared" si="1"/>
        <v>-2.0209310718152294</v>
      </c>
      <c r="H23" s="75">
        <f>VLOOKUP($A23,'Data Vlaue (Cr)'!$C:$FB,99)</f>
        <v>4823</v>
      </c>
      <c r="I23" s="75">
        <f>VLOOKUP($A23,'Data Vlaue (Cr)'!$C:$FB,100)</f>
        <v>4475</v>
      </c>
      <c r="J23" s="75">
        <f t="shared" si="2"/>
        <v>348</v>
      </c>
      <c r="K23" s="75">
        <f t="shared" si="3"/>
        <v>7.2154260833506125</v>
      </c>
      <c r="L23" s="75">
        <f>VLOOKUP($A23,'Data Vlaue (Cr)'!$C:$FB,67)</f>
        <v>3517</v>
      </c>
      <c r="M23" s="75">
        <f>VLOOKUP($A23,'Data Vlaue (Cr)'!$C:$FB,68)</f>
        <v>2744</v>
      </c>
      <c r="N23" s="75">
        <f t="shared" si="4"/>
        <v>773</v>
      </c>
      <c r="O23" s="75">
        <f t="shared" si="5"/>
        <v>21.978959340346886</v>
      </c>
      <c r="P23" s="75">
        <f>VLOOKUP($A23,'Data Vlaue (Cr)'!$C:$FB,119)</f>
        <v>0.47</v>
      </c>
      <c r="Q23" s="75">
        <f>VLOOKUP($A23,'Data Vlaue (Cr)'!$C:$FB,122)*100</f>
        <v>0</v>
      </c>
      <c r="R23" s="75">
        <f>VLOOKUP($A23,'Data Vlaue (Cr)'!$C:$FB,125)</f>
        <v>0.54</v>
      </c>
      <c r="S23" s="75">
        <f>VLOOKUP($A23,'Data Vlaue (Cr)'!$C:$FB,128)*100</f>
        <v>125</v>
      </c>
    </row>
    <row r="24" spans="1:19" x14ac:dyDescent="0.25">
      <c r="A24" s="96" t="str">
        <f>'Data Vlaue (Cr)'!C15</f>
        <v>ASHOKLEY</v>
      </c>
      <c r="B24" s="75">
        <f>VLOOKUP($A24,'Data Vlaue (Cr)'!$C:$FB,2)</f>
        <v>5000</v>
      </c>
      <c r="C24" s="75">
        <f>VLOOKUP($A24,'Data Vlaue (Cr)'!$C:$FB,8)</f>
        <v>166.14</v>
      </c>
      <c r="D24" s="75">
        <f>VLOOKUP($A24,'Data Vlaue (Cr)'!$C:$FB,4)</f>
        <v>166.15</v>
      </c>
      <c r="E24" s="75">
        <f>VLOOKUP($A24,'Data Vlaue (Cr)'!$C:$FB,5)</f>
        <v>166.25</v>
      </c>
      <c r="F24" s="75">
        <f t="shared" si="0"/>
        <v>1.0000000000019327E-2</v>
      </c>
      <c r="G24" s="75">
        <f t="shared" si="1"/>
        <v>-6.0186578393014938E-2</v>
      </c>
      <c r="H24" s="75">
        <f>VLOOKUP($A24,'Data Vlaue (Cr)'!$C:$FB,99)</f>
        <v>4882</v>
      </c>
      <c r="I24" s="75">
        <f>VLOOKUP($A24,'Data Vlaue (Cr)'!$C:$FB,100)</f>
        <v>4867</v>
      </c>
      <c r="J24" s="75">
        <f t="shared" si="2"/>
        <v>15</v>
      </c>
      <c r="K24" s="75">
        <f t="shared" si="3"/>
        <v>0.30725112658746417</v>
      </c>
      <c r="L24" s="75">
        <f>VLOOKUP($A24,'Data Vlaue (Cr)'!$C:$FB,67)</f>
        <v>2057</v>
      </c>
      <c r="M24" s="75">
        <f>VLOOKUP($A24,'Data Vlaue (Cr)'!$C:$FB,68)</f>
        <v>3633</v>
      </c>
      <c r="N24" s="75">
        <f t="shared" si="4"/>
        <v>-1576</v>
      </c>
      <c r="O24" s="75">
        <f t="shared" si="5"/>
        <v>-76.616431696645606</v>
      </c>
      <c r="P24" s="75">
        <f>VLOOKUP($A24,'Data Vlaue (Cr)'!$C:$FB,119)</f>
        <v>0.98</v>
      </c>
      <c r="Q24" s="75">
        <f>VLOOKUP($A24,'Data Vlaue (Cr)'!$C:$FB,122)*100</f>
        <v>2.08</v>
      </c>
      <c r="R24" s="75">
        <f>VLOOKUP($A24,'Data Vlaue (Cr)'!$C:$FB,125)</f>
        <v>0.66</v>
      </c>
      <c r="S24" s="75">
        <f>VLOOKUP($A24,'Data Vlaue (Cr)'!$C:$FB,128)*100</f>
        <v>37.5</v>
      </c>
    </row>
    <row r="25" spans="1:19" x14ac:dyDescent="0.25">
      <c r="A25" s="96" t="str">
        <f>'Data Vlaue (Cr)'!C16</f>
        <v>ASIANPAINT</v>
      </c>
      <c r="B25" s="75">
        <f>VLOOKUP($A25,'Data Vlaue (Cr)'!$C:$FB,2)</f>
        <v>250</v>
      </c>
      <c r="C25" s="75">
        <f>VLOOKUP($A25,'Data Vlaue (Cr)'!$C:$FB,8)</f>
        <v>2785.7</v>
      </c>
      <c r="D25" s="75">
        <f>VLOOKUP($A25,'Data Vlaue (Cr)'!$C:$FB,4)</f>
        <v>2785.6</v>
      </c>
      <c r="E25" s="75">
        <f>VLOOKUP($A25,'Data Vlaue (Cr)'!$C:$FB,5)</f>
        <v>2792.4</v>
      </c>
      <c r="F25" s="75">
        <f t="shared" si="0"/>
        <v>-9.9999999999909051E-2</v>
      </c>
      <c r="G25" s="75">
        <f t="shared" si="1"/>
        <v>-0.24411257897760563</v>
      </c>
      <c r="H25" s="75">
        <f>VLOOKUP($A25,'Data Vlaue (Cr)'!$C:$FB,99)</f>
        <v>7139</v>
      </c>
      <c r="I25" s="75">
        <f>VLOOKUP($A25,'Data Vlaue (Cr)'!$C:$FB,100)</f>
        <v>7123</v>
      </c>
      <c r="J25" s="75">
        <f t="shared" si="2"/>
        <v>16</v>
      </c>
      <c r="K25" s="75">
        <f t="shared" si="3"/>
        <v>0.22412102535369097</v>
      </c>
      <c r="L25" s="75">
        <f>VLOOKUP($A25,'Data Vlaue (Cr)'!$C:$FB,67)</f>
        <v>2839</v>
      </c>
      <c r="M25" s="75">
        <f>VLOOKUP($A25,'Data Vlaue (Cr)'!$C:$FB,68)</f>
        <v>4350</v>
      </c>
      <c r="N25" s="75">
        <f t="shared" si="4"/>
        <v>-1511</v>
      </c>
      <c r="O25" s="75">
        <f t="shared" si="5"/>
        <v>-53.222965833039801</v>
      </c>
      <c r="P25" s="75">
        <f>VLOOKUP($A25,'Data Vlaue (Cr)'!$C:$FB,119)</f>
        <v>0.51</v>
      </c>
      <c r="Q25" s="75">
        <f>VLOOKUP($A25,'Data Vlaue (Cr)'!$C:$FB,122)*100</f>
        <v>-1.92</v>
      </c>
      <c r="R25" s="75">
        <f>VLOOKUP($A25,'Data Vlaue (Cr)'!$C:$FB,125)</f>
        <v>0.38</v>
      </c>
      <c r="S25" s="75">
        <f>VLOOKUP($A25,'Data Vlaue (Cr)'!$C:$FB,128)*100</f>
        <v>11.76</v>
      </c>
    </row>
    <row r="26" spans="1:19" x14ac:dyDescent="0.25">
      <c r="A26" s="96" t="str">
        <f>'Data Vlaue (Cr)'!C17</f>
        <v>ASTRAL</v>
      </c>
      <c r="B26" s="75">
        <f>VLOOKUP($A26,'Data Vlaue (Cr)'!$C:$FB,2)</f>
        <v>425</v>
      </c>
      <c r="C26" s="75">
        <f>VLOOKUP($A26,'Data Vlaue (Cr)'!$C:$FB,8)</f>
        <v>1428.9</v>
      </c>
      <c r="D26" s="75">
        <f>VLOOKUP($A26,'Data Vlaue (Cr)'!$C:$FB,4)</f>
        <v>1430.9</v>
      </c>
      <c r="E26" s="75">
        <f>VLOOKUP($A26,'Data Vlaue (Cr)'!$C:$FB,5)</f>
        <v>1466.6</v>
      </c>
      <c r="F26" s="75">
        <f t="shared" si="0"/>
        <v>2</v>
      </c>
      <c r="G26" s="75">
        <f t="shared" si="1"/>
        <v>-2.4949332587881621</v>
      </c>
      <c r="H26" s="75">
        <f>VLOOKUP($A26,'Data Vlaue (Cr)'!$C:$FB,99)</f>
        <v>1891</v>
      </c>
      <c r="I26" s="75">
        <f>VLOOKUP($A26,'Data Vlaue (Cr)'!$C:$FB,100)</f>
        <v>1908</v>
      </c>
      <c r="J26" s="75">
        <f t="shared" si="2"/>
        <v>-17</v>
      </c>
      <c r="K26" s="75">
        <f t="shared" si="3"/>
        <v>-0.89899524061343217</v>
      </c>
      <c r="L26" s="75">
        <f>VLOOKUP($A26,'Data Vlaue (Cr)'!$C:$FB,67)</f>
        <v>1237</v>
      </c>
      <c r="M26" s="75">
        <f>VLOOKUP($A26,'Data Vlaue (Cr)'!$C:$FB,68)</f>
        <v>3430</v>
      </c>
      <c r="N26" s="75">
        <f t="shared" si="4"/>
        <v>-2193</v>
      </c>
      <c r="O26" s="75">
        <f t="shared" si="5"/>
        <v>-177.28375101050929</v>
      </c>
      <c r="P26" s="75">
        <f>VLOOKUP($A26,'Data Vlaue (Cr)'!$C:$FB,119)</f>
        <v>0.51</v>
      </c>
      <c r="Q26" s="75">
        <f>VLOOKUP($A26,'Data Vlaue (Cr)'!$C:$FB,122)*100</f>
        <v>-7.2700000000000005</v>
      </c>
      <c r="R26" s="75">
        <f>VLOOKUP($A26,'Data Vlaue (Cr)'!$C:$FB,125)</f>
        <v>0.72</v>
      </c>
      <c r="S26" s="75">
        <f>VLOOKUP($A26,'Data Vlaue (Cr)'!$C:$FB,128)*100</f>
        <v>63.639999999999993</v>
      </c>
    </row>
    <row r="27" spans="1:19" x14ac:dyDescent="0.25">
      <c r="A27" s="96" t="str">
        <f>'Data Vlaue (Cr)'!C18</f>
        <v>AUBANK</v>
      </c>
      <c r="B27" s="75">
        <f>VLOOKUP($A27,'Data Vlaue (Cr)'!$C:$FB,2)</f>
        <v>1000</v>
      </c>
      <c r="C27" s="75">
        <f>VLOOKUP($A27,'Data Vlaue (Cr)'!$C:$FB,8)</f>
        <v>990.3</v>
      </c>
      <c r="D27" s="75">
        <f>VLOOKUP($A27,'Data Vlaue (Cr)'!$C:$FB,4)</f>
        <v>988.7</v>
      </c>
      <c r="E27" s="75">
        <f>VLOOKUP($A27,'Data Vlaue (Cr)'!$C:$FB,5)</f>
        <v>982.95</v>
      </c>
      <c r="F27" s="75">
        <f t="shared" si="0"/>
        <v>-1.5999999999999091</v>
      </c>
      <c r="G27" s="75">
        <f t="shared" si="1"/>
        <v>0.5815717608981491</v>
      </c>
      <c r="H27" s="75">
        <f>VLOOKUP($A27,'Data Vlaue (Cr)'!$C:$FB,99)</f>
        <v>3659</v>
      </c>
      <c r="I27" s="75">
        <f>VLOOKUP($A27,'Data Vlaue (Cr)'!$C:$FB,100)</f>
        <v>3467</v>
      </c>
      <c r="J27" s="75">
        <f t="shared" si="2"/>
        <v>192</v>
      </c>
      <c r="K27" s="75">
        <f t="shared" si="3"/>
        <v>5.2473353375239142</v>
      </c>
      <c r="L27" s="75">
        <f>VLOOKUP($A27,'Data Vlaue (Cr)'!$C:$FB,67)</f>
        <v>3295</v>
      </c>
      <c r="M27" s="75">
        <f>VLOOKUP($A27,'Data Vlaue (Cr)'!$C:$FB,68)</f>
        <v>1235</v>
      </c>
      <c r="N27" s="75">
        <f t="shared" si="4"/>
        <v>2060</v>
      </c>
      <c r="O27" s="75">
        <f t="shared" si="5"/>
        <v>62.518968133535658</v>
      </c>
      <c r="P27" s="75">
        <f>VLOOKUP($A27,'Data Vlaue (Cr)'!$C:$FB,119)</f>
        <v>0.81</v>
      </c>
      <c r="Q27" s="75">
        <f>VLOOKUP($A27,'Data Vlaue (Cr)'!$C:$FB,122)*100</f>
        <v>-3.5700000000000003</v>
      </c>
      <c r="R27" s="75">
        <f>VLOOKUP($A27,'Data Vlaue (Cr)'!$C:$FB,125)</f>
        <v>0.41</v>
      </c>
      <c r="S27" s="75">
        <f>VLOOKUP($A27,'Data Vlaue (Cr)'!$C:$FB,128)*100</f>
        <v>-43.059999999999995</v>
      </c>
    </row>
    <row r="28" spans="1:19" x14ac:dyDescent="0.25">
      <c r="A28" s="96" t="str">
        <f>'Data Vlaue (Cr)'!C19</f>
        <v>AUROPHARMA</v>
      </c>
      <c r="B28" s="75">
        <f>VLOOKUP($A28,'Data Vlaue (Cr)'!$C:$FB,2)</f>
        <v>550</v>
      </c>
      <c r="C28" s="75">
        <f>VLOOKUP($A28,'Data Vlaue (Cr)'!$C:$FB,8)</f>
        <v>1193</v>
      </c>
      <c r="D28" s="75">
        <f>VLOOKUP($A28,'Data Vlaue (Cr)'!$C:$FB,4)</f>
        <v>1195.3</v>
      </c>
      <c r="E28" s="75">
        <f>VLOOKUP($A28,'Data Vlaue (Cr)'!$C:$FB,5)</f>
        <v>1180.2</v>
      </c>
      <c r="F28" s="75">
        <f t="shared" si="0"/>
        <v>2.2999999999999545</v>
      </c>
      <c r="G28" s="75">
        <f t="shared" si="1"/>
        <v>1.2632811846398317</v>
      </c>
      <c r="H28" s="75">
        <f>VLOOKUP($A28,'Data Vlaue (Cr)'!$C:$FB,99)</f>
        <v>3711</v>
      </c>
      <c r="I28" s="75">
        <f>VLOOKUP($A28,'Data Vlaue (Cr)'!$C:$FB,100)</f>
        <v>3684</v>
      </c>
      <c r="J28" s="75">
        <f t="shared" si="2"/>
        <v>27</v>
      </c>
      <c r="K28" s="75">
        <f t="shared" si="3"/>
        <v>0.72756669361358117</v>
      </c>
      <c r="L28" s="75">
        <f>VLOOKUP($A28,'Data Vlaue (Cr)'!$C:$FB,67)</f>
        <v>709</v>
      </c>
      <c r="M28" s="75">
        <f>VLOOKUP($A28,'Data Vlaue (Cr)'!$C:$FB,68)</f>
        <v>682</v>
      </c>
      <c r="N28" s="75">
        <f t="shared" si="4"/>
        <v>27</v>
      </c>
      <c r="O28" s="75">
        <f t="shared" si="5"/>
        <v>3.8081805359661498</v>
      </c>
      <c r="P28" s="75">
        <f>VLOOKUP($A28,'Data Vlaue (Cr)'!$C:$FB,119)</f>
        <v>0.45</v>
      </c>
      <c r="Q28" s="75">
        <f>VLOOKUP($A28,'Data Vlaue (Cr)'!$C:$FB,122)*100</f>
        <v>0</v>
      </c>
      <c r="R28" s="75">
        <f>VLOOKUP($A28,'Data Vlaue (Cr)'!$C:$FB,125)</f>
        <v>0.36</v>
      </c>
      <c r="S28" s="75">
        <f>VLOOKUP($A28,'Data Vlaue (Cr)'!$C:$FB,128)*100</f>
        <v>-55.000000000000007</v>
      </c>
    </row>
    <row r="29" spans="1:19" x14ac:dyDescent="0.25">
      <c r="A29" s="96" t="str">
        <f>'Data Vlaue (Cr)'!C20</f>
        <v>AXISBANK</v>
      </c>
      <c r="B29" s="75">
        <f>VLOOKUP($A29,'Data Vlaue (Cr)'!$C:$FB,2)</f>
        <v>625</v>
      </c>
      <c r="C29" s="75">
        <f>VLOOKUP($A29,'Data Vlaue (Cr)'!$C:$FB,8)</f>
        <v>1224.7</v>
      </c>
      <c r="D29" s="75">
        <f>VLOOKUP($A29,'Data Vlaue (Cr)'!$C:$FB,4)</f>
        <v>1228.5999999999999</v>
      </c>
      <c r="E29" s="75">
        <f>VLOOKUP($A29,'Data Vlaue (Cr)'!$C:$FB,5)</f>
        <v>1224.4000000000001</v>
      </c>
      <c r="F29" s="75">
        <f t="shared" si="0"/>
        <v>3.8999999999998636</v>
      </c>
      <c r="G29" s="75">
        <f t="shared" si="1"/>
        <v>0.34185251505777453</v>
      </c>
      <c r="H29" s="75">
        <f>VLOOKUP($A29,'Data Vlaue (Cr)'!$C:$FB,99)</f>
        <v>15967</v>
      </c>
      <c r="I29" s="75">
        <f>VLOOKUP($A29,'Data Vlaue (Cr)'!$C:$FB,100)</f>
        <v>16607</v>
      </c>
      <c r="J29" s="75">
        <f t="shared" si="2"/>
        <v>-640</v>
      </c>
      <c r="K29" s="75">
        <f t="shared" si="3"/>
        <v>-4.0082670507922593</v>
      </c>
      <c r="L29" s="75">
        <f>VLOOKUP($A29,'Data Vlaue (Cr)'!$C:$FB,67)</f>
        <v>12245</v>
      </c>
      <c r="M29" s="75">
        <f>VLOOKUP($A29,'Data Vlaue (Cr)'!$C:$FB,68)</f>
        <v>27804</v>
      </c>
      <c r="N29" s="75">
        <f t="shared" si="4"/>
        <v>-15559</v>
      </c>
      <c r="O29" s="75">
        <f t="shared" si="5"/>
        <v>-127.06410779910166</v>
      </c>
      <c r="P29" s="75">
        <f>VLOOKUP($A29,'Data Vlaue (Cr)'!$C:$FB,119)</f>
        <v>0.44</v>
      </c>
      <c r="Q29" s="75">
        <f>VLOOKUP($A29,'Data Vlaue (Cr)'!$C:$FB,122)*100</f>
        <v>-2.2200000000000002</v>
      </c>
      <c r="R29" s="75">
        <f>VLOOKUP($A29,'Data Vlaue (Cr)'!$C:$FB,125)</f>
        <v>0.66</v>
      </c>
      <c r="S29" s="75">
        <f>VLOOKUP($A29,'Data Vlaue (Cr)'!$C:$FB,128)*100</f>
        <v>-17.5</v>
      </c>
    </row>
    <row r="30" spans="1:19" x14ac:dyDescent="0.25">
      <c r="A30" s="96" t="str">
        <f>'Data Vlaue (Cr)'!C21</f>
        <v>BAJAJ-AUTO</v>
      </c>
      <c r="B30" s="75">
        <f>VLOOKUP($A30,'Data Vlaue (Cr)'!$C:$FB,2)</f>
        <v>75</v>
      </c>
      <c r="C30" s="75">
        <f>VLOOKUP($A30,'Data Vlaue (Cr)'!$C:$FB,8)</f>
        <v>8895</v>
      </c>
      <c r="D30" s="75">
        <f>VLOOKUP($A30,'Data Vlaue (Cr)'!$C:$FB,4)</f>
        <v>8924.5</v>
      </c>
      <c r="E30" s="75">
        <f>VLOOKUP($A30,'Data Vlaue (Cr)'!$C:$FB,5)</f>
        <v>9026</v>
      </c>
      <c r="F30" s="75">
        <f t="shared" si="0"/>
        <v>29.5</v>
      </c>
      <c r="G30" s="75">
        <f t="shared" si="1"/>
        <v>-1.137318617289484</v>
      </c>
      <c r="H30" s="75">
        <f>VLOOKUP($A30,'Data Vlaue (Cr)'!$C:$FB,99)</f>
        <v>6178</v>
      </c>
      <c r="I30" s="75">
        <f>VLOOKUP($A30,'Data Vlaue (Cr)'!$C:$FB,100)</f>
        <v>6050</v>
      </c>
      <c r="J30" s="75">
        <f t="shared" si="2"/>
        <v>128</v>
      </c>
      <c r="K30" s="75">
        <f t="shared" si="3"/>
        <v>2.0718679184202009</v>
      </c>
      <c r="L30" s="75">
        <f>VLOOKUP($A30,'Data Vlaue (Cr)'!$C:$FB,67)</f>
        <v>3768</v>
      </c>
      <c r="M30" s="75">
        <f>VLOOKUP($A30,'Data Vlaue (Cr)'!$C:$FB,68)</f>
        <v>2964</v>
      </c>
      <c r="N30" s="75">
        <f t="shared" si="4"/>
        <v>804</v>
      </c>
      <c r="O30" s="75">
        <f t="shared" si="5"/>
        <v>21.337579617834397</v>
      </c>
      <c r="P30" s="75">
        <f>VLOOKUP($A30,'Data Vlaue (Cr)'!$C:$FB,119)</f>
        <v>0.53</v>
      </c>
      <c r="Q30" s="75">
        <f>VLOOKUP($A30,'Data Vlaue (Cr)'!$C:$FB,122)*100</f>
        <v>-3.64</v>
      </c>
      <c r="R30" s="75">
        <f>VLOOKUP($A30,'Data Vlaue (Cr)'!$C:$FB,125)</f>
        <v>0.73</v>
      </c>
      <c r="S30" s="75">
        <f>VLOOKUP($A30,'Data Vlaue (Cr)'!$C:$FB,128)*100</f>
        <v>62.22</v>
      </c>
    </row>
    <row r="31" spans="1:19" x14ac:dyDescent="0.25">
      <c r="A31" s="96" t="str">
        <f>'Data Vlaue (Cr)'!C22</f>
        <v>BAJAJFINSV</v>
      </c>
      <c r="B31" s="75">
        <f>VLOOKUP($A31,'Data Vlaue (Cr)'!$C:$FB,2)</f>
        <v>250</v>
      </c>
      <c r="C31" s="75">
        <f>VLOOKUP($A31,'Data Vlaue (Cr)'!$C:$FB,8)</f>
        <v>2021.2</v>
      </c>
      <c r="D31" s="75">
        <f>VLOOKUP($A31,'Data Vlaue (Cr)'!$C:$FB,4)</f>
        <v>2025.9</v>
      </c>
      <c r="E31" s="75">
        <f>VLOOKUP($A31,'Data Vlaue (Cr)'!$C:$FB,5)</f>
        <v>2039.8</v>
      </c>
      <c r="F31" s="75">
        <f t="shared" si="0"/>
        <v>4.7000000000000455</v>
      </c>
      <c r="G31" s="75">
        <f t="shared" si="1"/>
        <v>-0.68611481316944878</v>
      </c>
      <c r="H31" s="75">
        <f>VLOOKUP($A31,'Data Vlaue (Cr)'!$C:$FB,99)</f>
        <v>5633</v>
      </c>
      <c r="I31" s="75">
        <f>VLOOKUP($A31,'Data Vlaue (Cr)'!$C:$FB,100)</f>
        <v>5565</v>
      </c>
      <c r="J31" s="75">
        <f t="shared" si="2"/>
        <v>68</v>
      </c>
      <c r="K31" s="75">
        <f t="shared" si="3"/>
        <v>1.207172022013137</v>
      </c>
      <c r="L31" s="75">
        <f>VLOOKUP($A31,'Data Vlaue (Cr)'!$C:$FB,67)</f>
        <v>1750</v>
      </c>
      <c r="M31" s="75">
        <f>VLOOKUP($A31,'Data Vlaue (Cr)'!$C:$FB,68)</f>
        <v>1643</v>
      </c>
      <c r="N31" s="75">
        <f t="shared" si="4"/>
        <v>107</v>
      </c>
      <c r="O31" s="75">
        <f t="shared" si="5"/>
        <v>6.1142857142857148</v>
      </c>
      <c r="P31" s="75">
        <f>VLOOKUP($A31,'Data Vlaue (Cr)'!$C:$FB,119)</f>
        <v>0.65</v>
      </c>
      <c r="Q31" s="75">
        <f>VLOOKUP($A31,'Data Vlaue (Cr)'!$C:$FB,122)*100</f>
        <v>-8.4500000000000011</v>
      </c>
      <c r="R31" s="75">
        <f>VLOOKUP($A31,'Data Vlaue (Cr)'!$C:$FB,125)</f>
        <v>0.67</v>
      </c>
      <c r="S31" s="75">
        <f>VLOOKUP($A31,'Data Vlaue (Cr)'!$C:$FB,128)*100</f>
        <v>4.6899999999999995</v>
      </c>
    </row>
    <row r="32" spans="1:19" x14ac:dyDescent="0.25">
      <c r="A32" s="96" t="str">
        <f>'Data Vlaue (Cr)'!C23</f>
        <v>BAJFINANCE</v>
      </c>
      <c r="B32" s="75">
        <f>VLOOKUP($A32,'Data Vlaue (Cr)'!$C:$FB,2)</f>
        <v>750</v>
      </c>
      <c r="C32" s="75">
        <f>VLOOKUP($A32,'Data Vlaue (Cr)'!$C:$FB,8)</f>
        <v>999.6</v>
      </c>
      <c r="D32" s="75">
        <f>VLOOKUP($A32,'Data Vlaue (Cr)'!$C:$FB,4)</f>
        <v>1003.1</v>
      </c>
      <c r="E32" s="75">
        <f>VLOOKUP($A32,'Data Vlaue (Cr)'!$C:$FB,5)</f>
        <v>1001.1</v>
      </c>
      <c r="F32" s="75">
        <f t="shared" si="0"/>
        <v>3.5</v>
      </c>
      <c r="G32" s="75">
        <f t="shared" si="1"/>
        <v>0.19938191606021333</v>
      </c>
      <c r="H32" s="75">
        <f>VLOOKUP($A32,'Data Vlaue (Cr)'!$C:$FB,99)</f>
        <v>14026</v>
      </c>
      <c r="I32" s="75">
        <f>VLOOKUP($A32,'Data Vlaue (Cr)'!$C:$FB,100)</f>
        <v>14008</v>
      </c>
      <c r="J32" s="75">
        <f t="shared" si="2"/>
        <v>18</v>
      </c>
      <c r="K32" s="75">
        <f t="shared" si="3"/>
        <v>0.12833309567945245</v>
      </c>
      <c r="L32" s="75">
        <f>VLOOKUP($A32,'Data Vlaue (Cr)'!$C:$FB,67)</f>
        <v>4780</v>
      </c>
      <c r="M32" s="75">
        <f>VLOOKUP($A32,'Data Vlaue (Cr)'!$C:$FB,68)</f>
        <v>3880</v>
      </c>
      <c r="N32" s="75">
        <f t="shared" si="4"/>
        <v>900</v>
      </c>
      <c r="O32" s="75">
        <f t="shared" si="5"/>
        <v>18.828451882845187</v>
      </c>
      <c r="P32" s="75">
        <f>VLOOKUP($A32,'Data Vlaue (Cr)'!$C:$FB,119)</f>
        <v>0.59</v>
      </c>
      <c r="Q32" s="75">
        <f>VLOOKUP($A32,'Data Vlaue (Cr)'!$C:$FB,122)*100</f>
        <v>1.72</v>
      </c>
      <c r="R32" s="75">
        <f>VLOOKUP($A32,'Data Vlaue (Cr)'!$C:$FB,125)</f>
        <v>0.47</v>
      </c>
      <c r="S32" s="75">
        <f>VLOOKUP($A32,'Data Vlaue (Cr)'!$C:$FB,128)*100</f>
        <v>2.17</v>
      </c>
    </row>
    <row r="33" spans="1:19" x14ac:dyDescent="0.25">
      <c r="A33" s="96" t="str">
        <f>'Data Vlaue (Cr)'!C24</f>
        <v>BANDHANBNK</v>
      </c>
      <c r="B33" s="75">
        <f>VLOOKUP($A33,'Data Vlaue (Cr)'!$C:$FB,2)</f>
        <v>3600</v>
      </c>
      <c r="C33" s="75">
        <f>VLOOKUP($A33,'Data Vlaue (Cr)'!$C:$FB,8)</f>
        <v>147.84</v>
      </c>
      <c r="D33" s="75">
        <f>VLOOKUP($A33,'Data Vlaue (Cr)'!$C:$FB,4)</f>
        <v>148.63</v>
      </c>
      <c r="E33" s="75">
        <f>VLOOKUP($A33,'Data Vlaue (Cr)'!$C:$FB,5)</f>
        <v>149.84</v>
      </c>
      <c r="F33" s="75">
        <f t="shared" si="0"/>
        <v>0.78999999999999204</v>
      </c>
      <c r="G33" s="75">
        <f t="shared" si="1"/>
        <v>-0.8141021328130309</v>
      </c>
      <c r="H33" s="75">
        <f>VLOOKUP($A33,'Data Vlaue (Cr)'!$C:$FB,99)</f>
        <v>2726</v>
      </c>
      <c r="I33" s="75">
        <f>VLOOKUP($A33,'Data Vlaue (Cr)'!$C:$FB,100)</f>
        <v>2732</v>
      </c>
      <c r="J33" s="75">
        <f t="shared" si="2"/>
        <v>-6</v>
      </c>
      <c r="K33" s="75">
        <f t="shared" si="3"/>
        <v>-0.22010271460014674</v>
      </c>
      <c r="L33" s="75">
        <f>VLOOKUP($A33,'Data Vlaue (Cr)'!$C:$FB,67)</f>
        <v>34</v>
      </c>
      <c r="M33" s="75">
        <f>VLOOKUP($A33,'Data Vlaue (Cr)'!$C:$FB,68)</f>
        <v>19</v>
      </c>
      <c r="N33" s="75">
        <f t="shared" si="4"/>
        <v>15</v>
      </c>
      <c r="O33" s="75">
        <f t="shared" si="5"/>
        <v>44.117647058823529</v>
      </c>
      <c r="P33" s="75">
        <f>VLOOKUP($A33,'Data Vlaue (Cr)'!$C:$FB,119)</f>
        <v>0.67</v>
      </c>
      <c r="Q33" s="75">
        <f>VLOOKUP($A33,'Data Vlaue (Cr)'!$C:$FB,122)*100</f>
        <v>0</v>
      </c>
      <c r="R33" s="75">
        <f>VLOOKUP($A33,'Data Vlaue (Cr)'!$C:$FB,125)</f>
        <v>0.16</v>
      </c>
      <c r="S33" s="75">
        <f>VLOOKUP($A33,'Data Vlaue (Cr)'!$C:$FB,128)*100</f>
        <v>-50</v>
      </c>
    </row>
    <row r="34" spans="1:19" x14ac:dyDescent="0.25">
      <c r="A34" s="96" t="str">
        <f>'Data Vlaue (Cr)'!C25</f>
        <v>BANKBARODA</v>
      </c>
      <c r="B34" s="75">
        <f>VLOOKUP($A34,'Data Vlaue (Cr)'!$C:$FB,2)</f>
        <v>2925</v>
      </c>
      <c r="C34" s="75">
        <f>VLOOKUP($A34,'Data Vlaue (Cr)'!$C:$FB,8)</f>
        <v>287.60000000000002</v>
      </c>
      <c r="D34" s="75">
        <f>VLOOKUP($A34,'Data Vlaue (Cr)'!$C:$FB,4)</f>
        <v>288.14999999999998</v>
      </c>
      <c r="E34" s="75">
        <f>VLOOKUP($A34,'Data Vlaue (Cr)'!$C:$FB,5)</f>
        <v>283.39999999999998</v>
      </c>
      <c r="F34" s="75">
        <f t="shared" si="0"/>
        <v>0.54999999999995453</v>
      </c>
      <c r="G34" s="75">
        <f t="shared" si="1"/>
        <v>1.6484469894152352</v>
      </c>
      <c r="H34" s="180">
        <f>VLOOKUP($A34,'Data Vlaue (Cr)'!$C:$FB,99)</f>
        <v>5139</v>
      </c>
      <c r="I34" s="180">
        <f>VLOOKUP($A34,'Data Vlaue (Cr)'!$C:$FB,100)</f>
        <v>5259</v>
      </c>
      <c r="J34" s="180">
        <f t="shared" si="2"/>
        <v>-120</v>
      </c>
      <c r="K34" s="180">
        <f t="shared" si="3"/>
        <v>-2.335084646818447</v>
      </c>
      <c r="L34" s="180">
        <f>VLOOKUP($A34,'Data Vlaue (Cr)'!$C:$FB,67)</f>
        <v>3523</v>
      </c>
      <c r="M34" s="180">
        <f>VLOOKUP($A34,'Data Vlaue (Cr)'!$C:$FB,68)</f>
        <v>2115</v>
      </c>
      <c r="N34" s="180">
        <f t="shared" si="4"/>
        <v>1408</v>
      </c>
      <c r="O34" s="180">
        <f t="shared" si="5"/>
        <v>39.965938120919667</v>
      </c>
      <c r="P34" s="180">
        <f>VLOOKUP($A34,'Data Vlaue (Cr)'!$C:$FB,119)</f>
        <v>0.79</v>
      </c>
      <c r="Q34" s="180">
        <f>VLOOKUP($A34,'Data Vlaue (Cr)'!$C:$FB,122)*100</f>
        <v>6.76</v>
      </c>
      <c r="R34" s="180">
        <f>VLOOKUP($A34,'Data Vlaue (Cr)'!$C:$FB,125)</f>
        <v>0.52</v>
      </c>
      <c r="S34" s="180">
        <f>VLOOKUP($A34,'Data Vlaue (Cr)'!$C:$FB,128)*100</f>
        <v>20.93</v>
      </c>
    </row>
    <row r="35" spans="1:19" x14ac:dyDescent="0.25">
      <c r="A35" s="96" t="str">
        <f>'Data Vlaue (Cr)'!C26</f>
        <v>BANKINDIA</v>
      </c>
      <c r="B35" s="75">
        <f>VLOOKUP($A35,'Data Vlaue (Cr)'!$C:$FB,2)</f>
        <v>5200</v>
      </c>
      <c r="C35" s="75">
        <f>VLOOKUP($A35,'Data Vlaue (Cr)'!$C:$FB,8)</f>
        <v>141.96</v>
      </c>
      <c r="D35" s="75">
        <f>VLOOKUP($A35,'Data Vlaue (Cr)'!$C:$FB,4)</f>
        <v>142.44</v>
      </c>
      <c r="E35" s="75">
        <f>VLOOKUP($A35,'Data Vlaue (Cr)'!$C:$FB,5)</f>
        <v>140.01</v>
      </c>
      <c r="F35" s="75">
        <f t="shared" si="0"/>
        <v>0.47999999999998977</v>
      </c>
      <c r="G35" s="75">
        <f t="shared" si="1"/>
        <v>1.7059814658803754</v>
      </c>
      <c r="H35" s="75">
        <f>VLOOKUP($A35,'Data Vlaue (Cr)'!$C:$FB,99)</f>
        <v>1392</v>
      </c>
      <c r="I35" s="75">
        <f>VLOOKUP($A35,'Data Vlaue (Cr)'!$C:$FB,100)</f>
        <v>1371</v>
      </c>
      <c r="J35" s="75">
        <f t="shared" si="2"/>
        <v>21</v>
      </c>
      <c r="K35" s="75">
        <f t="shared" si="3"/>
        <v>1.5086206896551724</v>
      </c>
      <c r="L35" s="75">
        <f>VLOOKUP($A35,'Data Vlaue (Cr)'!$C:$FB,67)</f>
        <v>810</v>
      </c>
      <c r="M35" s="75">
        <f>VLOOKUP($A35,'Data Vlaue (Cr)'!$C:$FB,68)</f>
        <v>278</v>
      </c>
      <c r="N35" s="75">
        <f t="shared" si="4"/>
        <v>532</v>
      </c>
      <c r="O35" s="75">
        <f t="shared" si="5"/>
        <v>65.679012345679013</v>
      </c>
      <c r="P35" s="75">
        <f>VLOOKUP($A35,'Data Vlaue (Cr)'!$C:$FB,119)</f>
        <v>0.72</v>
      </c>
      <c r="Q35" s="75">
        <f>VLOOKUP($A35,'Data Vlaue (Cr)'!$C:$FB,122)*100</f>
        <v>-1.37</v>
      </c>
      <c r="R35" s="75">
        <f>VLOOKUP($A35,'Data Vlaue (Cr)'!$C:$FB,125)</f>
        <v>0.36</v>
      </c>
      <c r="S35" s="75">
        <f>VLOOKUP($A35,'Data Vlaue (Cr)'!$C:$FB,128)*100</f>
        <v>16.13</v>
      </c>
    </row>
    <row r="36" spans="1:19" x14ac:dyDescent="0.25">
      <c r="A36" s="96" t="str">
        <f>'Data Vlaue (Cr)'!C27</f>
        <v>BANKNIFTY</v>
      </c>
      <c r="B36" s="75">
        <f>VLOOKUP($A36,'Data Vlaue (Cr)'!$C:$FB,2)</f>
        <v>35</v>
      </c>
      <c r="C36" s="75">
        <f>VLOOKUP($A36,'Data Vlaue (Cr)'!$C:$FB,8)</f>
        <v>58926.75</v>
      </c>
      <c r="D36" s="75">
        <f>VLOOKUP($A36,'Data Vlaue (Cr)'!$C:$FB,4)</f>
        <v>59146.8</v>
      </c>
      <c r="E36" s="75">
        <f>VLOOKUP($A36,'Data Vlaue (Cr)'!$C:$FB,5)</f>
        <v>59287.8</v>
      </c>
      <c r="F36" s="75">
        <f t="shared" si="0"/>
        <v>220.05000000000291</v>
      </c>
      <c r="G36" s="75">
        <f t="shared" si="1"/>
        <v>-0.23838990444115318</v>
      </c>
      <c r="H36" s="75">
        <f>VLOOKUP($A36,'Data Vlaue (Cr)'!$C:$FB,99)</f>
        <v>247509</v>
      </c>
      <c r="I36" s="75">
        <f>VLOOKUP($A36,'Data Vlaue (Cr)'!$C:$FB,100)</f>
        <v>241876</v>
      </c>
      <c r="J36" s="75">
        <f t="shared" si="2"/>
        <v>5633</v>
      </c>
      <c r="K36" s="75">
        <f t="shared" si="3"/>
        <v>2.2758768368018942</v>
      </c>
      <c r="L36" s="75">
        <f>VLOOKUP($A36,'Data Vlaue (Cr)'!$C:$FB,67)</f>
        <v>580659</v>
      </c>
      <c r="M36" s="75">
        <f>VLOOKUP($A36,'Data Vlaue (Cr)'!$C:$FB,68)</f>
        <v>532132</v>
      </c>
      <c r="N36" s="75">
        <f t="shared" si="4"/>
        <v>48527</v>
      </c>
      <c r="O36" s="75">
        <f t="shared" si="5"/>
        <v>8.3572285971628784</v>
      </c>
      <c r="P36" s="75">
        <f>VLOOKUP($A36,'Data Vlaue (Cr)'!$C:$FB,119)</f>
        <v>0.75</v>
      </c>
      <c r="Q36" s="75">
        <f>VLOOKUP($A36,'Data Vlaue (Cr)'!$C:$FB,122)*100</f>
        <v>-2.6</v>
      </c>
      <c r="R36" s="75">
        <f>VLOOKUP($A36,'Data Vlaue (Cr)'!$C:$FB,125)</f>
        <v>0.96</v>
      </c>
      <c r="S36" s="75">
        <f>VLOOKUP($A36,'Data Vlaue (Cr)'!$C:$FB,128)*100</f>
        <v>1.05</v>
      </c>
    </row>
    <row r="37" spans="1:19" x14ac:dyDescent="0.25">
      <c r="A37" s="96" t="str">
        <f>'Data Vlaue (Cr)'!C28</f>
        <v>BDL</v>
      </c>
      <c r="B37" s="75">
        <f>VLOOKUP($A37,'Data Vlaue (Cr)'!$C:$FB,2)</f>
        <v>325</v>
      </c>
      <c r="C37" s="75">
        <f>VLOOKUP($A37,'Data Vlaue (Cr)'!$C:$FB,8)</f>
        <v>1324.3</v>
      </c>
      <c r="D37" s="75">
        <f>VLOOKUP($A37,'Data Vlaue (Cr)'!$C:$FB,4)</f>
        <v>1328</v>
      </c>
      <c r="E37" s="75">
        <f>VLOOKUP($A37,'Data Vlaue (Cr)'!$C:$FB,5)</f>
        <v>1356</v>
      </c>
      <c r="F37" s="75">
        <f t="shared" si="0"/>
        <v>3.7000000000000455</v>
      </c>
      <c r="G37" s="75">
        <f t="shared" si="1"/>
        <v>-2.1084337349397591</v>
      </c>
      <c r="H37" s="75">
        <f>VLOOKUP($A37,'Data Vlaue (Cr)'!$C:$FB,99)</f>
        <v>2025</v>
      </c>
      <c r="I37" s="75">
        <f>VLOOKUP($A37,'Data Vlaue (Cr)'!$C:$FB,100)</f>
        <v>1940</v>
      </c>
      <c r="J37" s="75">
        <f t="shared" si="2"/>
        <v>85</v>
      </c>
      <c r="K37" s="75">
        <f t="shared" si="3"/>
        <v>4.1975308641975309</v>
      </c>
      <c r="L37" s="75">
        <f>VLOOKUP($A37,'Data Vlaue (Cr)'!$C:$FB,67)</f>
        <v>2326</v>
      </c>
      <c r="M37" s="75">
        <f>VLOOKUP($A37,'Data Vlaue (Cr)'!$C:$FB,68)</f>
        <v>2322</v>
      </c>
      <c r="N37" s="75">
        <f t="shared" si="4"/>
        <v>4</v>
      </c>
      <c r="O37" s="75">
        <f t="shared" si="5"/>
        <v>0.17196904557179707</v>
      </c>
      <c r="P37" s="75">
        <f>VLOOKUP($A37,'Data Vlaue (Cr)'!$C:$FB,119)</f>
        <v>0.4</v>
      </c>
      <c r="Q37" s="75">
        <f>VLOOKUP($A37,'Data Vlaue (Cr)'!$C:$FB,122)*100</f>
        <v>-2.44</v>
      </c>
      <c r="R37" s="75">
        <f>VLOOKUP($A37,'Data Vlaue (Cr)'!$C:$FB,125)</f>
        <v>0.63</v>
      </c>
      <c r="S37" s="75">
        <f>VLOOKUP($A37,'Data Vlaue (Cr)'!$C:$FB,128)*100</f>
        <v>-1.5599999999999998</v>
      </c>
    </row>
    <row r="38" spans="1:19" x14ac:dyDescent="0.25">
      <c r="A38" s="96" t="str">
        <f>'Data Vlaue (Cr)'!C29</f>
        <v>BEL</v>
      </c>
      <c r="B38" s="75">
        <f>VLOOKUP($A38,'Data Vlaue (Cr)'!$C:$FB,2)</f>
        <v>1425</v>
      </c>
      <c r="C38" s="75">
        <f>VLOOKUP($A38,'Data Vlaue (Cr)'!$C:$FB,8)</f>
        <v>385.6</v>
      </c>
      <c r="D38" s="75">
        <f>VLOOKUP($A38,'Data Vlaue (Cr)'!$C:$FB,4)</f>
        <v>386.85</v>
      </c>
      <c r="E38" s="75">
        <f>VLOOKUP($A38,'Data Vlaue (Cr)'!$C:$FB,5)</f>
        <v>388.7</v>
      </c>
      <c r="F38" s="75">
        <f t="shared" si="0"/>
        <v>1.25</v>
      </c>
      <c r="G38" s="75">
        <f t="shared" si="1"/>
        <v>-0.47822153289387764</v>
      </c>
      <c r="H38" s="75">
        <f>VLOOKUP($A38,'Data Vlaue (Cr)'!$C:$FB,99)</f>
        <v>9993</v>
      </c>
      <c r="I38" s="75">
        <f>VLOOKUP($A38,'Data Vlaue (Cr)'!$C:$FB,100)</f>
        <v>9968</v>
      </c>
      <c r="J38" s="75">
        <f t="shared" si="2"/>
        <v>25</v>
      </c>
      <c r="K38" s="75">
        <f t="shared" si="3"/>
        <v>0.25017512258581009</v>
      </c>
      <c r="L38" s="75">
        <f>VLOOKUP($A38,'Data Vlaue (Cr)'!$C:$FB,67)</f>
        <v>4078</v>
      </c>
      <c r="M38" s="75">
        <f>VLOOKUP($A38,'Data Vlaue (Cr)'!$C:$FB,68)</f>
        <v>4425</v>
      </c>
      <c r="N38" s="75">
        <f t="shared" si="4"/>
        <v>-347</v>
      </c>
      <c r="O38" s="75">
        <f t="shared" si="5"/>
        <v>-8.5090730750367829</v>
      </c>
      <c r="P38" s="75">
        <f>VLOOKUP($A38,'Data Vlaue (Cr)'!$C:$FB,119)</f>
        <v>0.46</v>
      </c>
      <c r="Q38" s="75">
        <f>VLOOKUP($A38,'Data Vlaue (Cr)'!$C:$FB,122)*100</f>
        <v>0</v>
      </c>
      <c r="R38" s="75">
        <f>VLOOKUP($A38,'Data Vlaue (Cr)'!$C:$FB,125)</f>
        <v>0.39</v>
      </c>
      <c r="S38" s="75">
        <f>VLOOKUP($A38,'Data Vlaue (Cr)'!$C:$FB,128)*100</f>
        <v>-9.3000000000000007</v>
      </c>
    </row>
    <row r="39" spans="1:19" x14ac:dyDescent="0.25">
      <c r="A39" s="96" t="str">
        <f>'Data Vlaue (Cr)'!C30</f>
        <v>BHARATFORG</v>
      </c>
      <c r="B39" s="75">
        <f>VLOOKUP($A39,'Data Vlaue (Cr)'!$C:$FB,2)</f>
        <v>500</v>
      </c>
      <c r="C39" s="75">
        <f>VLOOKUP($A39,'Data Vlaue (Cr)'!$C:$FB,8)</f>
        <v>1413.3</v>
      </c>
      <c r="D39" s="75">
        <f>VLOOKUP($A39,'Data Vlaue (Cr)'!$C:$FB,4)</f>
        <v>1417.3</v>
      </c>
      <c r="E39" s="75">
        <f>VLOOKUP($A39,'Data Vlaue (Cr)'!$C:$FB,5)</f>
        <v>1419.4</v>
      </c>
      <c r="F39" s="75">
        <f t="shared" si="0"/>
        <v>4</v>
      </c>
      <c r="G39" s="75">
        <f t="shared" si="1"/>
        <v>-0.14816905383476583</v>
      </c>
      <c r="H39" s="75">
        <f>VLOOKUP($A39,'Data Vlaue (Cr)'!$C:$FB,99)</f>
        <v>1952</v>
      </c>
      <c r="I39" s="75">
        <f>VLOOKUP($A39,'Data Vlaue (Cr)'!$C:$FB,100)</f>
        <v>1919</v>
      </c>
      <c r="J39" s="75">
        <f t="shared" si="2"/>
        <v>33</v>
      </c>
      <c r="K39" s="75">
        <f t="shared" si="3"/>
        <v>1.6905737704918034</v>
      </c>
      <c r="L39" s="75">
        <f>VLOOKUP($A39,'Data Vlaue (Cr)'!$C:$FB,67)</f>
        <v>944</v>
      </c>
      <c r="M39" s="75">
        <f>VLOOKUP($A39,'Data Vlaue (Cr)'!$C:$FB,68)</f>
        <v>1212</v>
      </c>
      <c r="N39" s="75">
        <f t="shared" si="4"/>
        <v>-268</v>
      </c>
      <c r="O39" s="75">
        <f t="shared" si="5"/>
        <v>-28.389830508474578</v>
      </c>
      <c r="P39" s="75">
        <f>VLOOKUP($A39,'Data Vlaue (Cr)'!$C:$FB,119)</f>
        <v>0.62</v>
      </c>
      <c r="Q39" s="75">
        <f>VLOOKUP($A39,'Data Vlaue (Cr)'!$C:$FB,122)*100</f>
        <v>0</v>
      </c>
      <c r="R39" s="75">
        <f>VLOOKUP($A39,'Data Vlaue (Cr)'!$C:$FB,125)</f>
        <v>0.44</v>
      </c>
      <c r="S39" s="75">
        <f>VLOOKUP($A39,'Data Vlaue (Cr)'!$C:$FB,128)*100</f>
        <v>22.220000000000002</v>
      </c>
    </row>
    <row r="40" spans="1:19" x14ac:dyDescent="0.25">
      <c r="A40" s="96" t="str">
        <f>'Data Vlaue (Cr)'!C31</f>
        <v>BHARTIARTL</v>
      </c>
      <c r="B40" s="75">
        <f>VLOOKUP($A40,'Data Vlaue (Cr)'!$C:$FB,2)</f>
        <v>475</v>
      </c>
      <c r="C40" s="75">
        <f>VLOOKUP($A40,'Data Vlaue (Cr)'!$C:$FB,8)</f>
        <v>2108</v>
      </c>
      <c r="D40" s="75">
        <f>VLOOKUP($A40,'Data Vlaue (Cr)'!$C:$FB,4)</f>
        <v>2109.1</v>
      </c>
      <c r="E40" s="75">
        <f>VLOOKUP($A40,'Data Vlaue (Cr)'!$C:$FB,5)</f>
        <v>2105</v>
      </c>
      <c r="F40" s="75">
        <f t="shared" si="0"/>
        <v>1.0999999999999091</v>
      </c>
      <c r="G40" s="75">
        <f t="shared" si="1"/>
        <v>0.19439571381157408</v>
      </c>
      <c r="H40" s="75">
        <f>VLOOKUP($A40,'Data Vlaue (Cr)'!$C:$FB,99)</f>
        <v>15907</v>
      </c>
      <c r="I40" s="75">
        <f>VLOOKUP($A40,'Data Vlaue (Cr)'!$C:$FB,100)</f>
        <v>16207</v>
      </c>
      <c r="J40" s="75">
        <f t="shared" si="2"/>
        <v>-300</v>
      </c>
      <c r="K40" s="75">
        <f t="shared" si="3"/>
        <v>-1.8859621550260892</v>
      </c>
      <c r="L40" s="75">
        <f>VLOOKUP($A40,'Data Vlaue (Cr)'!$C:$FB,67)</f>
        <v>7850</v>
      </c>
      <c r="M40" s="75">
        <f>VLOOKUP($A40,'Data Vlaue (Cr)'!$C:$FB,68)</f>
        <v>13850</v>
      </c>
      <c r="N40" s="75">
        <f t="shared" si="4"/>
        <v>-6000</v>
      </c>
      <c r="O40" s="75">
        <f t="shared" si="5"/>
        <v>-76.433121019108285</v>
      </c>
      <c r="P40" s="75">
        <f>VLOOKUP($A40,'Data Vlaue (Cr)'!$C:$FB,119)</f>
        <v>0.5</v>
      </c>
      <c r="Q40" s="75">
        <f>VLOOKUP($A40,'Data Vlaue (Cr)'!$C:$FB,122)*100</f>
        <v>2.04</v>
      </c>
      <c r="R40" s="75">
        <f>VLOOKUP($A40,'Data Vlaue (Cr)'!$C:$FB,125)</f>
        <v>0.51</v>
      </c>
      <c r="S40" s="75">
        <f>VLOOKUP($A40,'Data Vlaue (Cr)'!$C:$FB,128)*100</f>
        <v>18.600000000000001</v>
      </c>
    </row>
    <row r="41" spans="1:19" x14ac:dyDescent="0.25">
      <c r="A41" s="96" t="str">
        <f>'Data Vlaue (Cr)'!C32</f>
        <v>BHEL</v>
      </c>
      <c r="B41" s="75">
        <f>VLOOKUP($A41,'Data Vlaue (Cr)'!$C:$FB,2)</f>
        <v>2625</v>
      </c>
      <c r="C41" s="75">
        <f>VLOOKUP($A41,'Data Vlaue (Cr)'!$C:$FB,8)</f>
        <v>277.85000000000002</v>
      </c>
      <c r="D41" s="75">
        <f>VLOOKUP($A41,'Data Vlaue (Cr)'!$C:$FB,4)</f>
        <v>278.75</v>
      </c>
      <c r="E41" s="75">
        <f>VLOOKUP($A41,'Data Vlaue (Cr)'!$C:$FB,5)</f>
        <v>280.14999999999998</v>
      </c>
      <c r="F41" s="75">
        <f t="shared" si="0"/>
        <v>0.89999999999997726</v>
      </c>
      <c r="G41" s="75">
        <f t="shared" si="1"/>
        <v>-0.5022421524663595</v>
      </c>
      <c r="H41" s="75">
        <f>VLOOKUP($A41,'Data Vlaue (Cr)'!$C:$FB,99)</f>
        <v>3922</v>
      </c>
      <c r="I41" s="75">
        <f>VLOOKUP($A41,'Data Vlaue (Cr)'!$C:$FB,100)</f>
        <v>3869</v>
      </c>
      <c r="J41" s="75">
        <f t="shared" si="2"/>
        <v>53</v>
      </c>
      <c r="K41" s="75">
        <f t="shared" si="3"/>
        <v>1.3513513513513513</v>
      </c>
      <c r="L41" s="75">
        <f>VLOOKUP($A41,'Data Vlaue (Cr)'!$C:$FB,67)</f>
        <v>1692</v>
      </c>
      <c r="M41" s="75">
        <f>VLOOKUP($A41,'Data Vlaue (Cr)'!$C:$FB,68)</f>
        <v>2249</v>
      </c>
      <c r="N41" s="75">
        <f t="shared" si="4"/>
        <v>-557</v>
      </c>
      <c r="O41" s="75">
        <f t="shared" si="5"/>
        <v>-32.919621749408982</v>
      </c>
      <c r="P41" s="75">
        <f>VLOOKUP($A41,'Data Vlaue (Cr)'!$C:$FB,119)</f>
        <v>0.48</v>
      </c>
      <c r="Q41" s="75">
        <f>VLOOKUP($A41,'Data Vlaue (Cr)'!$C:$FB,122)*100</f>
        <v>-4</v>
      </c>
      <c r="R41" s="75">
        <f>VLOOKUP($A41,'Data Vlaue (Cr)'!$C:$FB,125)</f>
        <v>0.32</v>
      </c>
      <c r="S41" s="75">
        <f>VLOOKUP($A41,'Data Vlaue (Cr)'!$C:$FB,128)*100</f>
        <v>-31.91</v>
      </c>
    </row>
    <row r="42" spans="1:19" x14ac:dyDescent="0.25">
      <c r="A42" s="96" t="str">
        <f>'Data Vlaue (Cr)'!C33</f>
        <v>BIOCON</v>
      </c>
      <c r="B42" s="75">
        <f>VLOOKUP($A42,'Data Vlaue (Cr)'!$C:$FB,2)</f>
        <v>2500</v>
      </c>
      <c r="C42" s="75">
        <f>VLOOKUP($A42,'Data Vlaue (Cr)'!$C:$FB,8)</f>
        <v>386.1</v>
      </c>
      <c r="D42" s="75">
        <f>VLOOKUP($A42,'Data Vlaue (Cr)'!$C:$FB,4)</f>
        <v>386.85</v>
      </c>
      <c r="E42" s="75">
        <f>VLOOKUP($A42,'Data Vlaue (Cr)'!$C:$FB,5)</f>
        <v>386.4</v>
      </c>
      <c r="F42" s="75">
        <f t="shared" si="0"/>
        <v>0.75</v>
      </c>
      <c r="G42" s="75">
        <f t="shared" si="1"/>
        <v>0.11632415664987604</v>
      </c>
      <c r="H42" s="75">
        <f>VLOOKUP($A42,'Data Vlaue (Cr)'!$C:$FB,99)</f>
        <v>3800</v>
      </c>
      <c r="I42" s="75">
        <f>VLOOKUP($A42,'Data Vlaue (Cr)'!$C:$FB,100)</f>
        <v>3849</v>
      </c>
      <c r="J42" s="75">
        <f t="shared" si="2"/>
        <v>-49</v>
      </c>
      <c r="K42" s="75">
        <f t="shared" si="3"/>
        <v>-1.2894736842105263</v>
      </c>
      <c r="L42" s="75">
        <f>VLOOKUP($A42,'Data Vlaue (Cr)'!$C:$FB,67)</f>
        <v>1097</v>
      </c>
      <c r="M42" s="75">
        <f>VLOOKUP($A42,'Data Vlaue (Cr)'!$C:$FB,68)</f>
        <v>973</v>
      </c>
      <c r="N42" s="75">
        <f t="shared" si="4"/>
        <v>124</v>
      </c>
      <c r="O42" s="75">
        <f t="shared" si="5"/>
        <v>11.30355515041021</v>
      </c>
      <c r="P42" s="75">
        <f>VLOOKUP($A42,'Data Vlaue (Cr)'!$C:$FB,119)</f>
        <v>0.51</v>
      </c>
      <c r="Q42" s="75">
        <f>VLOOKUP($A42,'Data Vlaue (Cr)'!$C:$FB,122)*100</f>
        <v>2</v>
      </c>
      <c r="R42" s="75">
        <f>VLOOKUP($A42,'Data Vlaue (Cr)'!$C:$FB,125)</f>
        <v>0.34</v>
      </c>
      <c r="S42" s="75">
        <f>VLOOKUP($A42,'Data Vlaue (Cr)'!$C:$FB,128)*100</f>
        <v>-5.56</v>
      </c>
    </row>
    <row r="43" spans="1:19" x14ac:dyDescent="0.25">
      <c r="A43" s="96" t="str">
        <f>'Data Vlaue (Cr)'!C34</f>
        <v>BLUESTARCO</v>
      </c>
      <c r="B43" s="75">
        <f>VLOOKUP($A43,'Data Vlaue (Cr)'!$C:$FB,2)</f>
        <v>325</v>
      </c>
      <c r="C43" s="75">
        <f>VLOOKUP($A43,'Data Vlaue (Cr)'!$C:$FB,8)</f>
        <v>1826.8</v>
      </c>
      <c r="D43" s="75">
        <f>VLOOKUP($A43,'Data Vlaue (Cr)'!$C:$FB,4)</f>
        <v>1825.9</v>
      </c>
      <c r="E43" s="75">
        <f>VLOOKUP($A43,'Data Vlaue (Cr)'!$C:$FB,5)</f>
        <v>1822</v>
      </c>
      <c r="F43" s="75">
        <f t="shared" si="0"/>
        <v>-0.89999999999986358</v>
      </c>
      <c r="G43" s="75">
        <f t="shared" si="1"/>
        <v>0.21359329645654698</v>
      </c>
      <c r="H43" s="75">
        <f>VLOOKUP($A43,'Data Vlaue (Cr)'!$C:$FB,99)</f>
        <v>667</v>
      </c>
      <c r="I43" s="75">
        <f>VLOOKUP($A43,'Data Vlaue (Cr)'!$C:$FB,100)</f>
        <v>622</v>
      </c>
      <c r="J43" s="75">
        <f t="shared" si="2"/>
        <v>45</v>
      </c>
      <c r="K43" s="75">
        <f t="shared" si="3"/>
        <v>6.746626686656672</v>
      </c>
      <c r="L43" s="75">
        <f>VLOOKUP($A43,'Data Vlaue (Cr)'!$C:$FB,67)</f>
        <v>280</v>
      </c>
      <c r="M43" s="75">
        <f>VLOOKUP($A43,'Data Vlaue (Cr)'!$C:$FB,68)</f>
        <v>254</v>
      </c>
      <c r="N43" s="75">
        <f t="shared" si="4"/>
        <v>26</v>
      </c>
      <c r="O43" s="75">
        <f t="shared" si="5"/>
        <v>9.2857142857142865</v>
      </c>
      <c r="P43" s="75">
        <f>VLOOKUP($A43,'Data Vlaue (Cr)'!$C:$FB,119)</f>
        <v>0.7</v>
      </c>
      <c r="Q43" s="75">
        <f>VLOOKUP($A43,'Data Vlaue (Cr)'!$C:$FB,122)*100</f>
        <v>-11.39</v>
      </c>
      <c r="R43" s="75">
        <f>VLOOKUP($A43,'Data Vlaue (Cr)'!$C:$FB,125)</f>
        <v>0.23</v>
      </c>
      <c r="S43" s="75">
        <f>VLOOKUP($A43,'Data Vlaue (Cr)'!$C:$FB,128)*100</f>
        <v>-45.24</v>
      </c>
    </row>
    <row r="44" spans="1:19" x14ac:dyDescent="0.25">
      <c r="A44" s="96" t="str">
        <f>'Data Vlaue (Cr)'!C35</f>
        <v>BOSCHLTD</v>
      </c>
      <c r="B44" s="75">
        <f>VLOOKUP($A44,'Data Vlaue (Cr)'!$C:$FB,2)</f>
        <v>25</v>
      </c>
      <c r="C44" s="75">
        <f>VLOOKUP($A44,'Data Vlaue (Cr)'!$C:$FB,8)</f>
        <v>35975</v>
      </c>
      <c r="D44" s="75">
        <f>VLOOKUP($A44,'Data Vlaue (Cr)'!$C:$FB,4)</f>
        <v>36045</v>
      </c>
      <c r="E44" s="75">
        <f>VLOOKUP($A44,'Data Vlaue (Cr)'!$C:$FB,5)</f>
        <v>36295</v>
      </c>
      <c r="F44" s="75">
        <f t="shared" si="0"/>
        <v>70</v>
      </c>
      <c r="G44" s="75">
        <f t="shared" si="1"/>
        <v>-0.69357747260368985</v>
      </c>
      <c r="H44" s="75">
        <f>VLOOKUP($A44,'Data Vlaue (Cr)'!$C:$FB,99)</f>
        <v>1238</v>
      </c>
      <c r="I44" s="75">
        <f>VLOOKUP($A44,'Data Vlaue (Cr)'!$C:$FB,100)</f>
        <v>1197</v>
      </c>
      <c r="J44" s="75">
        <f t="shared" si="2"/>
        <v>41</v>
      </c>
      <c r="K44" s="75">
        <f t="shared" si="3"/>
        <v>3.3117932148626816</v>
      </c>
      <c r="L44" s="75">
        <f>VLOOKUP($A44,'Data Vlaue (Cr)'!$C:$FB,67)</f>
        <v>657</v>
      </c>
      <c r="M44" s="75">
        <f>VLOOKUP($A44,'Data Vlaue (Cr)'!$C:$FB,68)</f>
        <v>426</v>
      </c>
      <c r="N44" s="75">
        <f t="shared" si="4"/>
        <v>231</v>
      </c>
      <c r="O44" s="75">
        <f t="shared" si="5"/>
        <v>35.159817351598171</v>
      </c>
      <c r="P44" s="75">
        <f>VLOOKUP($A44,'Data Vlaue (Cr)'!$C:$FB,119)</f>
        <v>0.48</v>
      </c>
      <c r="Q44" s="75">
        <f>VLOOKUP($A44,'Data Vlaue (Cr)'!$C:$FB,122)*100</f>
        <v>-7.6899999999999995</v>
      </c>
      <c r="R44" s="75">
        <f>VLOOKUP($A44,'Data Vlaue (Cr)'!$C:$FB,125)</f>
        <v>0.15</v>
      </c>
      <c r="S44" s="75">
        <f>VLOOKUP($A44,'Data Vlaue (Cr)'!$C:$FB,128)*100</f>
        <v>-60.529999999999994</v>
      </c>
    </row>
    <row r="45" spans="1:19" x14ac:dyDescent="0.25">
      <c r="A45" s="96" t="str">
        <f>'Data Vlaue (Cr)'!C36</f>
        <v>BPCL</v>
      </c>
      <c r="B45" s="75">
        <f>VLOOKUP($A45,'Data Vlaue (Cr)'!$C:$FB,2)</f>
        <v>1975</v>
      </c>
      <c r="C45" s="75">
        <f>VLOOKUP($A45,'Data Vlaue (Cr)'!$C:$FB,8)</f>
        <v>368.35</v>
      </c>
      <c r="D45" s="75">
        <f>VLOOKUP($A45,'Data Vlaue (Cr)'!$C:$FB,4)</f>
        <v>368.65</v>
      </c>
      <c r="E45" s="75">
        <f>VLOOKUP($A45,'Data Vlaue (Cr)'!$C:$FB,5)</f>
        <v>368.6</v>
      </c>
      <c r="F45" s="75">
        <f t="shared" si="0"/>
        <v>0.29999999999995453</v>
      </c>
      <c r="G45" s="75">
        <f t="shared" si="1"/>
        <v>1.3563000135617667E-2</v>
      </c>
      <c r="H45" s="75">
        <f>VLOOKUP($A45,'Data Vlaue (Cr)'!$C:$FB,99)</f>
        <v>2203</v>
      </c>
      <c r="I45" s="75">
        <f>VLOOKUP($A45,'Data Vlaue (Cr)'!$C:$FB,100)</f>
        <v>2189</v>
      </c>
      <c r="J45" s="75">
        <f t="shared" si="2"/>
        <v>14</v>
      </c>
      <c r="K45" s="75">
        <f t="shared" si="3"/>
        <v>0.63549704947798458</v>
      </c>
      <c r="L45" s="75">
        <f>VLOOKUP($A45,'Data Vlaue (Cr)'!$C:$FB,67)</f>
        <v>2499</v>
      </c>
      <c r="M45" s="75">
        <f>VLOOKUP($A45,'Data Vlaue (Cr)'!$C:$FB,68)</f>
        <v>1859</v>
      </c>
      <c r="N45" s="75">
        <f t="shared" si="4"/>
        <v>640</v>
      </c>
      <c r="O45" s="75">
        <f t="shared" si="5"/>
        <v>25.610244097639058</v>
      </c>
      <c r="P45" s="75">
        <f>VLOOKUP($A45,'Data Vlaue (Cr)'!$C:$FB,119)</f>
        <v>0.56999999999999995</v>
      </c>
      <c r="Q45" s="75">
        <f>VLOOKUP($A45,'Data Vlaue (Cr)'!$C:$FB,122)*100</f>
        <v>-3.39</v>
      </c>
      <c r="R45" s="75">
        <f>VLOOKUP($A45,'Data Vlaue (Cr)'!$C:$FB,125)</f>
        <v>0.27</v>
      </c>
      <c r="S45" s="75">
        <f>VLOOKUP($A45,'Data Vlaue (Cr)'!$C:$FB,128)*100</f>
        <v>-3.5700000000000003</v>
      </c>
    </row>
    <row r="46" spans="1:19" x14ac:dyDescent="0.25">
      <c r="A46" s="96" t="str">
        <f>'Data Vlaue (Cr)'!C37</f>
        <v>BRITANNIA</v>
      </c>
      <c r="B46" s="75">
        <f>VLOOKUP($A46,'Data Vlaue (Cr)'!$C:$FB,2)</f>
        <v>125</v>
      </c>
      <c r="C46" s="75">
        <f>VLOOKUP($A46,'Data Vlaue (Cr)'!$C:$FB,8)</f>
        <v>6096</v>
      </c>
      <c r="D46" s="75">
        <f>VLOOKUP($A46,'Data Vlaue (Cr)'!$C:$FB,4)</f>
        <v>6100.5</v>
      </c>
      <c r="E46" s="75">
        <f>VLOOKUP($A46,'Data Vlaue (Cr)'!$C:$FB,5)</f>
        <v>6077</v>
      </c>
      <c r="F46" s="75">
        <f t="shared" si="0"/>
        <v>4.5</v>
      </c>
      <c r="G46" s="75">
        <f t="shared" si="1"/>
        <v>0.3852143266945332</v>
      </c>
      <c r="H46" s="75">
        <f>VLOOKUP($A46,'Data Vlaue (Cr)'!$C:$FB,99)</f>
        <v>2911</v>
      </c>
      <c r="I46" s="75">
        <f>VLOOKUP($A46,'Data Vlaue (Cr)'!$C:$FB,100)</f>
        <v>2877</v>
      </c>
      <c r="J46" s="75">
        <f t="shared" si="2"/>
        <v>34</v>
      </c>
      <c r="K46" s="75">
        <f t="shared" si="3"/>
        <v>1.1679835108210237</v>
      </c>
      <c r="L46" s="75">
        <f>VLOOKUP($A46,'Data Vlaue (Cr)'!$C:$FB,67)</f>
        <v>1780</v>
      </c>
      <c r="M46" s="75">
        <f>VLOOKUP($A46,'Data Vlaue (Cr)'!$C:$FB,68)</f>
        <v>4512</v>
      </c>
      <c r="N46" s="75">
        <f t="shared" si="4"/>
        <v>-2732</v>
      </c>
      <c r="O46" s="75">
        <f t="shared" si="5"/>
        <v>-153.48314606741573</v>
      </c>
      <c r="P46" s="75">
        <f>VLOOKUP($A46,'Data Vlaue (Cr)'!$C:$FB,119)</f>
        <v>0.64</v>
      </c>
      <c r="Q46" s="75">
        <f>VLOOKUP($A46,'Data Vlaue (Cr)'!$C:$FB,122)*100</f>
        <v>-8.57</v>
      </c>
      <c r="R46" s="75">
        <f>VLOOKUP($A46,'Data Vlaue (Cr)'!$C:$FB,125)</f>
        <v>0.36</v>
      </c>
      <c r="S46" s="75">
        <f>VLOOKUP($A46,'Data Vlaue (Cr)'!$C:$FB,128)*100</f>
        <v>2.86</v>
      </c>
    </row>
    <row r="47" spans="1:19" x14ac:dyDescent="0.25">
      <c r="A47" s="96" t="str">
        <f>'Data Vlaue (Cr)'!C38</f>
        <v>BSE</v>
      </c>
      <c r="B47" s="75">
        <f>VLOOKUP($A47,'Data Vlaue (Cr)'!$C:$FB,2)</f>
        <v>375</v>
      </c>
      <c r="C47" s="75">
        <f>VLOOKUP($A47,'Data Vlaue (Cr)'!$C:$FB,8)</f>
        <v>2630.5</v>
      </c>
      <c r="D47" s="75">
        <f>VLOOKUP($A47,'Data Vlaue (Cr)'!$C:$FB,4)</f>
        <v>2633.5</v>
      </c>
      <c r="E47" s="75">
        <f>VLOOKUP($A47,'Data Vlaue (Cr)'!$C:$FB,5)</f>
        <v>2617.9</v>
      </c>
      <c r="F47" s="75">
        <f t="shared" si="0"/>
        <v>3</v>
      </c>
      <c r="G47" s="75">
        <f t="shared" si="1"/>
        <v>0.59236757167267551</v>
      </c>
      <c r="H47" s="75">
        <f>VLOOKUP($A47,'Data Vlaue (Cr)'!$C:$FB,99)</f>
        <v>9006</v>
      </c>
      <c r="I47" s="75">
        <f>VLOOKUP($A47,'Data Vlaue (Cr)'!$C:$FB,100)</f>
        <v>9122</v>
      </c>
      <c r="J47" s="75">
        <f t="shared" si="2"/>
        <v>-116</v>
      </c>
      <c r="K47" s="75">
        <f t="shared" si="3"/>
        <v>-1.2880302020874972</v>
      </c>
      <c r="L47" s="75">
        <f>VLOOKUP($A47,'Data Vlaue (Cr)'!$C:$FB,67)</f>
        <v>11202</v>
      </c>
      <c r="M47" s="75">
        <f>VLOOKUP($A47,'Data Vlaue (Cr)'!$C:$FB,68)</f>
        <v>11901</v>
      </c>
      <c r="N47" s="75">
        <f t="shared" si="4"/>
        <v>-699</v>
      </c>
      <c r="O47" s="75">
        <f t="shared" si="5"/>
        <v>-6.2399571505088378</v>
      </c>
      <c r="P47" s="75">
        <f>VLOOKUP($A47,'Data Vlaue (Cr)'!$C:$FB,119)</f>
        <v>0.5</v>
      </c>
      <c r="Q47" s="75">
        <f>VLOOKUP($A47,'Data Vlaue (Cr)'!$C:$FB,122)*100</f>
        <v>-1.96</v>
      </c>
      <c r="R47" s="75">
        <f>VLOOKUP($A47,'Data Vlaue (Cr)'!$C:$FB,125)</f>
        <v>0.53</v>
      </c>
      <c r="S47" s="75">
        <f>VLOOKUP($A47,'Data Vlaue (Cr)'!$C:$FB,128)*100</f>
        <v>-22.06</v>
      </c>
    </row>
    <row r="48" spans="1:19" x14ac:dyDescent="0.25">
      <c r="A48" s="96" t="str">
        <f>'Data Vlaue (Cr)'!C39</f>
        <v>CAMS</v>
      </c>
      <c r="B48" s="75">
        <f>VLOOKUP($A48,'Data Vlaue (Cr)'!$C:$FB,2)</f>
        <v>750</v>
      </c>
      <c r="C48" s="75">
        <f>VLOOKUP($A48,'Data Vlaue (Cr)'!$C:$FB,8)</f>
        <v>733.8</v>
      </c>
      <c r="D48" s="75">
        <f>VLOOKUP($A48,'Data Vlaue (Cr)'!$C:$FB,4)</f>
        <v>735.2</v>
      </c>
      <c r="E48" s="75">
        <f>VLOOKUP($A48,'Data Vlaue (Cr)'!$C:$FB,5)</f>
        <v>754.4</v>
      </c>
      <c r="F48" s="75">
        <f t="shared" si="0"/>
        <v>1.4000000000000909</v>
      </c>
      <c r="G48" s="75">
        <f t="shared" si="1"/>
        <v>-2.6115342763873683</v>
      </c>
      <c r="H48" s="75">
        <f>VLOOKUP($A48,'Data Vlaue (Cr)'!$C:$FB,99)</f>
        <v>1404</v>
      </c>
      <c r="I48" s="75">
        <f>VLOOKUP($A48,'Data Vlaue (Cr)'!$C:$FB,100)</f>
        <v>1363</v>
      </c>
      <c r="J48" s="75">
        <f t="shared" si="2"/>
        <v>41</v>
      </c>
      <c r="K48" s="75">
        <f t="shared" si="3"/>
        <v>2.9202279202279202</v>
      </c>
      <c r="L48" s="75">
        <f>VLOOKUP($A48,'Data Vlaue (Cr)'!$C:$FB,67)</f>
        <v>622</v>
      </c>
      <c r="M48" s="75">
        <f>VLOOKUP($A48,'Data Vlaue (Cr)'!$C:$FB,68)</f>
        <v>263</v>
      </c>
      <c r="N48" s="75">
        <f t="shared" si="4"/>
        <v>359</v>
      </c>
      <c r="O48" s="75">
        <f t="shared" si="5"/>
        <v>57.717041800643088</v>
      </c>
      <c r="P48" s="75">
        <f>VLOOKUP($A48,'Data Vlaue (Cr)'!$C:$FB,119)</f>
        <v>0.65</v>
      </c>
      <c r="Q48" s="75">
        <f>VLOOKUP($A48,'Data Vlaue (Cr)'!$C:$FB,122)*100</f>
        <v>6.5600000000000005</v>
      </c>
      <c r="R48" s="75">
        <f>VLOOKUP($A48,'Data Vlaue (Cr)'!$C:$FB,125)</f>
        <v>0.94</v>
      </c>
      <c r="S48" s="75">
        <f>VLOOKUP($A48,'Data Vlaue (Cr)'!$C:$FB,128)*100</f>
        <v>291.67</v>
      </c>
    </row>
    <row r="49" spans="1:19" x14ac:dyDescent="0.25">
      <c r="A49" s="96" t="str">
        <f>'Data Vlaue (Cr)'!C40</f>
        <v>CANBK</v>
      </c>
      <c r="B49" s="75">
        <f>VLOOKUP($A49,'Data Vlaue (Cr)'!$C:$FB,2)</f>
        <v>6750</v>
      </c>
      <c r="C49" s="75">
        <f>VLOOKUP($A49,'Data Vlaue (Cr)'!$C:$FB,8)</f>
        <v>150.21</v>
      </c>
      <c r="D49" s="75">
        <f>VLOOKUP($A49,'Data Vlaue (Cr)'!$C:$FB,4)</f>
        <v>150.35</v>
      </c>
      <c r="E49" s="75">
        <f>VLOOKUP($A49,'Data Vlaue (Cr)'!$C:$FB,5)</f>
        <v>147.43</v>
      </c>
      <c r="F49" s="75">
        <f t="shared" si="0"/>
        <v>0.13999999999998636</v>
      </c>
      <c r="G49" s="75">
        <f t="shared" si="1"/>
        <v>1.9421350182906467</v>
      </c>
      <c r="H49" s="75">
        <f>VLOOKUP($A49,'Data Vlaue (Cr)'!$C:$FB,99)</f>
        <v>5214</v>
      </c>
      <c r="I49" s="75">
        <f>VLOOKUP($A49,'Data Vlaue (Cr)'!$C:$FB,100)</f>
        <v>5228</v>
      </c>
      <c r="J49" s="75">
        <f t="shared" si="2"/>
        <v>-14</v>
      </c>
      <c r="K49" s="75">
        <f t="shared" si="3"/>
        <v>-0.26850786344457228</v>
      </c>
      <c r="L49" s="75">
        <f>VLOOKUP($A49,'Data Vlaue (Cr)'!$C:$FB,67)</f>
        <v>5932</v>
      </c>
      <c r="M49" s="75">
        <f>VLOOKUP($A49,'Data Vlaue (Cr)'!$C:$FB,68)</f>
        <v>1840</v>
      </c>
      <c r="N49" s="75">
        <f t="shared" si="4"/>
        <v>4092</v>
      </c>
      <c r="O49" s="75">
        <f t="shared" si="5"/>
        <v>68.981793661496965</v>
      </c>
      <c r="P49" s="75">
        <f>VLOOKUP($A49,'Data Vlaue (Cr)'!$C:$FB,119)</f>
        <v>0.82</v>
      </c>
      <c r="Q49" s="75">
        <f>VLOOKUP($A49,'Data Vlaue (Cr)'!$C:$FB,122)*100</f>
        <v>7.89</v>
      </c>
      <c r="R49" s="75">
        <f>VLOOKUP($A49,'Data Vlaue (Cr)'!$C:$FB,125)</f>
        <v>0.49</v>
      </c>
      <c r="S49" s="75">
        <f>VLOOKUP($A49,'Data Vlaue (Cr)'!$C:$FB,128)*100</f>
        <v>-19.670000000000002</v>
      </c>
    </row>
    <row r="50" spans="1:19" x14ac:dyDescent="0.25">
      <c r="A50" s="96" t="str">
        <f>'Data Vlaue (Cr)'!C41</f>
        <v>CDSL</v>
      </c>
      <c r="B50" s="75">
        <f>VLOOKUP($A50,'Data Vlaue (Cr)'!$C:$FB,2)</f>
        <v>475</v>
      </c>
      <c r="C50" s="75">
        <f>VLOOKUP($A50,'Data Vlaue (Cr)'!$C:$FB,8)</f>
        <v>1477.3</v>
      </c>
      <c r="D50" s="75">
        <f>VLOOKUP($A50,'Data Vlaue (Cr)'!$C:$FB,4)</f>
        <v>1478.4</v>
      </c>
      <c r="E50" s="75">
        <f>VLOOKUP($A50,'Data Vlaue (Cr)'!$C:$FB,5)</f>
        <v>1503.1</v>
      </c>
      <c r="F50" s="75">
        <f t="shared" si="0"/>
        <v>1.1000000000001364</v>
      </c>
      <c r="G50" s="75">
        <f t="shared" si="1"/>
        <v>-1.6707251082250958</v>
      </c>
      <c r="H50" s="75">
        <f>VLOOKUP($A50,'Data Vlaue (Cr)'!$C:$FB,99)</f>
        <v>3975</v>
      </c>
      <c r="I50" s="75">
        <f>VLOOKUP($A50,'Data Vlaue (Cr)'!$C:$FB,100)</f>
        <v>3777</v>
      </c>
      <c r="J50" s="75">
        <f t="shared" si="2"/>
        <v>198</v>
      </c>
      <c r="K50" s="75">
        <f t="shared" si="3"/>
        <v>4.9811320754716979</v>
      </c>
      <c r="L50" s="75">
        <f>VLOOKUP($A50,'Data Vlaue (Cr)'!$C:$FB,67)</f>
        <v>1974</v>
      </c>
      <c r="M50" s="75">
        <f>VLOOKUP($A50,'Data Vlaue (Cr)'!$C:$FB,68)</f>
        <v>1229</v>
      </c>
      <c r="N50" s="75">
        <f t="shared" si="4"/>
        <v>745</v>
      </c>
      <c r="O50" s="75">
        <f t="shared" si="5"/>
        <v>37.740628166160079</v>
      </c>
      <c r="P50" s="75">
        <f>VLOOKUP($A50,'Data Vlaue (Cr)'!$C:$FB,119)</f>
        <v>0.44</v>
      </c>
      <c r="Q50" s="75">
        <f>VLOOKUP($A50,'Data Vlaue (Cr)'!$C:$FB,122)*100</f>
        <v>-4.3499999999999996</v>
      </c>
      <c r="R50" s="75">
        <f>VLOOKUP($A50,'Data Vlaue (Cr)'!$C:$FB,125)</f>
        <v>0.35</v>
      </c>
      <c r="S50" s="75">
        <f>VLOOKUP($A50,'Data Vlaue (Cr)'!$C:$FB,128)*100</f>
        <v>9.370000000000001</v>
      </c>
    </row>
    <row r="51" spans="1:19" x14ac:dyDescent="0.25">
      <c r="A51" s="96" t="str">
        <f>'Data Vlaue (Cr)'!C42</f>
        <v>CGPOWER</v>
      </c>
      <c r="B51" s="75">
        <f>VLOOKUP($A51,'Data Vlaue (Cr)'!$C:$FB,2)</f>
        <v>850</v>
      </c>
      <c r="C51" s="75">
        <f>VLOOKUP($A51,'Data Vlaue (Cr)'!$C:$FB,8)</f>
        <v>670.4</v>
      </c>
      <c r="D51" s="75">
        <f>VLOOKUP($A51,'Data Vlaue (Cr)'!$C:$FB,4)</f>
        <v>670.7</v>
      </c>
      <c r="E51" s="75">
        <f>VLOOKUP($A51,'Data Vlaue (Cr)'!$C:$FB,5)</f>
        <v>674.2</v>
      </c>
      <c r="F51" s="75">
        <f t="shared" si="0"/>
        <v>0.30000000000006821</v>
      </c>
      <c r="G51" s="75">
        <f t="shared" si="1"/>
        <v>-0.52184285075294468</v>
      </c>
      <c r="H51" s="75">
        <f>VLOOKUP($A51,'Data Vlaue (Cr)'!$C:$FB,99)</f>
        <v>1925</v>
      </c>
      <c r="I51" s="75">
        <f>VLOOKUP($A51,'Data Vlaue (Cr)'!$C:$FB,100)</f>
        <v>1805</v>
      </c>
      <c r="J51" s="75">
        <f t="shared" si="2"/>
        <v>120</v>
      </c>
      <c r="K51" s="75">
        <f t="shared" si="3"/>
        <v>6.2337662337662341</v>
      </c>
      <c r="L51" s="75">
        <f>VLOOKUP($A51,'Data Vlaue (Cr)'!$C:$FB,67)</f>
        <v>3319</v>
      </c>
      <c r="M51" s="75">
        <f>VLOOKUP($A51,'Data Vlaue (Cr)'!$C:$FB,68)</f>
        <v>490</v>
      </c>
      <c r="N51" s="75">
        <f t="shared" si="4"/>
        <v>2829</v>
      </c>
      <c r="O51" s="75">
        <f t="shared" si="5"/>
        <v>85.236517023199752</v>
      </c>
      <c r="P51" s="75">
        <f>VLOOKUP($A51,'Data Vlaue (Cr)'!$C:$FB,119)</f>
        <v>0.44</v>
      </c>
      <c r="Q51" s="75">
        <f>VLOOKUP($A51,'Data Vlaue (Cr)'!$C:$FB,122)*100</f>
        <v>-15.379999999999999</v>
      </c>
      <c r="R51" s="75">
        <f>VLOOKUP($A51,'Data Vlaue (Cr)'!$C:$FB,125)</f>
        <v>0.22</v>
      </c>
      <c r="S51" s="75">
        <f>VLOOKUP($A51,'Data Vlaue (Cr)'!$C:$FB,128)*100</f>
        <v>-24.14</v>
      </c>
    </row>
    <row r="52" spans="1:19" x14ac:dyDescent="0.25">
      <c r="A52" s="96" t="str">
        <f>'Data Vlaue (Cr)'!C43</f>
        <v>CHOLAFIN</v>
      </c>
      <c r="B52" s="75">
        <f>VLOOKUP($A52,'Data Vlaue (Cr)'!$C:$FB,2)</f>
        <v>625</v>
      </c>
      <c r="C52" s="75">
        <f>VLOOKUP($A52,'Data Vlaue (Cr)'!$C:$FB,8)</f>
        <v>1673.5</v>
      </c>
      <c r="D52" s="75">
        <f>VLOOKUP($A52,'Data Vlaue (Cr)'!$C:$FB,4)</f>
        <v>1679.2</v>
      </c>
      <c r="E52" s="75">
        <f>VLOOKUP($A52,'Data Vlaue (Cr)'!$C:$FB,5)</f>
        <v>1718</v>
      </c>
      <c r="F52" s="75">
        <f t="shared" si="0"/>
        <v>5.7000000000000455</v>
      </c>
      <c r="G52" s="75">
        <f t="shared" si="1"/>
        <v>-2.3106241067174818</v>
      </c>
      <c r="H52" s="75">
        <f>VLOOKUP($A52,'Data Vlaue (Cr)'!$C:$FB,99)</f>
        <v>4118</v>
      </c>
      <c r="I52" s="75">
        <f>VLOOKUP($A52,'Data Vlaue (Cr)'!$C:$FB,100)</f>
        <v>3384</v>
      </c>
      <c r="J52" s="75">
        <f t="shared" si="2"/>
        <v>734</v>
      </c>
      <c r="K52" s="75">
        <f t="shared" si="3"/>
        <v>17.824186498300147</v>
      </c>
      <c r="L52" s="75">
        <f>VLOOKUP($A52,'Data Vlaue (Cr)'!$C:$FB,67)</f>
        <v>4083</v>
      </c>
      <c r="M52" s="75">
        <f>VLOOKUP($A52,'Data Vlaue (Cr)'!$C:$FB,68)</f>
        <v>999</v>
      </c>
      <c r="N52" s="75">
        <f t="shared" si="4"/>
        <v>3084</v>
      </c>
      <c r="O52" s="75">
        <f t="shared" si="5"/>
        <v>75.532696546656879</v>
      </c>
      <c r="P52" s="75">
        <f>VLOOKUP($A52,'Data Vlaue (Cr)'!$C:$FB,119)</f>
        <v>0.74</v>
      </c>
      <c r="Q52" s="75">
        <f>VLOOKUP($A52,'Data Vlaue (Cr)'!$C:$FB,122)*100</f>
        <v>13.850000000000001</v>
      </c>
      <c r="R52" s="75">
        <f>VLOOKUP($A52,'Data Vlaue (Cr)'!$C:$FB,125)</f>
        <v>0.64</v>
      </c>
      <c r="S52" s="75">
        <f>VLOOKUP($A52,'Data Vlaue (Cr)'!$C:$FB,128)*100</f>
        <v>72.97</v>
      </c>
    </row>
    <row r="53" spans="1:19" x14ac:dyDescent="0.25">
      <c r="A53" s="96" t="str">
        <f>'Data Vlaue (Cr)'!C44</f>
        <v>CIPLA</v>
      </c>
      <c r="B53" s="75">
        <f>VLOOKUP($A53,'Data Vlaue (Cr)'!$C:$FB,2)</f>
        <v>375</v>
      </c>
      <c r="C53" s="75">
        <f>VLOOKUP($A53,'Data Vlaue (Cr)'!$C:$FB,8)</f>
        <v>1496.9</v>
      </c>
      <c r="D53" s="75">
        <f>VLOOKUP($A53,'Data Vlaue (Cr)'!$C:$FB,4)</f>
        <v>1498.5</v>
      </c>
      <c r="E53" s="75">
        <f>VLOOKUP($A53,'Data Vlaue (Cr)'!$C:$FB,5)</f>
        <v>1502.3</v>
      </c>
      <c r="F53" s="75">
        <f t="shared" si="0"/>
        <v>1.5999999999999091</v>
      </c>
      <c r="G53" s="75">
        <f t="shared" si="1"/>
        <v>-0.25358692025358387</v>
      </c>
      <c r="H53" s="75">
        <f>VLOOKUP($A53,'Data Vlaue (Cr)'!$C:$FB,99)</f>
        <v>3580</v>
      </c>
      <c r="I53" s="75">
        <f>VLOOKUP($A53,'Data Vlaue (Cr)'!$C:$FB,100)</f>
        <v>3514</v>
      </c>
      <c r="J53" s="75">
        <f t="shared" si="2"/>
        <v>66</v>
      </c>
      <c r="K53" s="75">
        <f t="shared" si="3"/>
        <v>1.8435754189944136</v>
      </c>
      <c r="L53" s="75">
        <f>VLOOKUP($A53,'Data Vlaue (Cr)'!$C:$FB,67)</f>
        <v>950</v>
      </c>
      <c r="M53" s="75">
        <f>VLOOKUP($A53,'Data Vlaue (Cr)'!$C:$FB,68)</f>
        <v>839</v>
      </c>
      <c r="N53" s="75">
        <f t="shared" si="4"/>
        <v>111</v>
      </c>
      <c r="O53" s="75">
        <f t="shared" si="5"/>
        <v>11.684210526315789</v>
      </c>
      <c r="P53" s="75">
        <f>VLOOKUP($A53,'Data Vlaue (Cr)'!$C:$FB,119)</f>
        <v>0.65</v>
      </c>
      <c r="Q53" s="75">
        <f>VLOOKUP($A53,'Data Vlaue (Cr)'!$C:$FB,122)*100</f>
        <v>-2.9899999999999998</v>
      </c>
      <c r="R53" s="75">
        <f>VLOOKUP($A53,'Data Vlaue (Cr)'!$C:$FB,125)</f>
        <v>0.38</v>
      </c>
      <c r="S53" s="75">
        <f>VLOOKUP($A53,'Data Vlaue (Cr)'!$C:$FB,128)*100</f>
        <v>-2.56</v>
      </c>
    </row>
    <row r="54" spans="1:19" x14ac:dyDescent="0.25">
      <c r="A54" s="96" t="str">
        <f>'Data Vlaue (Cr)'!C45</f>
        <v>COALINDIA</v>
      </c>
      <c r="B54" s="75">
        <f>VLOOKUP($A54,'Data Vlaue (Cr)'!$C:$FB,2)</f>
        <v>1350</v>
      </c>
      <c r="C54" s="75">
        <f>VLOOKUP($A54,'Data Vlaue (Cr)'!$C:$FB,8)</f>
        <v>384.75</v>
      </c>
      <c r="D54" s="75">
        <f>VLOOKUP($A54,'Data Vlaue (Cr)'!$C:$FB,4)</f>
        <v>385.85</v>
      </c>
      <c r="E54" s="75">
        <f>VLOOKUP($A54,'Data Vlaue (Cr)'!$C:$FB,5)</f>
        <v>382.25</v>
      </c>
      <c r="F54" s="75">
        <f t="shared" si="0"/>
        <v>1.1000000000000227</v>
      </c>
      <c r="G54" s="75">
        <f t="shared" si="1"/>
        <v>0.93300505377738041</v>
      </c>
      <c r="H54" s="75">
        <f>VLOOKUP($A54,'Data Vlaue (Cr)'!$C:$FB,99)</f>
        <v>3638</v>
      </c>
      <c r="I54" s="75">
        <f>VLOOKUP($A54,'Data Vlaue (Cr)'!$C:$FB,100)</f>
        <v>3605</v>
      </c>
      <c r="J54" s="75">
        <f t="shared" si="2"/>
        <v>33</v>
      </c>
      <c r="K54" s="75">
        <f t="shared" si="3"/>
        <v>0.90709180868609129</v>
      </c>
      <c r="L54" s="75">
        <f>VLOOKUP($A54,'Data Vlaue (Cr)'!$C:$FB,67)</f>
        <v>898</v>
      </c>
      <c r="M54" s="75">
        <f>VLOOKUP($A54,'Data Vlaue (Cr)'!$C:$FB,68)</f>
        <v>949</v>
      </c>
      <c r="N54" s="75">
        <f t="shared" si="4"/>
        <v>-51</v>
      </c>
      <c r="O54" s="75">
        <f t="shared" si="5"/>
        <v>-5.6792873051224939</v>
      </c>
      <c r="P54" s="75">
        <f>VLOOKUP($A54,'Data Vlaue (Cr)'!$C:$FB,119)</f>
        <v>0.95</v>
      </c>
      <c r="Q54" s="75">
        <f>VLOOKUP($A54,'Data Vlaue (Cr)'!$C:$FB,122)*100</f>
        <v>-1.04</v>
      </c>
      <c r="R54" s="75">
        <f>VLOOKUP($A54,'Data Vlaue (Cr)'!$C:$FB,125)</f>
        <v>0.57999999999999996</v>
      </c>
      <c r="S54" s="75">
        <f>VLOOKUP($A54,'Data Vlaue (Cr)'!$C:$FB,128)*100</f>
        <v>-15.939999999999998</v>
      </c>
    </row>
    <row r="55" spans="1:19" x14ac:dyDescent="0.25">
      <c r="A55" s="96" t="str">
        <f>'Data Vlaue (Cr)'!C46</f>
        <v>COFORGE</v>
      </c>
      <c r="B55" s="75">
        <f>VLOOKUP($A55,'Data Vlaue (Cr)'!$C:$FB,2)</f>
        <v>375</v>
      </c>
      <c r="C55" s="75">
        <f>VLOOKUP($A55,'Data Vlaue (Cr)'!$C:$FB,8)</f>
        <v>1844.7</v>
      </c>
      <c r="D55" s="75">
        <f>VLOOKUP($A55,'Data Vlaue (Cr)'!$C:$FB,4)</f>
        <v>1851.5</v>
      </c>
      <c r="E55" s="75">
        <f>VLOOKUP($A55,'Data Vlaue (Cr)'!$C:$FB,5)</f>
        <v>1869</v>
      </c>
      <c r="F55" s="75">
        <f t="shared" si="0"/>
        <v>6.7999999999999545</v>
      </c>
      <c r="G55" s="75">
        <f t="shared" si="1"/>
        <v>-0.94517958412098302</v>
      </c>
      <c r="H55" s="75">
        <f>VLOOKUP($A55,'Data Vlaue (Cr)'!$C:$FB,99)</f>
        <v>4402</v>
      </c>
      <c r="I55" s="75">
        <f>VLOOKUP($A55,'Data Vlaue (Cr)'!$C:$FB,100)</f>
        <v>4350</v>
      </c>
      <c r="J55" s="75">
        <f t="shared" si="2"/>
        <v>52</v>
      </c>
      <c r="K55" s="75">
        <f t="shared" si="3"/>
        <v>1.1812812358019082</v>
      </c>
      <c r="L55" s="75">
        <f>VLOOKUP($A55,'Data Vlaue (Cr)'!$C:$FB,67)</f>
        <v>2797</v>
      </c>
      <c r="M55" s="75">
        <f>VLOOKUP($A55,'Data Vlaue (Cr)'!$C:$FB,68)</f>
        <v>2128</v>
      </c>
      <c r="N55" s="75">
        <f t="shared" si="4"/>
        <v>669</v>
      </c>
      <c r="O55" s="75">
        <f t="shared" si="5"/>
        <v>23.918484090096531</v>
      </c>
      <c r="P55" s="75">
        <f>VLOOKUP($A55,'Data Vlaue (Cr)'!$C:$FB,119)</f>
        <v>0.46</v>
      </c>
      <c r="Q55" s="75">
        <f>VLOOKUP($A55,'Data Vlaue (Cr)'!$C:$FB,122)*100</f>
        <v>4.55</v>
      </c>
      <c r="R55" s="75">
        <f>VLOOKUP($A55,'Data Vlaue (Cr)'!$C:$FB,125)</f>
        <v>0.41</v>
      </c>
      <c r="S55" s="75">
        <f>VLOOKUP($A55,'Data Vlaue (Cr)'!$C:$FB,128)*100</f>
        <v>20.59</v>
      </c>
    </row>
    <row r="56" spans="1:19" x14ac:dyDescent="0.25">
      <c r="A56" s="96" t="str">
        <f>'Data Vlaue (Cr)'!C47</f>
        <v>COLPAL</v>
      </c>
      <c r="B56" s="75">
        <f>VLOOKUP($A56,'Data Vlaue (Cr)'!$C:$FB,2)</f>
        <v>225</v>
      </c>
      <c r="C56" s="75">
        <f>VLOOKUP($A56,'Data Vlaue (Cr)'!$C:$FB,8)</f>
        <v>2087.4</v>
      </c>
      <c r="D56" s="75">
        <f>VLOOKUP($A56,'Data Vlaue (Cr)'!$C:$FB,4)</f>
        <v>2089.6999999999998</v>
      </c>
      <c r="E56" s="75">
        <f>VLOOKUP($A56,'Data Vlaue (Cr)'!$C:$FB,5)</f>
        <v>2164.8000000000002</v>
      </c>
      <c r="F56" s="75">
        <f t="shared" si="0"/>
        <v>2.2999999999997272</v>
      </c>
      <c r="G56" s="75">
        <f t="shared" si="1"/>
        <v>-3.5938172943484883</v>
      </c>
      <c r="H56" s="75">
        <f>VLOOKUP($A56,'Data Vlaue (Cr)'!$C:$FB,99)</f>
        <v>2555</v>
      </c>
      <c r="I56" s="75">
        <f>VLOOKUP($A56,'Data Vlaue (Cr)'!$C:$FB,100)</f>
        <v>2195</v>
      </c>
      <c r="J56" s="75">
        <f t="shared" si="2"/>
        <v>360</v>
      </c>
      <c r="K56" s="75">
        <f t="shared" si="3"/>
        <v>14.090019569471623</v>
      </c>
      <c r="L56" s="75">
        <f>VLOOKUP($A56,'Data Vlaue (Cr)'!$C:$FB,67)</f>
        <v>1752</v>
      </c>
      <c r="M56" s="75">
        <f>VLOOKUP($A56,'Data Vlaue (Cr)'!$C:$FB,68)</f>
        <v>1161</v>
      </c>
      <c r="N56" s="75">
        <f t="shared" si="4"/>
        <v>591</v>
      </c>
      <c r="O56" s="75">
        <f t="shared" si="5"/>
        <v>33.732876712328768</v>
      </c>
      <c r="P56" s="75">
        <f>VLOOKUP($A56,'Data Vlaue (Cr)'!$C:$FB,119)</f>
        <v>0.63</v>
      </c>
      <c r="Q56" s="75">
        <f>VLOOKUP($A56,'Data Vlaue (Cr)'!$C:$FB,122)*100</f>
        <v>1.6099999999999999</v>
      </c>
      <c r="R56" s="75">
        <f>VLOOKUP($A56,'Data Vlaue (Cr)'!$C:$FB,125)</f>
        <v>0.76</v>
      </c>
      <c r="S56" s="75">
        <f>VLOOKUP($A56,'Data Vlaue (Cr)'!$C:$FB,128)*100</f>
        <v>280</v>
      </c>
    </row>
    <row r="57" spans="1:19" x14ac:dyDescent="0.25">
      <c r="A57" s="96" t="str">
        <f>'Data Vlaue (Cr)'!C48</f>
        <v>CONCOR</v>
      </c>
      <c r="B57" s="75">
        <f>VLOOKUP($A57,'Data Vlaue (Cr)'!$C:$FB,2)</f>
        <v>1250</v>
      </c>
      <c r="C57" s="75">
        <f>VLOOKUP($A57,'Data Vlaue (Cr)'!$C:$FB,8)</f>
        <v>496.35</v>
      </c>
      <c r="D57" s="75">
        <f>VLOOKUP($A57,'Data Vlaue (Cr)'!$C:$FB,4)</f>
        <v>496.75</v>
      </c>
      <c r="E57" s="75">
        <f>VLOOKUP($A57,'Data Vlaue (Cr)'!$C:$FB,5)</f>
        <v>500.05</v>
      </c>
      <c r="F57" s="75">
        <f t="shared" si="0"/>
        <v>0.39999999999997726</v>
      </c>
      <c r="G57" s="75">
        <f t="shared" si="1"/>
        <v>-0.66431806743835153</v>
      </c>
      <c r="H57" s="75">
        <f>VLOOKUP($A57,'Data Vlaue (Cr)'!$C:$FB,99)</f>
        <v>3200</v>
      </c>
      <c r="I57" s="75">
        <f>VLOOKUP($A57,'Data Vlaue (Cr)'!$C:$FB,100)</f>
        <v>3148</v>
      </c>
      <c r="J57" s="75">
        <f t="shared" si="2"/>
        <v>52</v>
      </c>
      <c r="K57" s="75">
        <f t="shared" si="3"/>
        <v>1.625</v>
      </c>
      <c r="L57" s="75">
        <f>VLOOKUP($A57,'Data Vlaue (Cr)'!$C:$FB,67)</f>
        <v>516</v>
      </c>
      <c r="M57" s="75">
        <f>VLOOKUP($A57,'Data Vlaue (Cr)'!$C:$FB,68)</f>
        <v>556</v>
      </c>
      <c r="N57" s="75">
        <f t="shared" si="4"/>
        <v>-40</v>
      </c>
      <c r="O57" s="75">
        <f t="shared" si="5"/>
        <v>-7.7519379844961236</v>
      </c>
      <c r="P57" s="75">
        <f>VLOOKUP($A57,'Data Vlaue (Cr)'!$C:$FB,119)</f>
        <v>0.73</v>
      </c>
      <c r="Q57" s="75">
        <f>VLOOKUP($A57,'Data Vlaue (Cr)'!$C:$FB,122)*100</f>
        <v>-1.35</v>
      </c>
      <c r="R57" s="75">
        <f>VLOOKUP($A57,'Data Vlaue (Cr)'!$C:$FB,125)</f>
        <v>0.44</v>
      </c>
      <c r="S57" s="75">
        <f>VLOOKUP($A57,'Data Vlaue (Cr)'!$C:$FB,128)*100</f>
        <v>25.71</v>
      </c>
    </row>
    <row r="58" spans="1:19" x14ac:dyDescent="0.25">
      <c r="A58" s="96" t="str">
        <f>'Data Vlaue (Cr)'!C49</f>
        <v>CROMPTON</v>
      </c>
      <c r="B58" s="75">
        <f>VLOOKUP($A58,'Data Vlaue (Cr)'!$C:$FB,2)</f>
        <v>1800</v>
      </c>
      <c r="C58" s="75">
        <f>VLOOKUP($A58,'Data Vlaue (Cr)'!$C:$FB,8)</f>
        <v>249.15</v>
      </c>
      <c r="D58" s="75">
        <f>VLOOKUP($A58,'Data Vlaue (Cr)'!$C:$FB,4)</f>
        <v>249.5</v>
      </c>
      <c r="E58" s="75">
        <f>VLOOKUP($A58,'Data Vlaue (Cr)'!$C:$FB,5)</f>
        <v>253.35</v>
      </c>
      <c r="F58" s="75">
        <f t="shared" si="0"/>
        <v>0.34999999999999432</v>
      </c>
      <c r="G58" s="75">
        <f t="shared" si="1"/>
        <v>-1.5430861723446871</v>
      </c>
      <c r="H58" s="75">
        <f>VLOOKUP($A58,'Data Vlaue (Cr)'!$C:$FB,99)</f>
        <v>2330</v>
      </c>
      <c r="I58" s="75">
        <f>VLOOKUP($A58,'Data Vlaue (Cr)'!$C:$FB,100)</f>
        <v>2313</v>
      </c>
      <c r="J58" s="75">
        <f t="shared" si="2"/>
        <v>17</v>
      </c>
      <c r="K58" s="75">
        <f t="shared" si="3"/>
        <v>0.72961373390557938</v>
      </c>
      <c r="L58" s="75">
        <f>VLOOKUP($A58,'Data Vlaue (Cr)'!$C:$FB,67)</f>
        <v>530</v>
      </c>
      <c r="M58" s="75">
        <f>VLOOKUP($A58,'Data Vlaue (Cr)'!$C:$FB,68)</f>
        <v>246</v>
      </c>
      <c r="N58" s="75">
        <f t="shared" si="4"/>
        <v>284</v>
      </c>
      <c r="O58" s="75">
        <f t="shared" si="5"/>
        <v>53.584905660377359</v>
      </c>
      <c r="P58" s="75">
        <f>VLOOKUP($A58,'Data Vlaue (Cr)'!$C:$FB,119)</f>
        <v>0.49</v>
      </c>
      <c r="Q58" s="75">
        <f>VLOOKUP($A58,'Data Vlaue (Cr)'!$C:$FB,122)*100</f>
        <v>-7.55</v>
      </c>
      <c r="R58" s="75">
        <f>VLOOKUP($A58,'Data Vlaue (Cr)'!$C:$FB,125)</f>
        <v>0.28999999999999998</v>
      </c>
      <c r="S58" s="75">
        <f>VLOOKUP($A58,'Data Vlaue (Cr)'!$C:$FB,128)*100</f>
        <v>-3.3300000000000005</v>
      </c>
    </row>
    <row r="59" spans="1:19" x14ac:dyDescent="0.25">
      <c r="A59" s="96" t="str">
        <f>'Data Vlaue (Cr)'!C50</f>
        <v>CUMMINSIND</v>
      </c>
      <c r="B59" s="75">
        <f>VLOOKUP($A59,'Data Vlaue (Cr)'!$C:$FB,2)</f>
        <v>200</v>
      </c>
      <c r="C59" s="75">
        <f>VLOOKUP($A59,'Data Vlaue (Cr)'!$C:$FB,8)</f>
        <v>4512.7</v>
      </c>
      <c r="D59" s="75">
        <f>VLOOKUP($A59,'Data Vlaue (Cr)'!$C:$FB,4)</f>
        <v>4521.1000000000004</v>
      </c>
      <c r="E59" s="75">
        <f>VLOOKUP($A59,'Data Vlaue (Cr)'!$C:$FB,5)</f>
        <v>4507.2</v>
      </c>
      <c r="F59" s="75">
        <f t="shared" si="0"/>
        <v>8.4000000000005457</v>
      </c>
      <c r="G59" s="75">
        <f t="shared" si="1"/>
        <v>0.30744730264759779</v>
      </c>
      <c r="H59" s="75">
        <f>VLOOKUP($A59,'Data Vlaue (Cr)'!$C:$FB,99)</f>
        <v>2160</v>
      </c>
      <c r="I59" s="75">
        <f>VLOOKUP($A59,'Data Vlaue (Cr)'!$C:$FB,100)</f>
        <v>2067</v>
      </c>
      <c r="J59" s="75">
        <f t="shared" si="2"/>
        <v>93</v>
      </c>
      <c r="K59" s="75">
        <f t="shared" si="3"/>
        <v>4.3055555555555554</v>
      </c>
      <c r="L59" s="75">
        <f>VLOOKUP($A59,'Data Vlaue (Cr)'!$C:$FB,67)</f>
        <v>1191</v>
      </c>
      <c r="M59" s="75">
        <f>VLOOKUP($A59,'Data Vlaue (Cr)'!$C:$FB,68)</f>
        <v>893</v>
      </c>
      <c r="N59" s="75">
        <f t="shared" si="4"/>
        <v>298</v>
      </c>
      <c r="O59" s="75">
        <f t="shared" si="5"/>
        <v>25.020990764063811</v>
      </c>
      <c r="P59" s="75">
        <f>VLOOKUP($A59,'Data Vlaue (Cr)'!$C:$FB,119)</f>
        <v>0.75</v>
      </c>
      <c r="Q59" s="75">
        <f>VLOOKUP($A59,'Data Vlaue (Cr)'!$C:$FB,122)*100</f>
        <v>-7.41</v>
      </c>
      <c r="R59" s="75">
        <f>VLOOKUP($A59,'Data Vlaue (Cr)'!$C:$FB,125)</f>
        <v>0.33</v>
      </c>
      <c r="S59" s="75">
        <f>VLOOKUP($A59,'Data Vlaue (Cr)'!$C:$FB,128)*100</f>
        <v>-41.07</v>
      </c>
    </row>
    <row r="60" spans="1:19" x14ac:dyDescent="0.25">
      <c r="A60" s="96" t="str">
        <f>'Data Vlaue (Cr)'!C51</f>
        <v>CYIENT</v>
      </c>
      <c r="B60" s="75">
        <f>VLOOKUP($A60,'Data Vlaue (Cr)'!$C:$FB,2)</f>
        <v>425</v>
      </c>
      <c r="C60" s="75">
        <f>VLOOKUP($A60,'Data Vlaue (Cr)'!$C:$FB,8)</f>
        <v>1138.8</v>
      </c>
      <c r="D60" s="75">
        <f>VLOOKUP($A60,'Data Vlaue (Cr)'!$C:$FB,4)</f>
        <v>1142.3</v>
      </c>
      <c r="E60" s="75">
        <f>VLOOKUP($A60,'Data Vlaue (Cr)'!$C:$FB,5)</f>
        <v>1150.5999999999999</v>
      </c>
      <c r="F60" s="75">
        <f t="shared" si="0"/>
        <v>3.5</v>
      </c>
      <c r="G60" s="75">
        <f t="shared" si="1"/>
        <v>-0.72660421955703003</v>
      </c>
      <c r="H60" s="75">
        <f>VLOOKUP($A60,'Data Vlaue (Cr)'!$C:$FB,99)</f>
        <v>642</v>
      </c>
      <c r="I60" s="75">
        <f>VLOOKUP($A60,'Data Vlaue (Cr)'!$C:$FB,100)</f>
        <v>598</v>
      </c>
      <c r="J60" s="75">
        <f t="shared" si="2"/>
        <v>44</v>
      </c>
      <c r="K60" s="75">
        <f t="shared" si="3"/>
        <v>6.8535825545171329</v>
      </c>
      <c r="L60" s="75">
        <f>VLOOKUP($A60,'Data Vlaue (Cr)'!$C:$FB,67)</f>
        <v>1729</v>
      </c>
      <c r="M60" s="75">
        <f>VLOOKUP($A60,'Data Vlaue (Cr)'!$C:$FB,68)</f>
        <v>152</v>
      </c>
      <c r="N60" s="75">
        <f t="shared" si="4"/>
        <v>1577</v>
      </c>
      <c r="O60" s="75">
        <f t="shared" si="5"/>
        <v>91.208791208791212</v>
      </c>
      <c r="P60" s="75">
        <f>VLOOKUP($A60,'Data Vlaue (Cr)'!$C:$FB,119)</f>
        <v>0.68</v>
      </c>
      <c r="Q60" s="75">
        <f>VLOOKUP($A60,'Data Vlaue (Cr)'!$C:$FB,122)*100</f>
        <v>3.0300000000000002</v>
      </c>
      <c r="R60" s="75">
        <f>VLOOKUP($A60,'Data Vlaue (Cr)'!$C:$FB,125)</f>
        <v>0.75</v>
      </c>
      <c r="S60" s="75">
        <f>VLOOKUP($A60,'Data Vlaue (Cr)'!$C:$FB,128)*100</f>
        <v>22.95</v>
      </c>
    </row>
    <row r="61" spans="1:19" x14ac:dyDescent="0.25">
      <c r="A61" s="96" t="str">
        <f>'Data Vlaue (Cr)'!C52</f>
        <v>DABUR</v>
      </c>
      <c r="B61" s="75">
        <f>VLOOKUP($A61,'Data Vlaue (Cr)'!$C:$FB,2)</f>
        <v>1250</v>
      </c>
      <c r="C61" s="75">
        <f>VLOOKUP($A61,'Data Vlaue (Cr)'!$C:$FB,8)</f>
        <v>494.15</v>
      </c>
      <c r="D61" s="75">
        <f>VLOOKUP($A61,'Data Vlaue (Cr)'!$C:$FB,4)</f>
        <v>494.5</v>
      </c>
      <c r="E61" s="75">
        <f>VLOOKUP($A61,'Data Vlaue (Cr)'!$C:$FB,5)</f>
        <v>499.15</v>
      </c>
      <c r="F61" s="75">
        <f t="shared" si="0"/>
        <v>0.35000000000002274</v>
      </c>
      <c r="G61" s="75">
        <f t="shared" si="1"/>
        <v>-0.94034378159756871</v>
      </c>
      <c r="H61" s="75">
        <f>VLOOKUP($A61,'Data Vlaue (Cr)'!$C:$FB,99)</f>
        <v>2133</v>
      </c>
      <c r="I61" s="75">
        <f>VLOOKUP($A61,'Data Vlaue (Cr)'!$C:$FB,100)</f>
        <v>2060</v>
      </c>
      <c r="J61" s="75">
        <f t="shared" si="2"/>
        <v>73</v>
      </c>
      <c r="K61" s="75">
        <f t="shared" si="3"/>
        <v>3.4224097515236758</v>
      </c>
      <c r="L61" s="75">
        <f>VLOOKUP($A61,'Data Vlaue (Cr)'!$C:$FB,67)</f>
        <v>592</v>
      </c>
      <c r="M61" s="75">
        <f>VLOOKUP($A61,'Data Vlaue (Cr)'!$C:$FB,68)</f>
        <v>1567</v>
      </c>
      <c r="N61" s="75">
        <f t="shared" si="4"/>
        <v>-975</v>
      </c>
      <c r="O61" s="75">
        <f t="shared" si="5"/>
        <v>-164.69594594594594</v>
      </c>
      <c r="P61" s="75">
        <f>VLOOKUP($A61,'Data Vlaue (Cr)'!$C:$FB,119)</f>
        <v>0.54</v>
      </c>
      <c r="Q61" s="75">
        <f>VLOOKUP($A61,'Data Vlaue (Cr)'!$C:$FB,122)*100</f>
        <v>1.8900000000000001</v>
      </c>
      <c r="R61" s="75">
        <f>VLOOKUP($A61,'Data Vlaue (Cr)'!$C:$FB,125)</f>
        <v>0.36</v>
      </c>
      <c r="S61" s="75">
        <f>VLOOKUP($A61,'Data Vlaue (Cr)'!$C:$FB,128)*100</f>
        <v>24.14</v>
      </c>
    </row>
    <row r="62" spans="1:19" x14ac:dyDescent="0.25">
      <c r="A62" s="96" t="str">
        <f>'Data Vlaue (Cr)'!C53</f>
        <v>DALBHARAT</v>
      </c>
      <c r="B62" s="75">
        <f>VLOOKUP($A62,'Data Vlaue (Cr)'!$C:$FB,2)</f>
        <v>325</v>
      </c>
      <c r="C62" s="75">
        <f>VLOOKUP($A62,'Data Vlaue (Cr)'!$C:$FB,8)</f>
        <v>2073.9</v>
      </c>
      <c r="D62" s="75">
        <f>VLOOKUP($A62,'Data Vlaue (Cr)'!$C:$FB,4)</f>
        <v>2077.6</v>
      </c>
      <c r="E62" s="75">
        <f>VLOOKUP($A62,'Data Vlaue (Cr)'!$C:$FB,5)</f>
        <v>2070.3000000000002</v>
      </c>
      <c r="F62" s="75">
        <f t="shared" si="0"/>
        <v>3.6999999999998181</v>
      </c>
      <c r="G62" s="75">
        <f t="shared" si="1"/>
        <v>0.35136696187907812</v>
      </c>
      <c r="H62" s="75">
        <f>VLOOKUP($A62,'Data Vlaue (Cr)'!$C:$FB,99)</f>
        <v>991</v>
      </c>
      <c r="I62" s="75">
        <f>VLOOKUP($A62,'Data Vlaue (Cr)'!$C:$FB,100)</f>
        <v>964</v>
      </c>
      <c r="J62" s="75">
        <f t="shared" si="2"/>
        <v>27</v>
      </c>
      <c r="K62" s="75">
        <f t="shared" si="3"/>
        <v>2.7245206861755804</v>
      </c>
      <c r="L62" s="75">
        <f>VLOOKUP($A62,'Data Vlaue (Cr)'!$C:$FB,67)</f>
        <v>476</v>
      </c>
      <c r="M62" s="75">
        <f>VLOOKUP($A62,'Data Vlaue (Cr)'!$C:$FB,68)</f>
        <v>616</v>
      </c>
      <c r="N62" s="75">
        <f t="shared" si="4"/>
        <v>-140</v>
      </c>
      <c r="O62" s="75">
        <f t="shared" si="5"/>
        <v>-29.411764705882355</v>
      </c>
      <c r="P62" s="75">
        <f>VLOOKUP($A62,'Data Vlaue (Cr)'!$C:$FB,119)</f>
        <v>0.76</v>
      </c>
      <c r="Q62" s="75">
        <f>VLOOKUP($A62,'Data Vlaue (Cr)'!$C:$FB,122)*100</f>
        <v>-2.56</v>
      </c>
      <c r="R62" s="75">
        <f>VLOOKUP($A62,'Data Vlaue (Cr)'!$C:$FB,125)</f>
        <v>0.4</v>
      </c>
      <c r="S62" s="75">
        <f>VLOOKUP($A62,'Data Vlaue (Cr)'!$C:$FB,128)*100</f>
        <v>-37.5</v>
      </c>
    </row>
    <row r="63" spans="1:19" x14ac:dyDescent="0.25">
      <c r="A63" s="96" t="str">
        <f>'Data Vlaue (Cr)'!C54</f>
        <v>DELHIVERY</v>
      </c>
      <c r="B63" s="75">
        <f>VLOOKUP($A63,'Data Vlaue (Cr)'!$C:$FB,2)</f>
        <v>2075</v>
      </c>
      <c r="C63" s="75">
        <f>VLOOKUP($A63,'Data Vlaue (Cr)'!$C:$FB,8)</f>
        <v>399.8</v>
      </c>
      <c r="D63" s="75">
        <f>VLOOKUP($A63,'Data Vlaue (Cr)'!$C:$FB,4)</f>
        <v>400.3</v>
      </c>
      <c r="E63" s="75">
        <f>VLOOKUP($A63,'Data Vlaue (Cr)'!$C:$FB,5)</f>
        <v>402.95</v>
      </c>
      <c r="F63" s="75">
        <f t="shared" si="0"/>
        <v>0.5</v>
      </c>
      <c r="G63" s="75">
        <f t="shared" si="1"/>
        <v>-0.66200349737696151</v>
      </c>
      <c r="H63" s="75">
        <f>VLOOKUP($A63,'Data Vlaue (Cr)'!$C:$FB,99)</f>
        <v>1570</v>
      </c>
      <c r="I63" s="75">
        <f>VLOOKUP($A63,'Data Vlaue (Cr)'!$C:$FB,100)</f>
        <v>1541</v>
      </c>
      <c r="J63" s="75">
        <f t="shared" si="2"/>
        <v>29</v>
      </c>
      <c r="K63" s="75">
        <f t="shared" si="3"/>
        <v>1.8471337579617835</v>
      </c>
      <c r="L63" s="75">
        <f>VLOOKUP($A63,'Data Vlaue (Cr)'!$C:$FB,67)</f>
        <v>529</v>
      </c>
      <c r="M63" s="75">
        <f>VLOOKUP($A63,'Data Vlaue (Cr)'!$C:$FB,68)</f>
        <v>691</v>
      </c>
      <c r="N63" s="75">
        <f t="shared" si="4"/>
        <v>-162</v>
      </c>
      <c r="O63" s="75">
        <f t="shared" si="5"/>
        <v>-30.623818525519848</v>
      </c>
      <c r="P63" s="75">
        <f>VLOOKUP($A63,'Data Vlaue (Cr)'!$C:$FB,119)</f>
        <v>0.65</v>
      </c>
      <c r="Q63" s="75">
        <f>VLOOKUP($A63,'Data Vlaue (Cr)'!$C:$FB,122)*100</f>
        <v>1.5599999999999998</v>
      </c>
      <c r="R63" s="75">
        <f>VLOOKUP($A63,'Data Vlaue (Cr)'!$C:$FB,125)</f>
        <v>0.5</v>
      </c>
      <c r="S63" s="75">
        <f>VLOOKUP($A63,'Data Vlaue (Cr)'!$C:$FB,128)*100</f>
        <v>4.17</v>
      </c>
    </row>
    <row r="64" spans="1:19" x14ac:dyDescent="0.25">
      <c r="A64" s="96" t="str">
        <f>'Data Vlaue (Cr)'!C55</f>
        <v>DIVISLAB</v>
      </c>
      <c r="B64" s="75">
        <f>VLOOKUP($A64,'Data Vlaue (Cr)'!$C:$FB,2)</f>
        <v>100</v>
      </c>
      <c r="C64" s="75">
        <f>VLOOKUP($A64,'Data Vlaue (Cr)'!$C:$FB,8)</f>
        <v>6293</v>
      </c>
      <c r="D64" s="75">
        <f>VLOOKUP($A64,'Data Vlaue (Cr)'!$C:$FB,4)</f>
        <v>6299.5</v>
      </c>
      <c r="E64" s="75">
        <f>VLOOKUP($A64,'Data Vlaue (Cr)'!$C:$FB,5)</f>
        <v>6343</v>
      </c>
      <c r="F64" s="75">
        <f t="shared" si="0"/>
        <v>6.5</v>
      </c>
      <c r="G64" s="75">
        <f t="shared" si="1"/>
        <v>-0.69053099452337485</v>
      </c>
      <c r="H64" s="75">
        <f>VLOOKUP($A64,'Data Vlaue (Cr)'!$C:$FB,99)</f>
        <v>2934</v>
      </c>
      <c r="I64" s="75">
        <f>VLOOKUP($A64,'Data Vlaue (Cr)'!$C:$FB,100)</f>
        <v>2894</v>
      </c>
      <c r="J64" s="75">
        <f t="shared" si="2"/>
        <v>40</v>
      </c>
      <c r="K64" s="75">
        <f t="shared" si="3"/>
        <v>1.3633265167007498</v>
      </c>
      <c r="L64" s="75">
        <f>VLOOKUP($A64,'Data Vlaue (Cr)'!$C:$FB,67)</f>
        <v>591</v>
      </c>
      <c r="M64" s="75">
        <f>VLOOKUP($A64,'Data Vlaue (Cr)'!$C:$FB,68)</f>
        <v>615</v>
      </c>
      <c r="N64" s="75">
        <f t="shared" si="4"/>
        <v>-24</v>
      </c>
      <c r="O64" s="75">
        <f t="shared" si="5"/>
        <v>-4.0609137055837561</v>
      </c>
      <c r="P64" s="75">
        <f>VLOOKUP($A64,'Data Vlaue (Cr)'!$C:$FB,119)</f>
        <v>0.7</v>
      </c>
      <c r="Q64" s="75">
        <f>VLOOKUP($A64,'Data Vlaue (Cr)'!$C:$FB,122)*100</f>
        <v>-4.1099999999999994</v>
      </c>
      <c r="R64" s="75">
        <f>VLOOKUP($A64,'Data Vlaue (Cr)'!$C:$FB,125)</f>
        <v>0.45</v>
      </c>
      <c r="S64" s="75">
        <f>VLOOKUP($A64,'Data Vlaue (Cr)'!$C:$FB,128)*100</f>
        <v>-10</v>
      </c>
    </row>
    <row r="65" spans="1:19" x14ac:dyDescent="0.25">
      <c r="A65" s="96" t="str">
        <f>'Data Vlaue (Cr)'!C56</f>
        <v>DIXON</v>
      </c>
      <c r="B65" s="75">
        <f>VLOOKUP($A65,'Data Vlaue (Cr)'!$C:$FB,2)</f>
        <v>50</v>
      </c>
      <c r="C65" s="75">
        <f>VLOOKUP($A65,'Data Vlaue (Cr)'!$C:$FB,8)</f>
        <v>13274</v>
      </c>
      <c r="D65" s="75">
        <f>VLOOKUP($A65,'Data Vlaue (Cr)'!$C:$FB,4)</f>
        <v>13263</v>
      </c>
      <c r="E65" s="75">
        <f>VLOOKUP($A65,'Data Vlaue (Cr)'!$C:$FB,5)</f>
        <v>13633</v>
      </c>
      <c r="F65" s="75">
        <f t="shared" si="0"/>
        <v>-11</v>
      </c>
      <c r="G65" s="75">
        <f t="shared" si="1"/>
        <v>-2.7897157505843326</v>
      </c>
      <c r="H65" s="75">
        <f>VLOOKUP($A65,'Data Vlaue (Cr)'!$C:$FB,99)</f>
        <v>10228</v>
      </c>
      <c r="I65" s="75">
        <f>VLOOKUP($A65,'Data Vlaue (Cr)'!$C:$FB,100)</f>
        <v>9706</v>
      </c>
      <c r="J65" s="75">
        <f t="shared" si="2"/>
        <v>522</v>
      </c>
      <c r="K65" s="75">
        <f t="shared" si="3"/>
        <v>5.10363707469691</v>
      </c>
      <c r="L65" s="75">
        <f>VLOOKUP($A65,'Data Vlaue (Cr)'!$C:$FB,67)</f>
        <v>16693</v>
      </c>
      <c r="M65" s="75">
        <f>VLOOKUP($A65,'Data Vlaue (Cr)'!$C:$FB,68)</f>
        <v>11701</v>
      </c>
      <c r="N65" s="75">
        <f t="shared" si="4"/>
        <v>4992</v>
      </c>
      <c r="O65" s="75">
        <f t="shared" si="5"/>
        <v>29.904750494219133</v>
      </c>
      <c r="P65" s="75">
        <f>VLOOKUP($A65,'Data Vlaue (Cr)'!$C:$FB,119)</f>
        <v>0.52</v>
      </c>
      <c r="Q65" s="75">
        <f>VLOOKUP($A65,'Data Vlaue (Cr)'!$C:$FB,122)*100</f>
        <v>-8.77</v>
      </c>
      <c r="R65" s="75">
        <f>VLOOKUP($A65,'Data Vlaue (Cr)'!$C:$FB,125)</f>
        <v>1.0900000000000001</v>
      </c>
      <c r="S65" s="75">
        <f>VLOOKUP($A65,'Data Vlaue (Cr)'!$C:$FB,128)*100</f>
        <v>47.3</v>
      </c>
    </row>
    <row r="66" spans="1:19" x14ac:dyDescent="0.25">
      <c r="A66" s="96" t="str">
        <f>'Data Vlaue (Cr)'!C57</f>
        <v>DLF</v>
      </c>
      <c r="B66" s="75">
        <f>VLOOKUP($A66,'Data Vlaue (Cr)'!$C:$FB,2)</f>
        <v>825</v>
      </c>
      <c r="C66" s="75">
        <f>VLOOKUP($A66,'Data Vlaue (Cr)'!$C:$FB,8)</f>
        <v>683.1</v>
      </c>
      <c r="D66" s="75">
        <f>VLOOKUP($A66,'Data Vlaue (Cr)'!$C:$FB,4)</f>
        <v>683.8</v>
      </c>
      <c r="E66" s="75">
        <f>VLOOKUP($A66,'Data Vlaue (Cr)'!$C:$FB,5)</f>
        <v>692.6</v>
      </c>
      <c r="F66" s="75">
        <f t="shared" si="0"/>
        <v>0.69999999999993179</v>
      </c>
      <c r="G66" s="75">
        <f t="shared" si="1"/>
        <v>-1.2869260017549091</v>
      </c>
      <c r="H66" s="75">
        <f>VLOOKUP($A66,'Data Vlaue (Cr)'!$C:$FB,99)</f>
        <v>6030</v>
      </c>
      <c r="I66" s="75">
        <f>VLOOKUP($A66,'Data Vlaue (Cr)'!$C:$FB,100)</f>
        <v>5945</v>
      </c>
      <c r="J66" s="75">
        <f t="shared" si="2"/>
        <v>85</v>
      </c>
      <c r="K66" s="75">
        <f t="shared" si="3"/>
        <v>1.4096185737976783</v>
      </c>
      <c r="L66" s="75">
        <f>VLOOKUP($A66,'Data Vlaue (Cr)'!$C:$FB,67)</f>
        <v>2034</v>
      </c>
      <c r="M66" s="75">
        <f>VLOOKUP($A66,'Data Vlaue (Cr)'!$C:$FB,68)</f>
        <v>1334</v>
      </c>
      <c r="N66" s="75">
        <f t="shared" si="4"/>
        <v>700</v>
      </c>
      <c r="O66" s="75">
        <f t="shared" si="5"/>
        <v>34.414945919370702</v>
      </c>
      <c r="P66" s="75">
        <f>VLOOKUP($A66,'Data Vlaue (Cr)'!$C:$FB,119)</f>
        <v>0.62</v>
      </c>
      <c r="Q66" s="75">
        <f>VLOOKUP($A66,'Data Vlaue (Cr)'!$C:$FB,122)*100</f>
        <v>0</v>
      </c>
      <c r="R66" s="75">
        <f>VLOOKUP($A66,'Data Vlaue (Cr)'!$C:$FB,125)</f>
        <v>0.39</v>
      </c>
      <c r="S66" s="75">
        <f>VLOOKUP($A66,'Data Vlaue (Cr)'!$C:$FB,128)*100</f>
        <v>39.290000000000006</v>
      </c>
    </row>
    <row r="67" spans="1:19" x14ac:dyDescent="0.25">
      <c r="A67" s="96" t="str">
        <f>'Data Vlaue (Cr)'!C58</f>
        <v>DMART</v>
      </c>
      <c r="B67" s="75">
        <f>VLOOKUP($A67,'Data Vlaue (Cr)'!$C:$FB,2)</f>
        <v>150</v>
      </c>
      <c r="C67" s="75">
        <f>VLOOKUP($A67,'Data Vlaue (Cr)'!$C:$FB,8)</f>
        <v>3826.2</v>
      </c>
      <c r="D67" s="75">
        <f>VLOOKUP($A67,'Data Vlaue (Cr)'!$C:$FB,4)</f>
        <v>3825.1</v>
      </c>
      <c r="E67" s="75">
        <f>VLOOKUP($A67,'Data Vlaue (Cr)'!$C:$FB,5)</f>
        <v>3860.5</v>
      </c>
      <c r="F67" s="75">
        <f t="shared" si="0"/>
        <v>-1.0999999999999091</v>
      </c>
      <c r="G67" s="75">
        <f t="shared" si="1"/>
        <v>-0.9254660008888681</v>
      </c>
      <c r="H67" s="75">
        <f>VLOOKUP($A67,'Data Vlaue (Cr)'!$C:$FB,99)</f>
        <v>3609</v>
      </c>
      <c r="I67" s="75">
        <f>VLOOKUP($A67,'Data Vlaue (Cr)'!$C:$FB,100)</f>
        <v>3567</v>
      </c>
      <c r="J67" s="75">
        <f t="shared" si="2"/>
        <v>42</v>
      </c>
      <c r="K67" s="75">
        <f t="shared" si="3"/>
        <v>1.1637572734829593</v>
      </c>
      <c r="L67" s="75">
        <f>VLOOKUP($A67,'Data Vlaue (Cr)'!$C:$FB,67)</f>
        <v>1269</v>
      </c>
      <c r="M67" s="75">
        <f>VLOOKUP($A67,'Data Vlaue (Cr)'!$C:$FB,68)</f>
        <v>4626</v>
      </c>
      <c r="N67" s="75">
        <f t="shared" si="4"/>
        <v>-3357</v>
      </c>
      <c r="O67" s="75">
        <f t="shared" si="5"/>
        <v>-264.53900709219857</v>
      </c>
      <c r="P67" s="75">
        <f>VLOOKUP($A67,'Data Vlaue (Cr)'!$C:$FB,119)</f>
        <v>0.48</v>
      </c>
      <c r="Q67" s="75">
        <f>VLOOKUP($A67,'Data Vlaue (Cr)'!$C:$FB,122)*100</f>
        <v>0</v>
      </c>
      <c r="R67" s="75">
        <f>VLOOKUP($A67,'Data Vlaue (Cr)'!$C:$FB,125)</f>
        <v>0.4</v>
      </c>
      <c r="S67" s="75">
        <f>VLOOKUP($A67,'Data Vlaue (Cr)'!$C:$FB,128)*100</f>
        <v>37.93</v>
      </c>
    </row>
    <row r="68" spans="1:19" x14ac:dyDescent="0.25">
      <c r="A68" s="96" t="str">
        <f>'Data Vlaue (Cr)'!C59</f>
        <v>DRREDDY</v>
      </c>
      <c r="B68" s="75">
        <f>VLOOKUP($A68,'Data Vlaue (Cr)'!$C:$FB,2)</f>
        <v>625</v>
      </c>
      <c r="C68" s="75">
        <f>VLOOKUP($A68,'Data Vlaue (Cr)'!$C:$FB,8)</f>
        <v>1272</v>
      </c>
      <c r="D68" s="75">
        <f>VLOOKUP($A68,'Data Vlaue (Cr)'!$C:$FB,4)</f>
        <v>1273.2</v>
      </c>
      <c r="E68" s="75">
        <f>VLOOKUP($A68,'Data Vlaue (Cr)'!$C:$FB,5)</f>
        <v>1277.9000000000001</v>
      </c>
      <c r="F68" s="75">
        <f t="shared" si="0"/>
        <v>1.2000000000000455</v>
      </c>
      <c r="G68" s="75">
        <f t="shared" si="1"/>
        <v>-0.36914860194785148</v>
      </c>
      <c r="H68" s="75">
        <f>VLOOKUP($A68,'Data Vlaue (Cr)'!$C:$FB,99)</f>
        <v>3023</v>
      </c>
      <c r="I68" s="75">
        <f>VLOOKUP($A68,'Data Vlaue (Cr)'!$C:$FB,100)</f>
        <v>3037</v>
      </c>
      <c r="J68" s="75">
        <f t="shared" si="2"/>
        <v>-14</v>
      </c>
      <c r="K68" s="75">
        <f t="shared" si="3"/>
        <v>-0.46311610982467744</v>
      </c>
      <c r="L68" s="75">
        <f>VLOOKUP($A68,'Data Vlaue (Cr)'!$C:$FB,67)</f>
        <v>828</v>
      </c>
      <c r="M68" s="75">
        <f>VLOOKUP($A68,'Data Vlaue (Cr)'!$C:$FB,68)</f>
        <v>741</v>
      </c>
      <c r="N68" s="75">
        <f t="shared" si="4"/>
        <v>87</v>
      </c>
      <c r="O68" s="75">
        <f t="shared" si="5"/>
        <v>10.507246376811594</v>
      </c>
      <c r="P68" s="75">
        <f>VLOOKUP($A68,'Data Vlaue (Cr)'!$C:$FB,119)</f>
        <v>0.49</v>
      </c>
      <c r="Q68" s="75">
        <f>VLOOKUP($A68,'Data Vlaue (Cr)'!$C:$FB,122)*100</f>
        <v>-2</v>
      </c>
      <c r="R68" s="75">
        <f>VLOOKUP($A68,'Data Vlaue (Cr)'!$C:$FB,125)</f>
        <v>0.53</v>
      </c>
      <c r="S68" s="75">
        <f>VLOOKUP($A68,'Data Vlaue (Cr)'!$C:$FB,128)*100</f>
        <v>1.92</v>
      </c>
    </row>
    <row r="69" spans="1:19" x14ac:dyDescent="0.25">
      <c r="A69" s="96" t="str">
        <f>'Data Vlaue (Cr)'!C60</f>
        <v>EICHERMOT</v>
      </c>
      <c r="B69" s="75">
        <f>VLOOKUP($A69,'Data Vlaue (Cr)'!$C:$FB,2)</f>
        <v>175</v>
      </c>
      <c r="C69" s="75">
        <f>VLOOKUP($A69,'Data Vlaue (Cr)'!$C:$FB,8)</f>
        <v>7134.5</v>
      </c>
      <c r="D69" s="75">
        <f>VLOOKUP($A69,'Data Vlaue (Cr)'!$C:$FB,4)</f>
        <v>7144</v>
      </c>
      <c r="E69" s="75">
        <f>VLOOKUP($A69,'Data Vlaue (Cr)'!$C:$FB,5)</f>
        <v>7077</v>
      </c>
      <c r="F69" s="75">
        <f t="shared" si="0"/>
        <v>9.5</v>
      </c>
      <c r="G69" s="75">
        <f t="shared" si="1"/>
        <v>0.9378499440089586</v>
      </c>
      <c r="H69" s="75">
        <f>VLOOKUP($A69,'Data Vlaue (Cr)'!$C:$FB,99)</f>
        <v>5695</v>
      </c>
      <c r="I69" s="75">
        <f>VLOOKUP($A69,'Data Vlaue (Cr)'!$C:$FB,100)</f>
        <v>5685</v>
      </c>
      <c r="J69" s="75">
        <f t="shared" si="2"/>
        <v>10</v>
      </c>
      <c r="K69" s="75">
        <f t="shared" si="3"/>
        <v>0.17559262510974538</v>
      </c>
      <c r="L69" s="75">
        <f>VLOOKUP($A69,'Data Vlaue (Cr)'!$C:$FB,67)</f>
        <v>5911</v>
      </c>
      <c r="M69" s="75">
        <f>VLOOKUP($A69,'Data Vlaue (Cr)'!$C:$FB,68)</f>
        <v>3987</v>
      </c>
      <c r="N69" s="75">
        <f t="shared" si="4"/>
        <v>1924</v>
      </c>
      <c r="O69" s="75">
        <f t="shared" si="5"/>
        <v>32.549484012857384</v>
      </c>
      <c r="P69" s="75">
        <f>VLOOKUP($A69,'Data Vlaue (Cr)'!$C:$FB,119)</f>
        <v>0.74</v>
      </c>
      <c r="Q69" s="75">
        <f>VLOOKUP($A69,'Data Vlaue (Cr)'!$C:$FB,122)*100</f>
        <v>7.2499999999999991</v>
      </c>
      <c r="R69" s="75">
        <f>VLOOKUP($A69,'Data Vlaue (Cr)'!$C:$FB,125)</f>
        <v>0.53</v>
      </c>
      <c r="S69" s="75">
        <f>VLOOKUP($A69,'Data Vlaue (Cr)'!$C:$FB,128)*100</f>
        <v>-37.65</v>
      </c>
    </row>
    <row r="70" spans="1:19" x14ac:dyDescent="0.25">
      <c r="A70" s="96" t="str">
        <f>'Data Vlaue (Cr)'!C61</f>
        <v>ETERNAL</v>
      </c>
      <c r="B70" s="75">
        <f>VLOOKUP($A70,'Data Vlaue (Cr)'!$C:$FB,2)</f>
        <v>2425</v>
      </c>
      <c r="C70" s="75">
        <f>VLOOKUP($A70,'Data Vlaue (Cr)'!$C:$FB,8)</f>
        <v>284.45</v>
      </c>
      <c r="D70" s="75">
        <f>VLOOKUP($A70,'Data Vlaue (Cr)'!$C:$FB,4)</f>
        <v>285</v>
      </c>
      <c r="E70" s="75">
        <f>VLOOKUP($A70,'Data Vlaue (Cr)'!$C:$FB,5)</f>
        <v>284.95</v>
      </c>
      <c r="F70" s="75">
        <f t="shared" si="0"/>
        <v>0.55000000000001137</v>
      </c>
      <c r="G70" s="75">
        <f t="shared" si="1"/>
        <v>1.7543859649126796E-2</v>
      </c>
      <c r="H70" s="75">
        <f>VLOOKUP($A70,'Data Vlaue (Cr)'!$C:$FB,99)</f>
        <v>12933</v>
      </c>
      <c r="I70" s="75">
        <f>VLOOKUP($A70,'Data Vlaue (Cr)'!$C:$FB,100)</f>
        <v>12854</v>
      </c>
      <c r="J70" s="75">
        <f t="shared" si="2"/>
        <v>79</v>
      </c>
      <c r="K70" s="75">
        <f t="shared" si="3"/>
        <v>0.61084048557952531</v>
      </c>
      <c r="L70" s="75">
        <f>VLOOKUP($A70,'Data Vlaue (Cr)'!$C:$FB,67)</f>
        <v>5411</v>
      </c>
      <c r="M70" s="75">
        <f>VLOOKUP($A70,'Data Vlaue (Cr)'!$C:$FB,68)</f>
        <v>15398</v>
      </c>
      <c r="N70" s="75">
        <f t="shared" si="4"/>
        <v>-9987</v>
      </c>
      <c r="O70" s="75">
        <f t="shared" si="5"/>
        <v>-184.56847163186103</v>
      </c>
      <c r="P70" s="75">
        <f>VLOOKUP($A70,'Data Vlaue (Cr)'!$C:$FB,119)</f>
        <v>0.53</v>
      </c>
      <c r="Q70" s="75">
        <f>VLOOKUP($A70,'Data Vlaue (Cr)'!$C:$FB,122)*100</f>
        <v>-3.64</v>
      </c>
      <c r="R70" s="75">
        <f>VLOOKUP($A70,'Data Vlaue (Cr)'!$C:$FB,125)</f>
        <v>0.6</v>
      </c>
      <c r="S70" s="75">
        <f>VLOOKUP($A70,'Data Vlaue (Cr)'!$C:$FB,128)*100</f>
        <v>-20</v>
      </c>
    </row>
    <row r="71" spans="1:19" x14ac:dyDescent="0.25">
      <c r="A71" s="96" t="str">
        <f>'Data Vlaue (Cr)'!C62</f>
        <v>EXIDEIND</v>
      </c>
      <c r="B71" s="75">
        <f>VLOOKUP($A71,'Data Vlaue (Cr)'!$C:$FB,2)</f>
        <v>1800</v>
      </c>
      <c r="C71" s="75">
        <f>VLOOKUP($A71,'Data Vlaue (Cr)'!$C:$FB,8)</f>
        <v>363.8</v>
      </c>
      <c r="D71" s="75">
        <f>VLOOKUP($A71,'Data Vlaue (Cr)'!$C:$FB,4)</f>
        <v>364.1</v>
      </c>
      <c r="E71" s="75">
        <f>VLOOKUP($A71,'Data Vlaue (Cr)'!$C:$FB,5)</f>
        <v>366.45</v>
      </c>
      <c r="F71" s="75">
        <f t="shared" si="0"/>
        <v>0.30000000000001137</v>
      </c>
      <c r="G71" s="75">
        <f t="shared" si="1"/>
        <v>-0.64542708047238828</v>
      </c>
      <c r="H71" s="75">
        <f>VLOOKUP($A71,'Data Vlaue (Cr)'!$C:$FB,99)</f>
        <v>1832</v>
      </c>
      <c r="I71" s="75">
        <f>VLOOKUP($A71,'Data Vlaue (Cr)'!$C:$FB,100)</f>
        <v>1794</v>
      </c>
      <c r="J71" s="75">
        <f t="shared" si="2"/>
        <v>38</v>
      </c>
      <c r="K71" s="75">
        <f t="shared" si="3"/>
        <v>2.0742358078602621</v>
      </c>
      <c r="L71" s="75">
        <f>VLOOKUP($A71,'Data Vlaue (Cr)'!$C:$FB,67)</f>
        <v>603</v>
      </c>
      <c r="M71" s="75">
        <f>VLOOKUP($A71,'Data Vlaue (Cr)'!$C:$FB,68)</f>
        <v>722</v>
      </c>
      <c r="N71" s="75">
        <f t="shared" si="4"/>
        <v>-119</v>
      </c>
      <c r="O71" s="75">
        <f t="shared" si="5"/>
        <v>-19.734660033167494</v>
      </c>
      <c r="P71" s="75">
        <f>VLOOKUP($A71,'Data Vlaue (Cr)'!$C:$FB,119)</f>
        <v>0.71</v>
      </c>
      <c r="Q71" s="75">
        <f>VLOOKUP($A71,'Data Vlaue (Cr)'!$C:$FB,122)*100</f>
        <v>0</v>
      </c>
      <c r="R71" s="75">
        <f>VLOOKUP($A71,'Data Vlaue (Cr)'!$C:$FB,125)</f>
        <v>0.41</v>
      </c>
      <c r="S71" s="75">
        <f>VLOOKUP($A71,'Data Vlaue (Cr)'!$C:$FB,128)*100</f>
        <v>2.5</v>
      </c>
    </row>
    <row r="72" spans="1:19" x14ac:dyDescent="0.25">
      <c r="A72" s="96" t="str">
        <f>'Data Vlaue (Cr)'!C63</f>
        <v>FEDERALBNK</v>
      </c>
      <c r="B72" s="75">
        <f>VLOOKUP($A72,'Data Vlaue (Cr)'!$C:$FB,2)</f>
        <v>5000</v>
      </c>
      <c r="C72" s="75">
        <f>VLOOKUP($A72,'Data Vlaue (Cr)'!$C:$FB,8)</f>
        <v>263.60000000000002</v>
      </c>
      <c r="D72" s="75">
        <f>VLOOKUP($A72,'Data Vlaue (Cr)'!$C:$FB,4)</f>
        <v>264.3</v>
      </c>
      <c r="E72" s="75">
        <f>VLOOKUP($A72,'Data Vlaue (Cr)'!$C:$FB,5)</f>
        <v>263.10000000000002</v>
      </c>
      <c r="F72" s="75">
        <f t="shared" si="0"/>
        <v>0.69999999999998863</v>
      </c>
      <c r="G72" s="75">
        <f t="shared" si="1"/>
        <v>0.45402951191827035</v>
      </c>
      <c r="H72" s="75">
        <f>VLOOKUP($A72,'Data Vlaue (Cr)'!$C:$FB,99)</f>
        <v>4096</v>
      </c>
      <c r="I72" s="75">
        <f>VLOOKUP($A72,'Data Vlaue (Cr)'!$C:$FB,100)</f>
        <v>4013</v>
      </c>
      <c r="J72" s="75">
        <f t="shared" si="2"/>
        <v>83</v>
      </c>
      <c r="K72" s="75">
        <f t="shared" si="3"/>
        <v>2.0263671875</v>
      </c>
      <c r="L72" s="75">
        <f>VLOOKUP($A72,'Data Vlaue (Cr)'!$C:$FB,67)</f>
        <v>2309</v>
      </c>
      <c r="M72" s="75">
        <f>VLOOKUP($A72,'Data Vlaue (Cr)'!$C:$FB,68)</f>
        <v>2551</v>
      </c>
      <c r="N72" s="75">
        <f t="shared" si="4"/>
        <v>-242</v>
      </c>
      <c r="O72" s="75">
        <f t="shared" si="5"/>
        <v>-10.480727587700303</v>
      </c>
      <c r="P72" s="75">
        <f>VLOOKUP($A72,'Data Vlaue (Cr)'!$C:$FB,119)</f>
        <v>0.99</v>
      </c>
      <c r="Q72" s="75">
        <f>VLOOKUP($A72,'Data Vlaue (Cr)'!$C:$FB,122)*100</f>
        <v>-1</v>
      </c>
      <c r="R72" s="75">
        <f>VLOOKUP($A72,'Data Vlaue (Cr)'!$C:$FB,125)</f>
        <v>0.59</v>
      </c>
      <c r="S72" s="75">
        <f>VLOOKUP($A72,'Data Vlaue (Cr)'!$C:$FB,128)*100</f>
        <v>7.2700000000000005</v>
      </c>
    </row>
    <row r="73" spans="1:19" x14ac:dyDescent="0.25">
      <c r="A73" s="96" t="str">
        <f>'Data Vlaue (Cr)'!C64</f>
        <v>FINNIFTY</v>
      </c>
      <c r="B73" s="75">
        <f>VLOOKUP($A73,'Data Vlaue (Cr)'!$C:$FB,2)</f>
        <v>65</v>
      </c>
      <c r="C73" s="75">
        <f>VLOOKUP($A73,'Data Vlaue (Cr)'!$C:$FB,8)</f>
        <v>27251.95</v>
      </c>
      <c r="D73" s="75">
        <f>VLOOKUP($A73,'Data Vlaue (Cr)'!$C:$FB,4)</f>
        <v>27375.7</v>
      </c>
      <c r="E73" s="75">
        <f>VLOOKUP($A73,'Data Vlaue (Cr)'!$C:$FB,5)</f>
        <v>27505.1</v>
      </c>
      <c r="F73" s="75">
        <f t="shared" si="0"/>
        <v>123.75</v>
      </c>
      <c r="G73" s="75">
        <f t="shared" si="1"/>
        <v>-0.47268197708185661</v>
      </c>
      <c r="H73" s="75">
        <f>VLOOKUP($A73,'Data Vlaue (Cr)'!$C:$FB,99)</f>
        <v>4192</v>
      </c>
      <c r="I73" s="75">
        <f>VLOOKUP($A73,'Data Vlaue (Cr)'!$C:$FB,100)</f>
        <v>3755</v>
      </c>
      <c r="J73" s="75">
        <f t="shared" si="2"/>
        <v>437</v>
      </c>
      <c r="K73" s="75">
        <f t="shared" si="3"/>
        <v>10.424618320610687</v>
      </c>
      <c r="L73" s="75">
        <f>VLOOKUP($A73,'Data Vlaue (Cr)'!$C:$FB,67)</f>
        <v>8201</v>
      </c>
      <c r="M73" s="75">
        <f>VLOOKUP($A73,'Data Vlaue (Cr)'!$C:$FB,68)</f>
        <v>6241</v>
      </c>
      <c r="N73" s="75">
        <f t="shared" si="4"/>
        <v>1960</v>
      </c>
      <c r="O73" s="75">
        <f t="shared" si="5"/>
        <v>23.899524448238019</v>
      </c>
      <c r="P73" s="75">
        <f>VLOOKUP($A73,'Data Vlaue (Cr)'!$C:$FB,119)</f>
        <v>0.56999999999999995</v>
      </c>
      <c r="Q73" s="75">
        <f>VLOOKUP($A73,'Data Vlaue (Cr)'!$C:$FB,122)*100</f>
        <v>-9.5200000000000014</v>
      </c>
      <c r="R73" s="75">
        <f>VLOOKUP($A73,'Data Vlaue (Cr)'!$C:$FB,125)</f>
        <v>0.66</v>
      </c>
      <c r="S73" s="75">
        <f>VLOOKUP($A73,'Data Vlaue (Cr)'!$C:$FB,128)*100</f>
        <v>-5.71</v>
      </c>
    </row>
    <row r="74" spans="1:19" x14ac:dyDescent="0.25">
      <c r="A74" s="96" t="str">
        <f>'Data Vlaue (Cr)'!C65</f>
        <v>FORTIS</v>
      </c>
      <c r="B74" s="75">
        <f>VLOOKUP($A74,'Data Vlaue (Cr)'!$C:$FB,2)</f>
        <v>775</v>
      </c>
      <c r="C74" s="75">
        <f>VLOOKUP($A74,'Data Vlaue (Cr)'!$C:$FB,8)</f>
        <v>870.95</v>
      </c>
      <c r="D74" s="75">
        <f>VLOOKUP($A74,'Data Vlaue (Cr)'!$C:$FB,4)</f>
        <v>871.65</v>
      </c>
      <c r="E74" s="75">
        <f>VLOOKUP($A74,'Data Vlaue (Cr)'!$C:$FB,5)</f>
        <v>876.25</v>
      </c>
      <c r="F74" s="75">
        <f t="shared" si="0"/>
        <v>0.69999999999993179</v>
      </c>
      <c r="G74" s="75">
        <f t="shared" si="1"/>
        <v>-0.52773475592267804</v>
      </c>
      <c r="H74" s="75">
        <f>VLOOKUP($A74,'Data Vlaue (Cr)'!$C:$FB,99)</f>
        <v>2100</v>
      </c>
      <c r="I74" s="75">
        <f>VLOOKUP($A74,'Data Vlaue (Cr)'!$C:$FB,100)</f>
        <v>2112</v>
      </c>
      <c r="J74" s="75">
        <f t="shared" si="2"/>
        <v>-12</v>
      </c>
      <c r="K74" s="75">
        <f t="shared" si="3"/>
        <v>-0.5714285714285714</v>
      </c>
      <c r="L74" s="75">
        <f>VLOOKUP($A74,'Data Vlaue (Cr)'!$C:$FB,67)</f>
        <v>542</v>
      </c>
      <c r="M74" s="75">
        <f>VLOOKUP($A74,'Data Vlaue (Cr)'!$C:$FB,68)</f>
        <v>1085</v>
      </c>
      <c r="N74" s="75">
        <f t="shared" si="4"/>
        <v>-543</v>
      </c>
      <c r="O74" s="75">
        <f t="shared" si="5"/>
        <v>-100.18450184501846</v>
      </c>
      <c r="P74" s="75">
        <f>VLOOKUP($A74,'Data Vlaue (Cr)'!$C:$FB,119)</f>
        <v>0.44</v>
      </c>
      <c r="Q74" s="75">
        <f>VLOOKUP($A74,'Data Vlaue (Cr)'!$C:$FB,122)*100</f>
        <v>4.7600000000000007</v>
      </c>
      <c r="R74" s="75">
        <f>VLOOKUP($A74,'Data Vlaue (Cr)'!$C:$FB,125)</f>
        <v>0.4</v>
      </c>
      <c r="S74" s="75">
        <f>VLOOKUP($A74,'Data Vlaue (Cr)'!$C:$FB,128)*100</f>
        <v>60</v>
      </c>
    </row>
    <row r="75" spans="1:19" x14ac:dyDescent="0.25">
      <c r="A75" s="96" t="str">
        <f>'Data Vlaue (Cr)'!C66</f>
        <v>GAIL</v>
      </c>
      <c r="B75" s="75">
        <f>VLOOKUP($A75,'Data Vlaue (Cr)'!$C:$FB,2)</f>
        <v>3150</v>
      </c>
      <c r="C75" s="75">
        <f>VLOOKUP($A75,'Data Vlaue (Cr)'!$C:$FB,8)</f>
        <v>169.07</v>
      </c>
      <c r="D75" s="75">
        <f>VLOOKUP($A75,'Data Vlaue (Cr)'!$C:$FB,4)</f>
        <v>169.34</v>
      </c>
      <c r="E75" s="75">
        <f>VLOOKUP($A75,'Data Vlaue (Cr)'!$C:$FB,5)</f>
        <v>168.97</v>
      </c>
      <c r="F75" s="75">
        <f t="shared" si="0"/>
        <v>0.27000000000001023</v>
      </c>
      <c r="G75" s="75">
        <f>(D75-E75)/D75*100</f>
        <v>0.21849533482934008</v>
      </c>
      <c r="H75" s="75">
        <f>VLOOKUP($A75,'Data Vlaue (Cr)'!$C:$FB,99)</f>
        <v>3612</v>
      </c>
      <c r="I75" s="75">
        <f>VLOOKUP($A75,'Data Vlaue (Cr)'!$C:$FB,100)</f>
        <v>3645</v>
      </c>
      <c r="J75" s="75">
        <f t="shared" si="2"/>
        <v>-33</v>
      </c>
      <c r="K75" s="75">
        <f t="shared" si="3"/>
        <v>-0.91362126245847186</v>
      </c>
      <c r="L75" s="75">
        <f>VLOOKUP($A75,'Data Vlaue (Cr)'!$C:$FB,67)</f>
        <v>700</v>
      </c>
      <c r="M75" s="75">
        <f>VLOOKUP($A75,'Data Vlaue (Cr)'!$C:$FB,68)</f>
        <v>815</v>
      </c>
      <c r="N75" s="75">
        <f t="shared" si="4"/>
        <v>-115</v>
      </c>
      <c r="O75" s="75">
        <f t="shared" si="5"/>
        <v>-16.428571428571427</v>
      </c>
      <c r="P75" s="75">
        <f>VLOOKUP($A75,'Data Vlaue (Cr)'!$C:$FB,119)</f>
        <v>0.66</v>
      </c>
      <c r="Q75" s="75">
        <f>VLOOKUP($A75,'Data Vlaue (Cr)'!$C:$FB,122)*100</f>
        <v>1.54</v>
      </c>
      <c r="R75" s="75">
        <f>VLOOKUP($A75,'Data Vlaue (Cr)'!$C:$FB,125)</f>
        <v>0.39</v>
      </c>
      <c r="S75" s="75">
        <f>VLOOKUP($A75,'Data Vlaue (Cr)'!$C:$FB,128)*100</f>
        <v>-33.900000000000006</v>
      </c>
    </row>
    <row r="76" spans="1:19" x14ac:dyDescent="0.25">
      <c r="A76" s="96" t="str">
        <f>'Data Vlaue (Cr)'!C67</f>
        <v>GLENMARK</v>
      </c>
      <c r="B76" s="75">
        <f>VLOOKUP($A76,'Data Vlaue (Cr)'!$C:$FB,2)</f>
        <v>375</v>
      </c>
      <c r="C76" s="75">
        <f>VLOOKUP($A76,'Data Vlaue (Cr)'!$C:$FB,8)</f>
        <v>1948.4</v>
      </c>
      <c r="D76" s="75">
        <f>VLOOKUP($A76,'Data Vlaue (Cr)'!$C:$FB,4)</f>
        <v>1951.9</v>
      </c>
      <c r="E76" s="75">
        <f>VLOOKUP($A76,'Data Vlaue (Cr)'!$C:$FB,5)</f>
        <v>1968</v>
      </c>
      <c r="F76" s="75">
        <f t="shared" ref="F76:F139" si="6">D76-C76</f>
        <v>3.5</v>
      </c>
      <c r="G76" s="75">
        <f t="shared" ref="G76:G139" si="7">(D76-E76)/D76*100</f>
        <v>-0.82483733797837533</v>
      </c>
      <c r="H76" s="75">
        <f>VLOOKUP($A76,'Data Vlaue (Cr)'!$C:$FB,99)</f>
        <v>4246</v>
      </c>
      <c r="I76" s="75">
        <f>VLOOKUP($A76,'Data Vlaue (Cr)'!$C:$FB,100)</f>
        <v>4240</v>
      </c>
      <c r="J76" s="75">
        <f t="shared" ref="J76:J139" si="8">H76-I76</f>
        <v>6</v>
      </c>
      <c r="K76" s="75">
        <f t="shared" ref="K76:K139" si="9">J76/H76*100</f>
        <v>0.1413094677343382</v>
      </c>
      <c r="L76" s="75">
        <f>VLOOKUP($A76,'Data Vlaue (Cr)'!$C:$FB,67)</f>
        <v>1287</v>
      </c>
      <c r="M76" s="75">
        <f>VLOOKUP($A76,'Data Vlaue (Cr)'!$C:$FB,68)</f>
        <v>1133</v>
      </c>
      <c r="N76" s="75">
        <f t="shared" ref="N76:N139" si="10">L76-M76</f>
        <v>154</v>
      </c>
      <c r="O76" s="75">
        <f t="shared" ref="O76:O139" si="11">N76/L76*100</f>
        <v>11.965811965811966</v>
      </c>
      <c r="P76" s="75">
        <f>VLOOKUP($A76,'Data Vlaue (Cr)'!$C:$FB,119)</f>
        <v>0.72</v>
      </c>
      <c r="Q76" s="75">
        <f>VLOOKUP($A76,'Data Vlaue (Cr)'!$C:$FB,122)*100</f>
        <v>-1.37</v>
      </c>
      <c r="R76" s="75">
        <f>VLOOKUP($A76,'Data Vlaue (Cr)'!$C:$FB,125)</f>
        <v>0.48</v>
      </c>
      <c r="S76" s="75">
        <f>VLOOKUP($A76,'Data Vlaue (Cr)'!$C:$FB,128)*100</f>
        <v>-26.150000000000002</v>
      </c>
    </row>
    <row r="77" spans="1:19" x14ac:dyDescent="0.25">
      <c r="A77" s="96" t="str">
        <f>'Data Vlaue (Cr)'!C68</f>
        <v>GMRAIRPORT</v>
      </c>
      <c r="B77" s="75">
        <f>VLOOKUP($A77,'Data Vlaue (Cr)'!$C:$FB,2)</f>
        <v>6975</v>
      </c>
      <c r="C77" s="75">
        <f>VLOOKUP($A77,'Data Vlaue (Cr)'!$C:$FB,8)</f>
        <v>100.95</v>
      </c>
      <c r="D77" s="75">
        <f>VLOOKUP($A77,'Data Vlaue (Cr)'!$C:$FB,4)</f>
        <v>101.13</v>
      </c>
      <c r="E77" s="75">
        <f>VLOOKUP($A77,'Data Vlaue (Cr)'!$C:$FB,5)</f>
        <v>103.61</v>
      </c>
      <c r="F77" s="75">
        <f t="shared" si="6"/>
        <v>0.17999999999999261</v>
      </c>
      <c r="G77" s="75">
        <f t="shared" si="7"/>
        <v>-2.4522891327993714</v>
      </c>
      <c r="H77" s="75">
        <f>VLOOKUP($A77,'Data Vlaue (Cr)'!$C:$FB,99)</f>
        <v>4097</v>
      </c>
      <c r="I77" s="75">
        <f>VLOOKUP($A77,'Data Vlaue (Cr)'!$C:$FB,100)</f>
        <v>4066</v>
      </c>
      <c r="J77" s="75">
        <f t="shared" si="8"/>
        <v>31</v>
      </c>
      <c r="K77" s="75">
        <f t="shared" si="9"/>
        <v>0.75665120820112275</v>
      </c>
      <c r="L77" s="75">
        <f>VLOOKUP($A77,'Data Vlaue (Cr)'!$C:$FB,67)</f>
        <v>2207</v>
      </c>
      <c r="M77" s="75">
        <f>VLOOKUP($A77,'Data Vlaue (Cr)'!$C:$FB,68)</f>
        <v>2443</v>
      </c>
      <c r="N77" s="75">
        <f t="shared" si="10"/>
        <v>-236</v>
      </c>
      <c r="O77" s="75">
        <f t="shared" si="11"/>
        <v>-10.693248753964658</v>
      </c>
      <c r="P77" s="75">
        <f>VLOOKUP($A77,'Data Vlaue (Cr)'!$C:$FB,119)</f>
        <v>0.54</v>
      </c>
      <c r="Q77" s="75">
        <f>VLOOKUP($A77,'Data Vlaue (Cr)'!$C:$FB,122)*100</f>
        <v>-3.5700000000000003</v>
      </c>
      <c r="R77" s="75">
        <f>VLOOKUP($A77,'Data Vlaue (Cr)'!$C:$FB,125)</f>
        <v>0.46</v>
      </c>
      <c r="S77" s="75">
        <f>VLOOKUP($A77,'Data Vlaue (Cr)'!$C:$FB,128)*100</f>
        <v>15</v>
      </c>
    </row>
    <row r="78" spans="1:19" x14ac:dyDescent="0.25">
      <c r="A78" s="96" t="str">
        <f>'Data Vlaue (Cr)'!C69</f>
        <v>GODREJCP</v>
      </c>
      <c r="B78" s="75">
        <f>VLOOKUP($A78,'Data Vlaue (Cr)'!$C:$FB,2)</f>
        <v>500</v>
      </c>
      <c r="C78" s="75">
        <f>VLOOKUP($A78,'Data Vlaue (Cr)'!$C:$FB,8)</f>
        <v>1179.7</v>
      </c>
      <c r="D78" s="75">
        <f>VLOOKUP($A78,'Data Vlaue (Cr)'!$C:$FB,4)</f>
        <v>1180.5</v>
      </c>
      <c r="E78" s="75">
        <f>VLOOKUP($A78,'Data Vlaue (Cr)'!$C:$FB,5)</f>
        <v>1184.2</v>
      </c>
      <c r="F78" s="75">
        <f t="shared" si="6"/>
        <v>0.79999999999995453</v>
      </c>
      <c r="G78" s="75">
        <f t="shared" si="7"/>
        <v>-0.31342651418890682</v>
      </c>
      <c r="H78" s="75">
        <f>VLOOKUP($A78,'Data Vlaue (Cr)'!$C:$FB,99)</f>
        <v>1678</v>
      </c>
      <c r="I78" s="75">
        <f>VLOOKUP($A78,'Data Vlaue (Cr)'!$C:$FB,100)</f>
        <v>1703</v>
      </c>
      <c r="J78" s="75">
        <f t="shared" si="8"/>
        <v>-25</v>
      </c>
      <c r="K78" s="75">
        <f t="shared" si="9"/>
        <v>-1.4898688915375446</v>
      </c>
      <c r="L78" s="75">
        <f>VLOOKUP($A78,'Data Vlaue (Cr)'!$C:$FB,67)</f>
        <v>569</v>
      </c>
      <c r="M78" s="75">
        <f>VLOOKUP($A78,'Data Vlaue (Cr)'!$C:$FB,68)</f>
        <v>3727</v>
      </c>
      <c r="N78" s="75">
        <f t="shared" si="10"/>
        <v>-3158</v>
      </c>
      <c r="O78" s="75">
        <f t="shared" si="11"/>
        <v>-555.00878734622142</v>
      </c>
      <c r="P78" s="75">
        <f>VLOOKUP($A78,'Data Vlaue (Cr)'!$C:$FB,119)</f>
        <v>0.64</v>
      </c>
      <c r="Q78" s="75">
        <f>VLOOKUP($A78,'Data Vlaue (Cr)'!$C:$FB,122)*100</f>
        <v>-5.88</v>
      </c>
      <c r="R78" s="75">
        <f>VLOOKUP($A78,'Data Vlaue (Cr)'!$C:$FB,125)</f>
        <v>0.49</v>
      </c>
      <c r="S78" s="75">
        <f>VLOOKUP($A78,'Data Vlaue (Cr)'!$C:$FB,128)*100</f>
        <v>32.43</v>
      </c>
    </row>
    <row r="79" spans="1:19" x14ac:dyDescent="0.25">
      <c r="A79" s="96" t="str">
        <f>'Data Vlaue (Cr)'!C70</f>
        <v>GODREJPROP</v>
      </c>
      <c r="B79" s="75">
        <f>VLOOKUP($A79,'Data Vlaue (Cr)'!$C:$FB,2)</f>
        <v>275</v>
      </c>
      <c r="C79" s="75">
        <f>VLOOKUP($A79,'Data Vlaue (Cr)'!$C:$FB,8)</f>
        <v>2014.9</v>
      </c>
      <c r="D79" s="75">
        <f>VLOOKUP($A79,'Data Vlaue (Cr)'!$C:$FB,4)</f>
        <v>2018.7</v>
      </c>
      <c r="E79" s="75">
        <f>VLOOKUP($A79,'Data Vlaue (Cr)'!$C:$FB,5)</f>
        <v>2031</v>
      </c>
      <c r="F79" s="75">
        <f t="shared" si="6"/>
        <v>3.7999999999999545</v>
      </c>
      <c r="G79" s="75">
        <f t="shared" si="7"/>
        <v>-0.60930301679298338</v>
      </c>
      <c r="H79" s="75">
        <f>VLOOKUP($A79,'Data Vlaue (Cr)'!$C:$FB,99)</f>
        <v>2929</v>
      </c>
      <c r="I79" s="75">
        <f>VLOOKUP($A79,'Data Vlaue (Cr)'!$C:$FB,100)</f>
        <v>2874</v>
      </c>
      <c r="J79" s="75">
        <f t="shared" si="8"/>
        <v>55</v>
      </c>
      <c r="K79" s="75">
        <f t="shared" si="9"/>
        <v>1.8777739842949812</v>
      </c>
      <c r="L79" s="75">
        <f>VLOOKUP($A79,'Data Vlaue (Cr)'!$C:$FB,67)</f>
        <v>636</v>
      </c>
      <c r="M79" s="75">
        <f>VLOOKUP($A79,'Data Vlaue (Cr)'!$C:$FB,68)</f>
        <v>721</v>
      </c>
      <c r="N79" s="75">
        <f t="shared" si="10"/>
        <v>-85</v>
      </c>
      <c r="O79" s="75">
        <f t="shared" si="11"/>
        <v>-13.364779874213836</v>
      </c>
      <c r="P79" s="75">
        <f>VLOOKUP($A79,'Data Vlaue (Cr)'!$C:$FB,119)</f>
        <v>0.6</v>
      </c>
      <c r="Q79" s="75">
        <f>VLOOKUP($A79,'Data Vlaue (Cr)'!$C:$FB,122)*100</f>
        <v>-1.6400000000000001</v>
      </c>
      <c r="R79" s="75">
        <f>VLOOKUP($A79,'Data Vlaue (Cr)'!$C:$FB,125)</f>
        <v>0.61</v>
      </c>
      <c r="S79" s="75">
        <f>VLOOKUP($A79,'Data Vlaue (Cr)'!$C:$FB,128)*100</f>
        <v>15.09</v>
      </c>
    </row>
    <row r="80" spans="1:19" x14ac:dyDescent="0.25">
      <c r="A80" s="96" t="str">
        <f>'Data Vlaue (Cr)'!C71</f>
        <v>GRASIM</v>
      </c>
      <c r="B80" s="75">
        <f>VLOOKUP($A80,'Data Vlaue (Cr)'!$C:$FB,2)</f>
        <v>250</v>
      </c>
      <c r="C80" s="75">
        <f>VLOOKUP($A80,'Data Vlaue (Cr)'!$C:$FB,8)</f>
        <v>2806.6</v>
      </c>
      <c r="D80" s="75">
        <f>VLOOKUP($A80,'Data Vlaue (Cr)'!$C:$FB,4)</f>
        <v>2813.1</v>
      </c>
      <c r="E80" s="75">
        <f>VLOOKUP($A80,'Data Vlaue (Cr)'!$C:$FB,5)</f>
        <v>2806.8</v>
      </c>
      <c r="F80" s="75">
        <f t="shared" si="6"/>
        <v>6.5</v>
      </c>
      <c r="G80" s="75">
        <f t="shared" si="7"/>
        <v>0.22395222352563815</v>
      </c>
      <c r="H80" s="75">
        <f>VLOOKUP($A80,'Data Vlaue (Cr)'!$C:$FB,99)</f>
        <v>5784</v>
      </c>
      <c r="I80" s="75">
        <f>VLOOKUP($A80,'Data Vlaue (Cr)'!$C:$FB,100)</f>
        <v>5788</v>
      </c>
      <c r="J80" s="75">
        <f t="shared" si="8"/>
        <v>-4</v>
      </c>
      <c r="K80" s="75">
        <f t="shared" si="9"/>
        <v>-6.9156293222683268E-2</v>
      </c>
      <c r="L80" s="75">
        <f>VLOOKUP($A80,'Data Vlaue (Cr)'!$C:$FB,67)</f>
        <v>832</v>
      </c>
      <c r="M80" s="75">
        <f>VLOOKUP($A80,'Data Vlaue (Cr)'!$C:$FB,68)</f>
        <v>876</v>
      </c>
      <c r="N80" s="75">
        <f t="shared" si="10"/>
        <v>-44</v>
      </c>
      <c r="O80" s="75">
        <f t="shared" si="11"/>
        <v>-5.2884615384615383</v>
      </c>
      <c r="P80" s="75">
        <f>VLOOKUP($A80,'Data Vlaue (Cr)'!$C:$FB,119)</f>
        <v>1.0900000000000001</v>
      </c>
      <c r="Q80" s="75">
        <f>VLOOKUP($A80,'Data Vlaue (Cr)'!$C:$FB,122)*100</f>
        <v>-0.91</v>
      </c>
      <c r="R80" s="75">
        <f>VLOOKUP($A80,'Data Vlaue (Cr)'!$C:$FB,125)</f>
        <v>0.53</v>
      </c>
      <c r="S80" s="75">
        <f>VLOOKUP($A80,'Data Vlaue (Cr)'!$C:$FB,128)*100</f>
        <v>-3.64</v>
      </c>
    </row>
    <row r="81" spans="1:19" x14ac:dyDescent="0.25">
      <c r="A81" s="96" t="str">
        <f>'Data Vlaue (Cr)'!C72</f>
        <v>HAL</v>
      </c>
      <c r="B81" s="75">
        <f>VLOOKUP($A81,'Data Vlaue (Cr)'!$C:$FB,2)</f>
        <v>150</v>
      </c>
      <c r="C81" s="75">
        <f>VLOOKUP($A81,'Data Vlaue (Cr)'!$C:$FB,8)</f>
        <v>4228.3999999999996</v>
      </c>
      <c r="D81" s="75">
        <f>VLOOKUP($A81,'Data Vlaue (Cr)'!$C:$FB,4)</f>
        <v>4242.1000000000004</v>
      </c>
      <c r="E81" s="75">
        <f>VLOOKUP($A81,'Data Vlaue (Cr)'!$C:$FB,5)</f>
        <v>4275.8</v>
      </c>
      <c r="F81" s="75">
        <f t="shared" si="6"/>
        <v>13.700000000000728</v>
      </c>
      <c r="G81" s="75">
        <f t="shared" si="7"/>
        <v>-0.79441785907922535</v>
      </c>
      <c r="H81" s="75">
        <f>VLOOKUP($A81,'Data Vlaue (Cr)'!$C:$FB,99)</f>
        <v>10227</v>
      </c>
      <c r="I81" s="75">
        <f>VLOOKUP($A81,'Data Vlaue (Cr)'!$C:$FB,100)</f>
        <v>10082</v>
      </c>
      <c r="J81" s="75">
        <f t="shared" si="8"/>
        <v>145</v>
      </c>
      <c r="K81" s="75">
        <f t="shared" si="9"/>
        <v>1.4178155861934096</v>
      </c>
      <c r="L81" s="75">
        <f>VLOOKUP($A81,'Data Vlaue (Cr)'!$C:$FB,67)</f>
        <v>4102</v>
      </c>
      <c r="M81" s="75">
        <f>VLOOKUP($A81,'Data Vlaue (Cr)'!$C:$FB,68)</f>
        <v>4130</v>
      </c>
      <c r="N81" s="75">
        <f t="shared" si="10"/>
        <v>-28</v>
      </c>
      <c r="O81" s="75">
        <f t="shared" si="11"/>
        <v>-0.68259385665529015</v>
      </c>
      <c r="P81" s="75">
        <f>VLOOKUP($A81,'Data Vlaue (Cr)'!$C:$FB,119)</f>
        <v>0.49</v>
      </c>
      <c r="Q81" s="75">
        <f>VLOOKUP($A81,'Data Vlaue (Cr)'!$C:$FB,122)*100</f>
        <v>-2</v>
      </c>
      <c r="R81" s="75">
        <f>VLOOKUP($A81,'Data Vlaue (Cr)'!$C:$FB,125)</f>
        <v>0.44</v>
      </c>
      <c r="S81" s="75">
        <f>VLOOKUP($A81,'Data Vlaue (Cr)'!$C:$FB,128)*100</f>
        <v>7.32</v>
      </c>
    </row>
    <row r="82" spans="1:19" x14ac:dyDescent="0.25">
      <c r="A82" s="96" t="str">
        <f>'Data Vlaue (Cr)'!C73</f>
        <v>HAVELLS</v>
      </c>
      <c r="B82" s="75">
        <f>VLOOKUP($A82,'Data Vlaue (Cr)'!$C:$FB,2)</f>
        <v>500</v>
      </c>
      <c r="C82" s="75">
        <f>VLOOKUP($A82,'Data Vlaue (Cr)'!$C:$FB,8)</f>
        <v>1397</v>
      </c>
      <c r="D82" s="75">
        <f>VLOOKUP($A82,'Data Vlaue (Cr)'!$C:$FB,4)</f>
        <v>1398.7</v>
      </c>
      <c r="E82" s="75">
        <f>VLOOKUP($A82,'Data Vlaue (Cr)'!$C:$FB,5)</f>
        <v>1418</v>
      </c>
      <c r="F82" s="75">
        <f t="shared" si="6"/>
        <v>1.7000000000000455</v>
      </c>
      <c r="G82" s="75">
        <f t="shared" si="7"/>
        <v>-1.3798527203832096</v>
      </c>
      <c r="H82" s="75">
        <f>VLOOKUP($A82,'Data Vlaue (Cr)'!$C:$FB,99)</f>
        <v>1855</v>
      </c>
      <c r="I82" s="75">
        <f>VLOOKUP($A82,'Data Vlaue (Cr)'!$C:$FB,100)</f>
        <v>1814</v>
      </c>
      <c r="J82" s="75">
        <f t="shared" si="8"/>
        <v>41</v>
      </c>
      <c r="K82" s="75">
        <f t="shared" si="9"/>
        <v>2.2102425876010785</v>
      </c>
      <c r="L82" s="75">
        <f>VLOOKUP($A82,'Data Vlaue (Cr)'!$C:$FB,67)</f>
        <v>554</v>
      </c>
      <c r="M82" s="75">
        <f>VLOOKUP($A82,'Data Vlaue (Cr)'!$C:$FB,68)</f>
        <v>467</v>
      </c>
      <c r="N82" s="75">
        <f t="shared" si="10"/>
        <v>87</v>
      </c>
      <c r="O82" s="75">
        <f t="shared" si="11"/>
        <v>15.703971119133575</v>
      </c>
      <c r="P82" s="75">
        <f>VLOOKUP($A82,'Data Vlaue (Cr)'!$C:$FB,119)</f>
        <v>0.76</v>
      </c>
      <c r="Q82" s="75">
        <f>VLOOKUP($A82,'Data Vlaue (Cr)'!$C:$FB,122)*100</f>
        <v>-2.56</v>
      </c>
      <c r="R82" s="75">
        <f>VLOOKUP($A82,'Data Vlaue (Cr)'!$C:$FB,125)</f>
        <v>0.74</v>
      </c>
      <c r="S82" s="75">
        <f>VLOOKUP($A82,'Data Vlaue (Cr)'!$C:$FB,128)*100</f>
        <v>117.65</v>
      </c>
    </row>
    <row r="83" spans="1:19" x14ac:dyDescent="0.25">
      <c r="A83" s="96" t="str">
        <f>'Data Vlaue (Cr)'!C74</f>
        <v>HCLTECH</v>
      </c>
      <c r="B83" s="75">
        <f>VLOOKUP($A83,'Data Vlaue (Cr)'!$C:$FB,2)</f>
        <v>350</v>
      </c>
      <c r="C83" s="75">
        <f>VLOOKUP($A83,'Data Vlaue (Cr)'!$C:$FB,8)</f>
        <v>1655</v>
      </c>
      <c r="D83" s="75">
        <f>VLOOKUP($A83,'Data Vlaue (Cr)'!$C:$FB,4)</f>
        <v>1661</v>
      </c>
      <c r="E83" s="75">
        <f>VLOOKUP($A83,'Data Vlaue (Cr)'!$C:$FB,5)</f>
        <v>1657.7</v>
      </c>
      <c r="F83" s="75">
        <f t="shared" si="6"/>
        <v>6</v>
      </c>
      <c r="G83" s="75">
        <f t="shared" si="7"/>
        <v>0.19867549668873899</v>
      </c>
      <c r="H83" s="75">
        <f>VLOOKUP($A83,'Data Vlaue (Cr)'!$C:$FB,99)</f>
        <v>4756</v>
      </c>
      <c r="I83" s="75">
        <f>VLOOKUP($A83,'Data Vlaue (Cr)'!$C:$FB,100)</f>
        <v>4802</v>
      </c>
      <c r="J83" s="75">
        <f t="shared" si="8"/>
        <v>-46</v>
      </c>
      <c r="K83" s="75">
        <f t="shared" si="9"/>
        <v>-0.96719932716568557</v>
      </c>
      <c r="L83" s="75">
        <f>VLOOKUP($A83,'Data Vlaue (Cr)'!$C:$FB,67)</f>
        <v>1524</v>
      </c>
      <c r="M83" s="75">
        <f>VLOOKUP($A83,'Data Vlaue (Cr)'!$C:$FB,68)</f>
        <v>2580</v>
      </c>
      <c r="N83" s="75">
        <f t="shared" si="10"/>
        <v>-1056</v>
      </c>
      <c r="O83" s="75">
        <f t="shared" si="11"/>
        <v>-69.29133858267717</v>
      </c>
      <c r="P83" s="75">
        <f>VLOOKUP($A83,'Data Vlaue (Cr)'!$C:$FB,119)</f>
        <v>0.56999999999999995</v>
      </c>
      <c r="Q83" s="75">
        <f>VLOOKUP($A83,'Data Vlaue (Cr)'!$C:$FB,122)*100</f>
        <v>-3.39</v>
      </c>
      <c r="R83" s="75">
        <f>VLOOKUP($A83,'Data Vlaue (Cr)'!$C:$FB,125)</f>
        <v>0.5</v>
      </c>
      <c r="S83" s="75">
        <f>VLOOKUP($A83,'Data Vlaue (Cr)'!$C:$FB,128)*100</f>
        <v>-15.25</v>
      </c>
    </row>
    <row r="84" spans="1:19" x14ac:dyDescent="0.25">
      <c r="A84" s="96" t="str">
        <f>'Data Vlaue (Cr)'!C75</f>
        <v>HDFCAMC</v>
      </c>
      <c r="B84" s="75">
        <f>VLOOKUP($A84,'Data Vlaue (Cr)'!$C:$FB,2)</f>
        <v>300</v>
      </c>
      <c r="C84" s="75">
        <f>VLOOKUP($A84,'Data Vlaue (Cr)'!$C:$FB,8)</f>
        <v>2541.1999999999998</v>
      </c>
      <c r="D84" s="75">
        <f>VLOOKUP($A84,'Data Vlaue (Cr)'!$C:$FB,4)</f>
        <v>2548.9</v>
      </c>
      <c r="E84" s="75">
        <f>VLOOKUP($A84,'Data Vlaue (Cr)'!$C:$FB,5)</f>
        <v>2592.8000000000002</v>
      </c>
      <c r="F84" s="75">
        <f t="shared" si="6"/>
        <v>7.7000000000002728</v>
      </c>
      <c r="G84" s="75">
        <f t="shared" si="7"/>
        <v>-1.7223115853897792</v>
      </c>
      <c r="H84" s="75">
        <f>VLOOKUP($A84,'Data Vlaue (Cr)'!$C:$FB,99)</f>
        <v>2283</v>
      </c>
      <c r="I84" s="75">
        <f>VLOOKUP($A84,'Data Vlaue (Cr)'!$C:$FB,100)</f>
        <v>2106</v>
      </c>
      <c r="J84" s="75">
        <f t="shared" si="8"/>
        <v>177</v>
      </c>
      <c r="K84" s="75">
        <f t="shared" si="9"/>
        <v>7.7529566360052566</v>
      </c>
      <c r="L84" s="75">
        <f>VLOOKUP($A84,'Data Vlaue (Cr)'!$C:$FB,67)</f>
        <v>1392</v>
      </c>
      <c r="M84" s="75">
        <f>VLOOKUP($A84,'Data Vlaue (Cr)'!$C:$FB,68)</f>
        <v>1152</v>
      </c>
      <c r="N84" s="75">
        <f t="shared" si="10"/>
        <v>240</v>
      </c>
      <c r="O84" s="75">
        <f t="shared" si="11"/>
        <v>17.241379310344829</v>
      </c>
      <c r="P84" s="75">
        <f>VLOOKUP($A84,'Data Vlaue (Cr)'!$C:$FB,119)</f>
        <v>0.78</v>
      </c>
      <c r="Q84" s="75">
        <f>VLOOKUP($A84,'Data Vlaue (Cr)'!$C:$FB,122)*100</f>
        <v>6.8500000000000005</v>
      </c>
      <c r="R84" s="75">
        <f>VLOOKUP($A84,'Data Vlaue (Cr)'!$C:$FB,125)</f>
        <v>0.98</v>
      </c>
      <c r="S84" s="75">
        <f>VLOOKUP($A84,'Data Vlaue (Cr)'!$C:$FB,128)*100</f>
        <v>46.27</v>
      </c>
    </row>
    <row r="85" spans="1:19" x14ac:dyDescent="0.25">
      <c r="A85" s="96" t="str">
        <f>'Data Vlaue (Cr)'!C76</f>
        <v>HDFCBANK</v>
      </c>
      <c r="B85" s="75">
        <f>VLOOKUP($A85,'Data Vlaue (Cr)'!$C:$FB,2)</f>
        <v>550</v>
      </c>
      <c r="C85" s="75">
        <f>VLOOKUP($A85,'Data Vlaue (Cr)'!$C:$FB,8)</f>
        <v>984</v>
      </c>
      <c r="D85" s="75">
        <f>VLOOKUP($A85,'Data Vlaue (Cr)'!$C:$FB,4)</f>
        <v>987.5</v>
      </c>
      <c r="E85" s="75">
        <f>VLOOKUP($A85,'Data Vlaue (Cr)'!$C:$FB,5)</f>
        <v>998.2</v>
      </c>
      <c r="F85" s="75">
        <f t="shared" si="6"/>
        <v>3.5</v>
      </c>
      <c r="G85" s="75">
        <f t="shared" si="7"/>
        <v>-1.083544303797473</v>
      </c>
      <c r="H85" s="75">
        <f>VLOOKUP($A85,'Data Vlaue (Cr)'!$C:$FB,99)</f>
        <v>28918</v>
      </c>
      <c r="I85" s="75">
        <f>VLOOKUP($A85,'Data Vlaue (Cr)'!$C:$FB,100)</f>
        <v>27636</v>
      </c>
      <c r="J85" s="75">
        <f t="shared" si="8"/>
        <v>1282</v>
      </c>
      <c r="K85" s="75">
        <f t="shared" si="9"/>
        <v>4.4332249809807038</v>
      </c>
      <c r="L85" s="75">
        <f>VLOOKUP($A85,'Data Vlaue (Cr)'!$C:$FB,67)</f>
        <v>10321</v>
      </c>
      <c r="M85" s="75">
        <f>VLOOKUP($A85,'Data Vlaue (Cr)'!$C:$FB,68)</f>
        <v>9346</v>
      </c>
      <c r="N85" s="75">
        <f t="shared" si="10"/>
        <v>975</v>
      </c>
      <c r="O85" s="75">
        <f t="shared" si="11"/>
        <v>9.4467590349772319</v>
      </c>
      <c r="P85" s="75">
        <f>VLOOKUP($A85,'Data Vlaue (Cr)'!$C:$FB,119)</f>
        <v>0.64</v>
      </c>
      <c r="Q85" s="75">
        <f>VLOOKUP($A85,'Data Vlaue (Cr)'!$C:$FB,122)*100</f>
        <v>-13.51</v>
      </c>
      <c r="R85" s="75">
        <f>VLOOKUP($A85,'Data Vlaue (Cr)'!$C:$FB,125)</f>
        <v>0.62</v>
      </c>
      <c r="S85" s="75">
        <f>VLOOKUP($A85,'Data Vlaue (Cr)'!$C:$FB,128)*100</f>
        <v>-20.51</v>
      </c>
    </row>
    <row r="86" spans="1:19" x14ac:dyDescent="0.25">
      <c r="A86" s="96" t="str">
        <f>'Data Vlaue (Cr)'!C77</f>
        <v>HDFCLIFE</v>
      </c>
      <c r="B86" s="75">
        <f>VLOOKUP($A86,'Data Vlaue (Cr)'!$C:$FB,2)</f>
        <v>1100</v>
      </c>
      <c r="C86" s="75">
        <f>VLOOKUP($A86,'Data Vlaue (Cr)'!$C:$FB,8)</f>
        <v>753.5</v>
      </c>
      <c r="D86" s="75">
        <f>VLOOKUP($A86,'Data Vlaue (Cr)'!$C:$FB,4)</f>
        <v>754.85</v>
      </c>
      <c r="E86" s="75">
        <f>VLOOKUP($A86,'Data Vlaue (Cr)'!$C:$FB,5)</f>
        <v>767.45</v>
      </c>
      <c r="F86" s="75">
        <f t="shared" si="6"/>
        <v>1.3500000000000227</v>
      </c>
      <c r="G86" s="75">
        <f t="shared" si="7"/>
        <v>-1.6692058024773162</v>
      </c>
      <c r="H86" s="75">
        <f>VLOOKUP($A86,'Data Vlaue (Cr)'!$C:$FB,99)</f>
        <v>4507</v>
      </c>
      <c r="I86" s="75">
        <f>VLOOKUP($A86,'Data Vlaue (Cr)'!$C:$FB,100)</f>
        <v>4620</v>
      </c>
      <c r="J86" s="75">
        <f t="shared" si="8"/>
        <v>-113</v>
      </c>
      <c r="K86" s="75">
        <f t="shared" si="9"/>
        <v>-2.5072110051031729</v>
      </c>
      <c r="L86" s="75">
        <f>VLOOKUP($A86,'Data Vlaue (Cr)'!$C:$FB,67)</f>
        <v>3347</v>
      </c>
      <c r="M86" s="75">
        <f>VLOOKUP($A86,'Data Vlaue (Cr)'!$C:$FB,68)</f>
        <v>3086</v>
      </c>
      <c r="N86" s="75">
        <f t="shared" si="10"/>
        <v>261</v>
      </c>
      <c r="O86" s="75">
        <f t="shared" si="11"/>
        <v>7.7980280848521062</v>
      </c>
      <c r="P86" s="75">
        <f>VLOOKUP($A86,'Data Vlaue (Cr)'!$C:$FB,119)</f>
        <v>0.43</v>
      </c>
      <c r="Q86" s="75">
        <f>VLOOKUP($A86,'Data Vlaue (Cr)'!$C:$FB,122)*100</f>
        <v>4.88</v>
      </c>
      <c r="R86" s="75">
        <f>VLOOKUP($A86,'Data Vlaue (Cr)'!$C:$FB,125)</f>
        <v>0.32</v>
      </c>
      <c r="S86" s="75">
        <f>VLOOKUP($A86,'Data Vlaue (Cr)'!$C:$FB,128)*100</f>
        <v>14.29</v>
      </c>
    </row>
    <row r="87" spans="1:19" x14ac:dyDescent="0.25">
      <c r="A87" s="96" t="str">
        <f>'Data Vlaue (Cr)'!C78</f>
        <v>HEROMOTOCO</v>
      </c>
      <c r="B87" s="75">
        <f>VLOOKUP($A87,'Data Vlaue (Cr)'!$C:$FB,2)</f>
        <v>150</v>
      </c>
      <c r="C87" s="75">
        <f>VLOOKUP($A87,'Data Vlaue (Cr)'!$C:$FB,8)</f>
        <v>5817</v>
      </c>
      <c r="D87" s="75">
        <f>VLOOKUP($A87,'Data Vlaue (Cr)'!$C:$FB,4)</f>
        <v>5827.5</v>
      </c>
      <c r="E87" s="75">
        <f>VLOOKUP($A87,'Data Vlaue (Cr)'!$C:$FB,5)</f>
        <v>5960.5</v>
      </c>
      <c r="F87" s="75">
        <f t="shared" si="6"/>
        <v>10.5</v>
      </c>
      <c r="G87" s="75">
        <f t="shared" si="7"/>
        <v>-2.2822822822822824</v>
      </c>
      <c r="H87" s="75">
        <f>VLOOKUP($A87,'Data Vlaue (Cr)'!$C:$FB,99)</f>
        <v>6869</v>
      </c>
      <c r="I87" s="75">
        <f>VLOOKUP($A87,'Data Vlaue (Cr)'!$C:$FB,100)</f>
        <v>6392</v>
      </c>
      <c r="J87" s="75">
        <f t="shared" si="8"/>
        <v>477</v>
      </c>
      <c r="K87" s="75">
        <f t="shared" si="9"/>
        <v>6.9442422477798802</v>
      </c>
      <c r="L87" s="75">
        <f>VLOOKUP($A87,'Data Vlaue (Cr)'!$C:$FB,67)</f>
        <v>7599</v>
      </c>
      <c r="M87" s="75">
        <f>VLOOKUP($A87,'Data Vlaue (Cr)'!$C:$FB,68)</f>
        <v>1968</v>
      </c>
      <c r="N87" s="75">
        <f t="shared" si="10"/>
        <v>5631</v>
      </c>
      <c r="O87" s="75">
        <f t="shared" si="11"/>
        <v>74.101855507303597</v>
      </c>
      <c r="P87" s="75">
        <f>VLOOKUP($A87,'Data Vlaue (Cr)'!$C:$FB,119)</f>
        <v>0.55000000000000004</v>
      </c>
      <c r="Q87" s="75">
        <f>VLOOKUP($A87,'Data Vlaue (Cr)'!$C:$FB,122)*100</f>
        <v>-21.43</v>
      </c>
      <c r="R87" s="75">
        <f>VLOOKUP($A87,'Data Vlaue (Cr)'!$C:$FB,125)</f>
        <v>0.79</v>
      </c>
      <c r="S87" s="75">
        <f>VLOOKUP($A87,'Data Vlaue (Cr)'!$C:$FB,128)*100</f>
        <v>29.509999999999998</v>
      </c>
    </row>
    <row r="88" spans="1:19" x14ac:dyDescent="0.25">
      <c r="A88" s="96" t="str">
        <f>'Data Vlaue (Cr)'!C79</f>
        <v>HFCL</v>
      </c>
      <c r="B88" s="75">
        <f>VLOOKUP($A88,'Data Vlaue (Cr)'!$C:$FB,2)</f>
        <v>6450</v>
      </c>
      <c r="C88" s="75">
        <f>VLOOKUP($A88,'Data Vlaue (Cr)'!$C:$FB,8)</f>
        <v>64.53</v>
      </c>
      <c r="D88" s="75">
        <f>VLOOKUP($A88,'Data Vlaue (Cr)'!$C:$FB,4)</f>
        <v>64.63</v>
      </c>
      <c r="E88" s="75">
        <f>VLOOKUP($A88,'Data Vlaue (Cr)'!$C:$FB,5)</f>
        <v>65.48</v>
      </c>
      <c r="F88" s="75">
        <f t="shared" si="6"/>
        <v>9.9999999999994316E-2</v>
      </c>
      <c r="G88" s="75">
        <f t="shared" si="7"/>
        <v>-1.3151787095776089</v>
      </c>
      <c r="H88" s="75">
        <f>VLOOKUP($A88,'Data Vlaue (Cr)'!$C:$FB,99)</f>
        <v>1377</v>
      </c>
      <c r="I88" s="75">
        <f>VLOOKUP($A88,'Data Vlaue (Cr)'!$C:$FB,100)</f>
        <v>1383</v>
      </c>
      <c r="J88" s="75">
        <f t="shared" si="8"/>
        <v>-6</v>
      </c>
      <c r="K88" s="75">
        <f t="shared" si="9"/>
        <v>-0.4357298474945534</v>
      </c>
      <c r="L88" s="75">
        <f>VLOOKUP($A88,'Data Vlaue (Cr)'!$C:$FB,67)</f>
        <v>368</v>
      </c>
      <c r="M88" s="75">
        <f>VLOOKUP($A88,'Data Vlaue (Cr)'!$C:$FB,68)</f>
        <v>409</v>
      </c>
      <c r="N88" s="75">
        <f t="shared" si="10"/>
        <v>-41</v>
      </c>
      <c r="O88" s="75">
        <f t="shared" si="11"/>
        <v>-11.141304347826086</v>
      </c>
      <c r="P88" s="75">
        <f>VLOOKUP($A88,'Data Vlaue (Cr)'!$C:$FB,119)</f>
        <v>0.41</v>
      </c>
      <c r="Q88" s="75">
        <f>VLOOKUP($A88,'Data Vlaue (Cr)'!$C:$FB,122)*100</f>
        <v>0</v>
      </c>
      <c r="R88" s="75">
        <f>VLOOKUP($A88,'Data Vlaue (Cr)'!$C:$FB,125)</f>
        <v>0.64</v>
      </c>
      <c r="S88" s="75">
        <f>VLOOKUP($A88,'Data Vlaue (Cr)'!$C:$FB,128)*100</f>
        <v>166.67000000000002</v>
      </c>
    </row>
    <row r="89" spans="1:19" x14ac:dyDescent="0.25">
      <c r="A89" s="96" t="str">
        <f>'Data Vlaue (Cr)'!C80</f>
        <v>HINDALCO</v>
      </c>
      <c r="B89" s="75">
        <f>VLOOKUP($A89,'Data Vlaue (Cr)'!$C:$FB,2)</f>
        <v>700</v>
      </c>
      <c r="C89" s="75">
        <f>VLOOKUP($A89,'Data Vlaue (Cr)'!$C:$FB,8)</f>
        <v>848.8</v>
      </c>
      <c r="D89" s="75">
        <f>VLOOKUP($A89,'Data Vlaue (Cr)'!$C:$FB,4)</f>
        <v>849.65</v>
      </c>
      <c r="E89" s="75">
        <f>VLOOKUP($A89,'Data Vlaue (Cr)'!$C:$FB,5)</f>
        <v>840.3</v>
      </c>
      <c r="F89" s="75">
        <f t="shared" si="6"/>
        <v>0.85000000000002274</v>
      </c>
      <c r="G89" s="75">
        <f t="shared" si="7"/>
        <v>1.1004531277584915</v>
      </c>
      <c r="H89" s="75">
        <f>VLOOKUP($A89,'Data Vlaue (Cr)'!$C:$FB,99)</f>
        <v>8935</v>
      </c>
      <c r="I89" s="75">
        <f>VLOOKUP($A89,'Data Vlaue (Cr)'!$C:$FB,100)</f>
        <v>8914</v>
      </c>
      <c r="J89" s="75">
        <f t="shared" si="8"/>
        <v>21</v>
      </c>
      <c r="K89" s="75">
        <f t="shared" si="9"/>
        <v>0.23503077783995521</v>
      </c>
      <c r="L89" s="75">
        <f>VLOOKUP($A89,'Data Vlaue (Cr)'!$C:$FB,67)</f>
        <v>3964</v>
      </c>
      <c r="M89" s="75">
        <f>VLOOKUP($A89,'Data Vlaue (Cr)'!$C:$FB,68)</f>
        <v>3271</v>
      </c>
      <c r="N89" s="75">
        <f t="shared" si="10"/>
        <v>693</v>
      </c>
      <c r="O89" s="75">
        <f t="shared" si="11"/>
        <v>17.482341069626639</v>
      </c>
      <c r="P89" s="75">
        <f>VLOOKUP($A89,'Data Vlaue (Cr)'!$C:$FB,119)</f>
        <v>0.74</v>
      </c>
      <c r="Q89" s="75">
        <f>VLOOKUP($A89,'Data Vlaue (Cr)'!$C:$FB,122)*100</f>
        <v>-1.3299999999999998</v>
      </c>
      <c r="R89" s="75">
        <f>VLOOKUP($A89,'Data Vlaue (Cr)'!$C:$FB,125)</f>
        <v>0.44</v>
      </c>
      <c r="S89" s="75">
        <f>VLOOKUP($A89,'Data Vlaue (Cr)'!$C:$FB,128)*100</f>
        <v>-31.25</v>
      </c>
    </row>
    <row r="90" spans="1:19" x14ac:dyDescent="0.25">
      <c r="A90" s="96" t="str">
        <f>'Data Vlaue (Cr)'!C81</f>
        <v>HINDPETRO</v>
      </c>
      <c r="B90" s="75">
        <f>VLOOKUP($A90,'Data Vlaue (Cr)'!$C:$FB,2)</f>
        <v>2025</v>
      </c>
      <c r="C90" s="75">
        <f>VLOOKUP($A90,'Data Vlaue (Cr)'!$C:$FB,8)</f>
        <v>465.45</v>
      </c>
      <c r="D90" s="75">
        <f>VLOOKUP($A90,'Data Vlaue (Cr)'!$C:$FB,4)</f>
        <v>466.4</v>
      </c>
      <c r="E90" s="75">
        <f>VLOOKUP($A90,'Data Vlaue (Cr)'!$C:$FB,5)</f>
        <v>466</v>
      </c>
      <c r="F90" s="75">
        <f t="shared" si="6"/>
        <v>0.94999999999998863</v>
      </c>
      <c r="G90" s="75">
        <f t="shared" si="7"/>
        <v>8.5763293310458247E-2</v>
      </c>
      <c r="H90" s="75">
        <f>VLOOKUP($A90,'Data Vlaue (Cr)'!$C:$FB,99)</f>
        <v>2901</v>
      </c>
      <c r="I90" s="75">
        <f>VLOOKUP($A90,'Data Vlaue (Cr)'!$C:$FB,100)</f>
        <v>2887</v>
      </c>
      <c r="J90" s="75">
        <f t="shared" si="8"/>
        <v>14</v>
      </c>
      <c r="K90" s="75">
        <f t="shared" si="9"/>
        <v>0.48259220958290244</v>
      </c>
      <c r="L90" s="75">
        <f>VLOOKUP($A90,'Data Vlaue (Cr)'!$C:$FB,67)</f>
        <v>1452</v>
      </c>
      <c r="M90" s="75">
        <f>VLOOKUP($A90,'Data Vlaue (Cr)'!$C:$FB,68)</f>
        <v>1153</v>
      </c>
      <c r="N90" s="75">
        <f t="shared" si="10"/>
        <v>299</v>
      </c>
      <c r="O90" s="75">
        <f t="shared" si="11"/>
        <v>20.592286501377409</v>
      </c>
      <c r="P90" s="75">
        <f>VLOOKUP($A90,'Data Vlaue (Cr)'!$C:$FB,119)</f>
        <v>0.57999999999999996</v>
      </c>
      <c r="Q90" s="75">
        <f>VLOOKUP($A90,'Data Vlaue (Cr)'!$C:$FB,122)*100</f>
        <v>1.7500000000000002</v>
      </c>
      <c r="R90" s="75">
        <f>VLOOKUP($A90,'Data Vlaue (Cr)'!$C:$FB,125)</f>
        <v>0.38</v>
      </c>
      <c r="S90" s="75">
        <f>VLOOKUP($A90,'Data Vlaue (Cr)'!$C:$FB,128)*100</f>
        <v>-13.639999999999999</v>
      </c>
    </row>
    <row r="91" spans="1:19" x14ac:dyDescent="0.25">
      <c r="A91" s="96" t="str">
        <f>'Data Vlaue (Cr)'!C82</f>
        <v>HINDUNILVR</v>
      </c>
      <c r="B91" s="75">
        <f>VLOOKUP($A91,'Data Vlaue (Cr)'!$C:$FB,2)</f>
        <v>300</v>
      </c>
      <c r="C91" s="75">
        <f>VLOOKUP($A91,'Data Vlaue (Cr)'!$C:$FB,8)</f>
        <v>2275.6</v>
      </c>
      <c r="D91" s="75">
        <f>VLOOKUP($A91,'Data Vlaue (Cr)'!$C:$FB,4)</f>
        <v>2275.3000000000002</v>
      </c>
      <c r="E91" s="75">
        <f>VLOOKUP($A91,'Data Vlaue (Cr)'!$C:$FB,5)</f>
        <v>2286.8000000000002</v>
      </c>
      <c r="F91" s="75">
        <f t="shared" si="6"/>
        <v>-0.29999999999972715</v>
      </c>
      <c r="G91" s="75">
        <f t="shared" si="7"/>
        <v>-0.50542785566738446</v>
      </c>
      <c r="H91" s="75">
        <f>VLOOKUP($A91,'Data Vlaue (Cr)'!$C:$FB,99)</f>
        <v>4780</v>
      </c>
      <c r="I91" s="75">
        <f>VLOOKUP($A91,'Data Vlaue (Cr)'!$C:$FB,100)</f>
        <v>4635</v>
      </c>
      <c r="J91" s="75">
        <f t="shared" si="8"/>
        <v>145</v>
      </c>
      <c r="K91" s="75">
        <f t="shared" si="9"/>
        <v>3.0334728033472804</v>
      </c>
      <c r="L91" s="75">
        <f>VLOOKUP($A91,'Data Vlaue (Cr)'!$C:$FB,67)</f>
        <v>1852</v>
      </c>
      <c r="M91" s="75">
        <f>VLOOKUP($A91,'Data Vlaue (Cr)'!$C:$FB,68)</f>
        <v>2588</v>
      </c>
      <c r="N91" s="75">
        <f t="shared" si="10"/>
        <v>-736</v>
      </c>
      <c r="O91" s="75">
        <f t="shared" si="11"/>
        <v>-39.740820734341256</v>
      </c>
      <c r="P91" s="75">
        <f>VLOOKUP($A91,'Data Vlaue (Cr)'!$C:$FB,119)</f>
        <v>0.52</v>
      </c>
      <c r="Q91" s="75">
        <f>VLOOKUP($A91,'Data Vlaue (Cr)'!$C:$FB,122)*100</f>
        <v>-1.8900000000000001</v>
      </c>
      <c r="R91" s="75">
        <f>VLOOKUP($A91,'Data Vlaue (Cr)'!$C:$FB,125)</f>
        <v>0.32</v>
      </c>
      <c r="S91" s="75">
        <f>VLOOKUP($A91,'Data Vlaue (Cr)'!$C:$FB,128)*100</f>
        <v>-21.95</v>
      </c>
    </row>
    <row r="92" spans="1:19" x14ac:dyDescent="0.25">
      <c r="A92" s="96" t="str">
        <f>'Data Vlaue (Cr)'!C83</f>
        <v>HINDZINC</v>
      </c>
      <c r="B92" s="75">
        <f>VLOOKUP($A92,'Data Vlaue (Cr)'!$C:$FB,2)</f>
        <v>1225</v>
      </c>
      <c r="C92" s="75">
        <f>VLOOKUP($A92,'Data Vlaue (Cr)'!$C:$FB,8)</f>
        <v>578.29999999999995</v>
      </c>
      <c r="D92" s="75">
        <f>VLOOKUP($A92,'Data Vlaue (Cr)'!$C:$FB,4)</f>
        <v>578.9</v>
      </c>
      <c r="E92" s="75">
        <f>VLOOKUP($A92,'Data Vlaue (Cr)'!$C:$FB,5)</f>
        <v>568.6</v>
      </c>
      <c r="F92" s="75">
        <f t="shared" si="6"/>
        <v>0.60000000000002274</v>
      </c>
      <c r="G92" s="75">
        <f t="shared" si="7"/>
        <v>1.7792364829849638</v>
      </c>
      <c r="H92" s="75">
        <f>VLOOKUP($A92,'Data Vlaue (Cr)'!$C:$FB,99)</f>
        <v>7098</v>
      </c>
      <c r="I92" s="75">
        <f>VLOOKUP($A92,'Data Vlaue (Cr)'!$C:$FB,100)</f>
        <v>6518</v>
      </c>
      <c r="J92" s="75">
        <f t="shared" si="8"/>
        <v>580</v>
      </c>
      <c r="K92" s="75">
        <f t="shared" si="9"/>
        <v>8.1713158636235566</v>
      </c>
      <c r="L92" s="75">
        <f>VLOOKUP($A92,'Data Vlaue (Cr)'!$C:$FB,67)</f>
        <v>17841</v>
      </c>
      <c r="M92" s="75">
        <f>VLOOKUP($A92,'Data Vlaue (Cr)'!$C:$FB,68)</f>
        <v>8013</v>
      </c>
      <c r="N92" s="75">
        <f t="shared" si="10"/>
        <v>9828</v>
      </c>
      <c r="O92" s="75">
        <f t="shared" si="11"/>
        <v>55.086598284849508</v>
      </c>
      <c r="P92" s="75">
        <f>VLOOKUP($A92,'Data Vlaue (Cr)'!$C:$FB,119)</f>
        <v>0.66</v>
      </c>
      <c r="Q92" s="75">
        <f>VLOOKUP($A92,'Data Vlaue (Cr)'!$C:$FB,122)*100</f>
        <v>-8.33</v>
      </c>
      <c r="R92" s="75">
        <f>VLOOKUP($A92,'Data Vlaue (Cr)'!$C:$FB,125)</f>
        <v>0.41</v>
      </c>
      <c r="S92" s="75">
        <f>VLOOKUP($A92,'Data Vlaue (Cr)'!$C:$FB,128)*100</f>
        <v>-14.580000000000002</v>
      </c>
    </row>
    <row r="93" spans="1:19" x14ac:dyDescent="0.25">
      <c r="A93" s="96" t="str">
        <f>'Data Vlaue (Cr)'!C84</f>
        <v>HUDCO</v>
      </c>
      <c r="B93" s="75">
        <f>VLOOKUP($A93,'Data Vlaue (Cr)'!$C:$FB,2)</f>
        <v>2775</v>
      </c>
      <c r="C93" s="75">
        <f>VLOOKUP($A93,'Data Vlaue (Cr)'!$C:$FB,8)</f>
        <v>207.91</v>
      </c>
      <c r="D93" s="75">
        <f>VLOOKUP($A93,'Data Vlaue (Cr)'!$C:$FB,4)</f>
        <v>207.89</v>
      </c>
      <c r="E93" s="75">
        <f>VLOOKUP($A93,'Data Vlaue (Cr)'!$C:$FB,5)</f>
        <v>210.93</v>
      </c>
      <c r="F93" s="75">
        <f t="shared" si="6"/>
        <v>-2.0000000000010232E-2</v>
      </c>
      <c r="G93" s="75">
        <f t="shared" si="7"/>
        <v>-1.4623117995093657</v>
      </c>
      <c r="H93" s="75">
        <f>VLOOKUP($A93,'Data Vlaue (Cr)'!$C:$FB,99)</f>
        <v>1972</v>
      </c>
      <c r="I93" s="75">
        <f>VLOOKUP($A93,'Data Vlaue (Cr)'!$C:$FB,100)</f>
        <v>1960</v>
      </c>
      <c r="J93" s="75">
        <f t="shared" si="8"/>
        <v>12</v>
      </c>
      <c r="K93" s="75">
        <f t="shared" si="9"/>
        <v>0.6085192697768762</v>
      </c>
      <c r="L93" s="75">
        <f>VLOOKUP($A93,'Data Vlaue (Cr)'!$C:$FB,67)</f>
        <v>757</v>
      </c>
      <c r="M93" s="75">
        <f>VLOOKUP($A93,'Data Vlaue (Cr)'!$C:$FB,68)</f>
        <v>587</v>
      </c>
      <c r="N93" s="75">
        <f t="shared" si="10"/>
        <v>170</v>
      </c>
      <c r="O93" s="75">
        <f t="shared" si="11"/>
        <v>22.457067371202115</v>
      </c>
      <c r="P93" s="75">
        <f>VLOOKUP($A93,'Data Vlaue (Cr)'!$C:$FB,119)</f>
        <v>0.44</v>
      </c>
      <c r="Q93" s="75">
        <f>VLOOKUP($A93,'Data Vlaue (Cr)'!$C:$FB,122)*100</f>
        <v>-2.2200000000000002</v>
      </c>
      <c r="R93" s="75">
        <f>VLOOKUP($A93,'Data Vlaue (Cr)'!$C:$FB,125)</f>
        <v>0.48</v>
      </c>
      <c r="S93" s="75">
        <f>VLOOKUP($A93,'Data Vlaue (Cr)'!$C:$FB,128)*100</f>
        <v>2.13</v>
      </c>
    </row>
    <row r="94" spans="1:19" x14ac:dyDescent="0.25">
      <c r="A94" s="96" t="str">
        <f>'Data Vlaue (Cr)'!C85</f>
        <v>ICICIBANK</v>
      </c>
      <c r="B94" s="75">
        <f>VLOOKUP($A94,'Data Vlaue (Cr)'!$C:$FB,2)</f>
        <v>700</v>
      </c>
      <c r="C94" s="75">
        <f>VLOOKUP($A94,'Data Vlaue (Cr)'!$C:$FB,8)</f>
        <v>1352.4</v>
      </c>
      <c r="D94" s="75">
        <f>VLOOKUP($A94,'Data Vlaue (Cr)'!$C:$FB,4)</f>
        <v>1356.5</v>
      </c>
      <c r="E94" s="75">
        <f>VLOOKUP($A94,'Data Vlaue (Cr)'!$C:$FB,5)</f>
        <v>1370.3</v>
      </c>
      <c r="F94" s="75">
        <f t="shared" si="6"/>
        <v>4.0999999999999091</v>
      </c>
      <c r="G94" s="75">
        <f t="shared" si="7"/>
        <v>-1.0173239955768489</v>
      </c>
      <c r="H94" s="75">
        <f>VLOOKUP($A94,'Data Vlaue (Cr)'!$C:$FB,99)</f>
        <v>25371</v>
      </c>
      <c r="I94" s="75">
        <f>VLOOKUP($A94,'Data Vlaue (Cr)'!$C:$FB,100)</f>
        <v>24261</v>
      </c>
      <c r="J94" s="75">
        <f t="shared" si="8"/>
        <v>1110</v>
      </c>
      <c r="K94" s="75">
        <f t="shared" si="9"/>
        <v>4.3750739032753927</v>
      </c>
      <c r="L94" s="75">
        <f>VLOOKUP($A94,'Data Vlaue (Cr)'!$C:$FB,67)</f>
        <v>14402</v>
      </c>
      <c r="M94" s="75">
        <f>VLOOKUP($A94,'Data Vlaue (Cr)'!$C:$FB,68)</f>
        <v>7930</v>
      </c>
      <c r="N94" s="75">
        <f t="shared" si="10"/>
        <v>6472</v>
      </c>
      <c r="O94" s="75">
        <f t="shared" si="11"/>
        <v>44.938203027357311</v>
      </c>
      <c r="P94" s="75">
        <f>VLOOKUP($A94,'Data Vlaue (Cr)'!$C:$FB,119)</f>
        <v>0.6</v>
      </c>
      <c r="Q94" s="75">
        <f>VLOOKUP($A94,'Data Vlaue (Cr)'!$C:$FB,122)*100</f>
        <v>-7.6899999999999995</v>
      </c>
      <c r="R94" s="75">
        <f>VLOOKUP($A94,'Data Vlaue (Cr)'!$C:$FB,125)</f>
        <v>0.76</v>
      </c>
      <c r="S94" s="75">
        <f>VLOOKUP($A94,'Data Vlaue (Cr)'!$C:$FB,128)*100</f>
        <v>10.14</v>
      </c>
    </row>
    <row r="95" spans="1:19" x14ac:dyDescent="0.25">
      <c r="A95" s="96" t="str">
        <f>'Data Vlaue (Cr)'!C86</f>
        <v>ICICIGI</v>
      </c>
      <c r="B95" s="75">
        <f>VLOOKUP($A95,'Data Vlaue (Cr)'!$C:$FB,2)</f>
        <v>325</v>
      </c>
      <c r="C95" s="75">
        <f>VLOOKUP($A95,'Data Vlaue (Cr)'!$C:$FB,8)</f>
        <v>1947</v>
      </c>
      <c r="D95" s="75">
        <f>VLOOKUP($A95,'Data Vlaue (Cr)'!$C:$FB,4)</f>
        <v>1947.1</v>
      </c>
      <c r="E95" s="75">
        <f>VLOOKUP($A95,'Data Vlaue (Cr)'!$C:$FB,5)</f>
        <v>1952.6</v>
      </c>
      <c r="F95" s="75">
        <f t="shared" si="6"/>
        <v>9.9999999999909051E-2</v>
      </c>
      <c r="G95" s="75">
        <f t="shared" si="7"/>
        <v>-0.28247136767500386</v>
      </c>
      <c r="H95" s="75">
        <f>VLOOKUP($A95,'Data Vlaue (Cr)'!$C:$FB,99)</f>
        <v>1704</v>
      </c>
      <c r="I95" s="75">
        <f>VLOOKUP($A95,'Data Vlaue (Cr)'!$C:$FB,100)</f>
        <v>1688</v>
      </c>
      <c r="J95" s="75">
        <f t="shared" si="8"/>
        <v>16</v>
      </c>
      <c r="K95" s="75">
        <f t="shared" si="9"/>
        <v>0.93896713615023475</v>
      </c>
      <c r="L95" s="75">
        <f>VLOOKUP($A95,'Data Vlaue (Cr)'!$C:$FB,67)</f>
        <v>332</v>
      </c>
      <c r="M95" s="75">
        <f>VLOOKUP($A95,'Data Vlaue (Cr)'!$C:$FB,68)</f>
        <v>370</v>
      </c>
      <c r="N95" s="75">
        <f t="shared" si="10"/>
        <v>-38</v>
      </c>
      <c r="O95" s="75">
        <f t="shared" si="11"/>
        <v>-11.445783132530121</v>
      </c>
      <c r="P95" s="75">
        <f>VLOOKUP($A95,'Data Vlaue (Cr)'!$C:$FB,119)</f>
        <v>0.52</v>
      </c>
      <c r="Q95" s="75">
        <f>VLOOKUP($A95,'Data Vlaue (Cr)'!$C:$FB,122)*100</f>
        <v>-8.77</v>
      </c>
      <c r="R95" s="75">
        <f>VLOOKUP($A95,'Data Vlaue (Cr)'!$C:$FB,125)</f>
        <v>0.32</v>
      </c>
      <c r="S95" s="75">
        <f>VLOOKUP($A95,'Data Vlaue (Cr)'!$C:$FB,128)*100</f>
        <v>-31.91</v>
      </c>
    </row>
    <row r="96" spans="1:19" x14ac:dyDescent="0.25">
      <c r="A96" s="96" t="str">
        <f>'Data Vlaue (Cr)'!C87</f>
        <v>ICICIPRULI</v>
      </c>
      <c r="B96" s="75">
        <f>VLOOKUP($A96,'Data Vlaue (Cr)'!$C:$FB,2)</f>
        <v>925</v>
      </c>
      <c r="C96" s="75">
        <f>VLOOKUP($A96,'Data Vlaue (Cr)'!$C:$FB,8)</f>
        <v>630.5</v>
      </c>
      <c r="D96" s="75">
        <f>VLOOKUP($A96,'Data Vlaue (Cr)'!$C:$FB,4)</f>
        <v>631.20000000000005</v>
      </c>
      <c r="E96" s="75">
        <f>VLOOKUP($A96,'Data Vlaue (Cr)'!$C:$FB,5)</f>
        <v>639.9</v>
      </c>
      <c r="F96" s="75">
        <f t="shared" si="6"/>
        <v>0.70000000000004547</v>
      </c>
      <c r="G96" s="75">
        <f t="shared" si="7"/>
        <v>-1.3783269961977076</v>
      </c>
      <c r="H96" s="75">
        <f>VLOOKUP($A96,'Data Vlaue (Cr)'!$C:$FB,99)</f>
        <v>1468</v>
      </c>
      <c r="I96" s="75">
        <f>VLOOKUP($A96,'Data Vlaue (Cr)'!$C:$FB,100)</f>
        <v>1470</v>
      </c>
      <c r="J96" s="75">
        <f t="shared" si="8"/>
        <v>-2</v>
      </c>
      <c r="K96" s="75">
        <f t="shared" si="9"/>
        <v>-0.13623978201634876</v>
      </c>
      <c r="L96" s="75">
        <f>VLOOKUP($A96,'Data Vlaue (Cr)'!$C:$FB,67)</f>
        <v>363</v>
      </c>
      <c r="M96" s="75">
        <f>VLOOKUP($A96,'Data Vlaue (Cr)'!$C:$FB,68)</f>
        <v>630</v>
      </c>
      <c r="N96" s="75">
        <f t="shared" si="10"/>
        <v>-267</v>
      </c>
      <c r="O96" s="75">
        <f t="shared" si="11"/>
        <v>-73.553719008264466</v>
      </c>
      <c r="P96" s="75">
        <f>VLOOKUP($A96,'Data Vlaue (Cr)'!$C:$FB,119)</f>
        <v>0.46</v>
      </c>
      <c r="Q96" s="75">
        <f>VLOOKUP($A96,'Data Vlaue (Cr)'!$C:$FB,122)*100</f>
        <v>-6.12</v>
      </c>
      <c r="R96" s="75">
        <f>VLOOKUP($A96,'Data Vlaue (Cr)'!$C:$FB,125)</f>
        <v>0.39</v>
      </c>
      <c r="S96" s="75">
        <f>VLOOKUP($A96,'Data Vlaue (Cr)'!$C:$FB,128)*100</f>
        <v>56.000000000000007</v>
      </c>
    </row>
    <row r="97" spans="1:19" x14ac:dyDescent="0.25">
      <c r="A97" s="96" t="str">
        <f>'Data Vlaue (Cr)'!C88</f>
        <v>IDEA</v>
      </c>
      <c r="B97" s="75">
        <f>VLOOKUP($A97,'Data Vlaue (Cr)'!$C:$FB,2)</f>
        <v>71475</v>
      </c>
      <c r="C97" s="75">
        <f>VLOOKUP($A97,'Data Vlaue (Cr)'!$C:$FB,8)</f>
        <v>11.13</v>
      </c>
      <c r="D97" s="75">
        <f>VLOOKUP($A97,'Data Vlaue (Cr)'!$C:$FB,4)</f>
        <v>11.17</v>
      </c>
      <c r="E97" s="75">
        <f>VLOOKUP($A97,'Data Vlaue (Cr)'!$C:$FB,5)</f>
        <v>11.29</v>
      </c>
      <c r="F97" s="75">
        <f t="shared" si="6"/>
        <v>3.9999999999999147E-2</v>
      </c>
      <c r="G97" s="75">
        <f t="shared" si="7"/>
        <v>-1.0743061772605123</v>
      </c>
      <c r="H97" s="75">
        <f>VLOOKUP($A97,'Data Vlaue (Cr)'!$C:$FB,99)</f>
        <v>11877</v>
      </c>
      <c r="I97" s="75">
        <f>VLOOKUP($A97,'Data Vlaue (Cr)'!$C:$FB,100)</f>
        <v>11959</v>
      </c>
      <c r="J97" s="75">
        <f t="shared" si="8"/>
        <v>-82</v>
      </c>
      <c r="K97" s="75">
        <f t="shared" si="9"/>
        <v>-0.69041003620442876</v>
      </c>
      <c r="L97" s="75">
        <f>VLOOKUP($A97,'Data Vlaue (Cr)'!$C:$FB,67)</f>
        <v>3587</v>
      </c>
      <c r="M97" s="75">
        <f>VLOOKUP($A97,'Data Vlaue (Cr)'!$C:$FB,68)</f>
        <v>4788</v>
      </c>
      <c r="N97" s="75">
        <f t="shared" si="10"/>
        <v>-1201</v>
      </c>
      <c r="O97" s="75">
        <f t="shared" si="11"/>
        <v>-33.482018399776976</v>
      </c>
      <c r="P97" s="75">
        <f>VLOOKUP($A97,'Data Vlaue (Cr)'!$C:$FB,119)</f>
        <v>0.56999999999999995</v>
      </c>
      <c r="Q97" s="75">
        <f>VLOOKUP($A97,'Data Vlaue (Cr)'!$C:$FB,122)*100</f>
        <v>1.79</v>
      </c>
      <c r="R97" s="75">
        <f>VLOOKUP($A97,'Data Vlaue (Cr)'!$C:$FB,125)</f>
        <v>0.26</v>
      </c>
      <c r="S97" s="75">
        <f>VLOOKUP($A97,'Data Vlaue (Cr)'!$C:$FB,128)*100</f>
        <v>-35</v>
      </c>
    </row>
    <row r="98" spans="1:19" x14ac:dyDescent="0.25">
      <c r="A98" s="96" t="str">
        <f>'Data Vlaue (Cr)'!C89</f>
        <v>IDFCFIRSTB</v>
      </c>
      <c r="B98" s="75">
        <f>VLOOKUP($A98,'Data Vlaue (Cr)'!$C:$FB,2)</f>
        <v>9275</v>
      </c>
      <c r="C98" s="75">
        <f>VLOOKUP($A98,'Data Vlaue (Cr)'!$C:$FB,8)</f>
        <v>83.95</v>
      </c>
      <c r="D98" s="75">
        <f>VLOOKUP($A98,'Data Vlaue (Cr)'!$C:$FB,4)</f>
        <v>84.01</v>
      </c>
      <c r="E98" s="75">
        <f>VLOOKUP($A98,'Data Vlaue (Cr)'!$C:$FB,5)</f>
        <v>83.52</v>
      </c>
      <c r="F98" s="75">
        <f t="shared" si="6"/>
        <v>6.0000000000002274E-2</v>
      </c>
      <c r="G98" s="75">
        <f t="shared" si="7"/>
        <v>0.5832638971551114</v>
      </c>
      <c r="H98" s="75">
        <f>VLOOKUP($A98,'Data Vlaue (Cr)'!$C:$FB,99)</f>
        <v>4879</v>
      </c>
      <c r="I98" s="75">
        <f>VLOOKUP($A98,'Data Vlaue (Cr)'!$C:$FB,100)</f>
        <v>4863</v>
      </c>
      <c r="J98" s="75">
        <f t="shared" si="8"/>
        <v>16</v>
      </c>
      <c r="K98" s="75">
        <f t="shared" si="9"/>
        <v>0.32793605246976842</v>
      </c>
      <c r="L98" s="75">
        <f>VLOOKUP($A98,'Data Vlaue (Cr)'!$C:$FB,67)</f>
        <v>1408</v>
      </c>
      <c r="M98" s="75">
        <f>VLOOKUP($A98,'Data Vlaue (Cr)'!$C:$FB,68)</f>
        <v>1832</v>
      </c>
      <c r="N98" s="75">
        <f t="shared" si="10"/>
        <v>-424</v>
      </c>
      <c r="O98" s="75">
        <f t="shared" si="11"/>
        <v>-30.113636363636363</v>
      </c>
      <c r="P98" s="75">
        <f>VLOOKUP($A98,'Data Vlaue (Cr)'!$C:$FB,119)</f>
        <v>0.72</v>
      </c>
      <c r="Q98" s="75">
        <f>VLOOKUP($A98,'Data Vlaue (Cr)'!$C:$FB,122)*100</f>
        <v>0</v>
      </c>
      <c r="R98" s="75">
        <f>VLOOKUP($A98,'Data Vlaue (Cr)'!$C:$FB,125)</f>
        <v>0.49</v>
      </c>
      <c r="S98" s="75">
        <f>VLOOKUP($A98,'Data Vlaue (Cr)'!$C:$FB,128)*100</f>
        <v>-5.7700000000000005</v>
      </c>
    </row>
    <row r="99" spans="1:19" x14ac:dyDescent="0.25">
      <c r="A99" s="96" t="str">
        <f>'Data Vlaue (Cr)'!C90</f>
        <v>IEX</v>
      </c>
      <c r="B99" s="75">
        <f>VLOOKUP($A99,'Data Vlaue (Cr)'!$C:$FB,2)</f>
        <v>3750</v>
      </c>
      <c r="C99" s="75">
        <f>VLOOKUP($A99,'Data Vlaue (Cr)'!$C:$FB,8)</f>
        <v>140.22</v>
      </c>
      <c r="D99" s="75">
        <f>VLOOKUP($A99,'Data Vlaue (Cr)'!$C:$FB,4)</f>
        <v>140.38999999999999</v>
      </c>
      <c r="E99" s="75">
        <f>VLOOKUP($A99,'Data Vlaue (Cr)'!$C:$FB,5)</f>
        <v>140.51</v>
      </c>
      <c r="F99" s="75">
        <f t="shared" si="6"/>
        <v>0.16999999999998749</v>
      </c>
      <c r="G99" s="75">
        <f t="shared" si="7"/>
        <v>-8.5476173516635487E-2</v>
      </c>
      <c r="H99" s="75">
        <f>VLOOKUP($A99,'Data Vlaue (Cr)'!$C:$FB,99)</f>
        <v>1929</v>
      </c>
      <c r="I99" s="75">
        <f>VLOOKUP($A99,'Data Vlaue (Cr)'!$C:$FB,100)</f>
        <v>1921</v>
      </c>
      <c r="J99" s="75">
        <f t="shared" si="8"/>
        <v>8</v>
      </c>
      <c r="K99" s="75">
        <f t="shared" si="9"/>
        <v>0.41472265422498705</v>
      </c>
      <c r="L99" s="75">
        <f>VLOOKUP($A99,'Data Vlaue (Cr)'!$C:$FB,67)</f>
        <v>321</v>
      </c>
      <c r="M99" s="75">
        <f>VLOOKUP($A99,'Data Vlaue (Cr)'!$C:$FB,68)</f>
        <v>423</v>
      </c>
      <c r="N99" s="75">
        <f t="shared" si="10"/>
        <v>-102</v>
      </c>
      <c r="O99" s="75">
        <f t="shared" si="11"/>
        <v>-31.775700934579437</v>
      </c>
      <c r="P99" s="75">
        <f>VLOOKUP($A99,'Data Vlaue (Cr)'!$C:$FB,119)</f>
        <v>0.73</v>
      </c>
      <c r="Q99" s="75">
        <f>VLOOKUP($A99,'Data Vlaue (Cr)'!$C:$FB,122)*100</f>
        <v>1.39</v>
      </c>
      <c r="R99" s="75">
        <f>VLOOKUP($A99,'Data Vlaue (Cr)'!$C:$FB,125)</f>
        <v>0.31</v>
      </c>
      <c r="S99" s="75">
        <f>VLOOKUP($A99,'Data Vlaue (Cr)'!$C:$FB,128)*100</f>
        <v>0</v>
      </c>
    </row>
    <row r="100" spans="1:19" x14ac:dyDescent="0.25">
      <c r="A100" s="96" t="str">
        <f>'Data Vlaue (Cr)'!C91</f>
        <v>IIFL</v>
      </c>
      <c r="B100" s="75">
        <f>VLOOKUP($A100,'Data Vlaue (Cr)'!$C:$FB,2)</f>
        <v>1650</v>
      </c>
      <c r="C100" s="75">
        <f>VLOOKUP($A100,'Data Vlaue (Cr)'!$C:$FB,8)</f>
        <v>563.1</v>
      </c>
      <c r="D100" s="75">
        <f>VLOOKUP($A100,'Data Vlaue (Cr)'!$C:$FB,4)</f>
        <v>563.54999999999995</v>
      </c>
      <c r="E100" s="75">
        <f>VLOOKUP($A100,'Data Vlaue (Cr)'!$C:$FB,5)</f>
        <v>567.45000000000005</v>
      </c>
      <c r="F100" s="75">
        <f t="shared" si="6"/>
        <v>0.44999999999993179</v>
      </c>
      <c r="G100" s="75">
        <f t="shared" si="7"/>
        <v>-0.69204152249136563</v>
      </c>
      <c r="H100" s="75">
        <f>VLOOKUP($A100,'Data Vlaue (Cr)'!$C:$FB,99)</f>
        <v>1368</v>
      </c>
      <c r="I100" s="75">
        <f>VLOOKUP($A100,'Data Vlaue (Cr)'!$C:$FB,100)</f>
        <v>1342</v>
      </c>
      <c r="J100" s="75">
        <f t="shared" si="8"/>
        <v>26</v>
      </c>
      <c r="K100" s="75">
        <f t="shared" si="9"/>
        <v>1.9005847953216373</v>
      </c>
      <c r="L100" s="75">
        <f>VLOOKUP($A100,'Data Vlaue (Cr)'!$C:$FB,67)</f>
        <v>756</v>
      </c>
      <c r="M100" s="75">
        <f>VLOOKUP($A100,'Data Vlaue (Cr)'!$C:$FB,68)</f>
        <v>928</v>
      </c>
      <c r="N100" s="75">
        <f t="shared" si="10"/>
        <v>-172</v>
      </c>
      <c r="O100" s="75">
        <f t="shared" si="11"/>
        <v>-22.75132275132275</v>
      </c>
      <c r="P100" s="75">
        <f>VLOOKUP($A100,'Data Vlaue (Cr)'!$C:$FB,119)</f>
        <v>0.6</v>
      </c>
      <c r="Q100" s="75">
        <f>VLOOKUP($A100,'Data Vlaue (Cr)'!$C:$FB,122)*100</f>
        <v>0</v>
      </c>
      <c r="R100" s="75">
        <f>VLOOKUP($A100,'Data Vlaue (Cr)'!$C:$FB,125)</f>
        <v>0.22</v>
      </c>
      <c r="S100" s="75">
        <f>VLOOKUP($A100,'Data Vlaue (Cr)'!$C:$FB,128)*100</f>
        <v>4.7600000000000007</v>
      </c>
    </row>
    <row r="101" spans="1:19" x14ac:dyDescent="0.25">
      <c r="A101" s="96" t="str">
        <f>'Data Vlaue (Cr)'!C92</f>
        <v>INDHOTEL</v>
      </c>
      <c r="B101" s="75">
        <f>VLOOKUP($A101,'Data Vlaue (Cr)'!$C:$FB,2)</f>
        <v>1000</v>
      </c>
      <c r="C101" s="75">
        <f>VLOOKUP($A101,'Data Vlaue (Cr)'!$C:$FB,8)</f>
        <v>713.2</v>
      </c>
      <c r="D101" s="75">
        <f>VLOOKUP($A101,'Data Vlaue (Cr)'!$C:$FB,4)</f>
        <v>715.75</v>
      </c>
      <c r="E101" s="75">
        <f>VLOOKUP($A101,'Data Vlaue (Cr)'!$C:$FB,5)</f>
        <v>727.45</v>
      </c>
      <c r="F101" s="75">
        <f t="shared" si="6"/>
        <v>2.5499999999999545</v>
      </c>
      <c r="G101" s="75">
        <f t="shared" si="7"/>
        <v>-1.6346489696123012</v>
      </c>
      <c r="H101" s="75">
        <f>VLOOKUP($A101,'Data Vlaue (Cr)'!$C:$FB,99)</f>
        <v>3206</v>
      </c>
      <c r="I101" s="75">
        <f>VLOOKUP($A101,'Data Vlaue (Cr)'!$C:$FB,100)</f>
        <v>3031</v>
      </c>
      <c r="J101" s="75">
        <f t="shared" si="8"/>
        <v>175</v>
      </c>
      <c r="K101" s="75">
        <f t="shared" si="9"/>
        <v>5.4585152838427948</v>
      </c>
      <c r="L101" s="75">
        <f>VLOOKUP($A101,'Data Vlaue (Cr)'!$C:$FB,67)</f>
        <v>1130</v>
      </c>
      <c r="M101" s="75">
        <f>VLOOKUP($A101,'Data Vlaue (Cr)'!$C:$FB,68)</f>
        <v>669</v>
      </c>
      <c r="N101" s="75">
        <f t="shared" si="10"/>
        <v>461</v>
      </c>
      <c r="O101" s="75">
        <f t="shared" si="11"/>
        <v>40.796460176991154</v>
      </c>
      <c r="P101" s="75">
        <f>VLOOKUP($A101,'Data Vlaue (Cr)'!$C:$FB,119)</f>
        <v>0.6</v>
      </c>
      <c r="Q101" s="75">
        <f>VLOOKUP($A101,'Data Vlaue (Cr)'!$C:$FB,122)*100</f>
        <v>-7.6899999999999995</v>
      </c>
      <c r="R101" s="75">
        <f>VLOOKUP($A101,'Data Vlaue (Cr)'!$C:$FB,125)</f>
        <v>0.41</v>
      </c>
      <c r="S101" s="75">
        <f>VLOOKUP($A101,'Data Vlaue (Cr)'!$C:$FB,128)*100</f>
        <v>7.89</v>
      </c>
    </row>
    <row r="102" spans="1:19" x14ac:dyDescent="0.25">
      <c r="A102" s="96" t="str">
        <f>'Data Vlaue (Cr)'!C93</f>
        <v>INDIANB</v>
      </c>
      <c r="B102" s="75">
        <f>VLOOKUP($A102,'Data Vlaue (Cr)'!$C:$FB,2)</f>
        <v>1000</v>
      </c>
      <c r="C102" s="75">
        <f>VLOOKUP($A102,'Data Vlaue (Cr)'!$C:$FB,8)</f>
        <v>775</v>
      </c>
      <c r="D102" s="75">
        <f>VLOOKUP($A102,'Data Vlaue (Cr)'!$C:$FB,4)</f>
        <v>776.35</v>
      </c>
      <c r="E102" s="75">
        <f>VLOOKUP($A102,'Data Vlaue (Cr)'!$C:$FB,5)</f>
        <v>774.75</v>
      </c>
      <c r="F102" s="75">
        <f t="shared" si="6"/>
        <v>1.3500000000000227</v>
      </c>
      <c r="G102" s="75">
        <f t="shared" si="7"/>
        <v>0.20609261286791045</v>
      </c>
      <c r="H102" s="75">
        <f>VLOOKUP($A102,'Data Vlaue (Cr)'!$C:$FB,99)</f>
        <v>2279</v>
      </c>
      <c r="I102" s="75">
        <f>VLOOKUP($A102,'Data Vlaue (Cr)'!$C:$FB,100)</f>
        <v>2273</v>
      </c>
      <c r="J102" s="75">
        <f t="shared" si="8"/>
        <v>6</v>
      </c>
      <c r="K102" s="75">
        <f t="shared" si="9"/>
        <v>0.26327336551118913</v>
      </c>
      <c r="L102" s="75">
        <f>VLOOKUP($A102,'Data Vlaue (Cr)'!$C:$FB,67)</f>
        <v>623</v>
      </c>
      <c r="M102" s="75">
        <f>VLOOKUP($A102,'Data Vlaue (Cr)'!$C:$FB,68)</f>
        <v>1032</v>
      </c>
      <c r="N102" s="75">
        <f t="shared" si="10"/>
        <v>-409</v>
      </c>
      <c r="O102" s="75">
        <f t="shared" si="11"/>
        <v>-65.650080256821823</v>
      </c>
      <c r="P102" s="75">
        <f>VLOOKUP($A102,'Data Vlaue (Cr)'!$C:$FB,119)</f>
        <v>0.41</v>
      </c>
      <c r="Q102" s="75">
        <f>VLOOKUP($A102,'Data Vlaue (Cr)'!$C:$FB,122)*100</f>
        <v>0</v>
      </c>
      <c r="R102" s="75">
        <f>VLOOKUP($A102,'Data Vlaue (Cr)'!$C:$FB,125)</f>
        <v>0.36</v>
      </c>
      <c r="S102" s="75">
        <f>VLOOKUP($A102,'Data Vlaue (Cr)'!$C:$FB,128)*100</f>
        <v>12.5</v>
      </c>
    </row>
    <row r="103" spans="1:19" x14ac:dyDescent="0.25">
      <c r="A103" s="96" t="str">
        <f>'Data Vlaue (Cr)'!C94</f>
        <v>INDIAVIX</v>
      </c>
      <c r="B103" s="75">
        <f>VLOOKUP($A103,'Data Vlaue (Cr)'!$C:$FB,2)</f>
        <v>1</v>
      </c>
      <c r="C103" s="75">
        <f>VLOOKUP($A103,'Data Vlaue (Cr)'!$C:$FB,8)</f>
        <v>9.84</v>
      </c>
      <c r="D103" s="75">
        <f>VLOOKUP($A103,'Data Vlaue (Cr)'!$C:$FB,4)</f>
        <v>9.84</v>
      </c>
      <c r="E103" s="75">
        <f>VLOOKUP($A103,'Data Vlaue (Cr)'!$C:$FB,5)</f>
        <v>10.06</v>
      </c>
      <c r="F103" s="75">
        <f t="shared" si="6"/>
        <v>0</v>
      </c>
      <c r="G103" s="75">
        <f t="shared" si="7"/>
        <v>-2.235772357723584</v>
      </c>
      <c r="H103" s="75">
        <f>VLOOKUP($A103,'Data Vlaue (Cr)'!$C:$FB,99)</f>
        <v>0</v>
      </c>
      <c r="I103" s="75">
        <f>VLOOKUP($A103,'Data Vlaue (Cr)'!$C:$FB,100)</f>
        <v>0</v>
      </c>
      <c r="J103" s="75">
        <f t="shared" si="8"/>
        <v>0</v>
      </c>
      <c r="K103" s="75" t="e">
        <f t="shared" si="9"/>
        <v>#DIV/0!</v>
      </c>
      <c r="L103" s="75">
        <f>VLOOKUP($A103,'Data Vlaue (Cr)'!$C:$FB,67)</f>
        <v>0</v>
      </c>
      <c r="M103" s="75">
        <f>VLOOKUP($A103,'Data Vlaue (Cr)'!$C:$FB,68)</f>
        <v>0</v>
      </c>
      <c r="N103" s="75">
        <f t="shared" si="10"/>
        <v>0</v>
      </c>
      <c r="O103" s="75" t="e">
        <f t="shared" si="11"/>
        <v>#DIV/0!</v>
      </c>
      <c r="P103" s="75">
        <f>VLOOKUP($A103,'Data Vlaue (Cr)'!$C:$FB,119)</f>
        <v>0</v>
      </c>
      <c r="Q103" s="75">
        <f>VLOOKUP($A103,'Data Vlaue (Cr)'!$C:$FB,122)*100</f>
        <v>0</v>
      </c>
      <c r="R103" s="75">
        <f>VLOOKUP($A103,'Data Vlaue (Cr)'!$C:$FB,125)</f>
        <v>0</v>
      </c>
      <c r="S103" s="75">
        <f>VLOOKUP($A103,'Data Vlaue (Cr)'!$C:$FB,128)*100</f>
        <v>0</v>
      </c>
    </row>
    <row r="104" spans="1:19" x14ac:dyDescent="0.25">
      <c r="A104" s="96" t="str">
        <f>'Data Vlaue (Cr)'!C95</f>
        <v>INDIGO</v>
      </c>
      <c r="B104" s="75">
        <f>VLOOKUP($A104,'Data Vlaue (Cr)'!$C:$FB,2)</f>
        <v>150</v>
      </c>
      <c r="C104" s="75">
        <f>VLOOKUP($A104,'Data Vlaue (Cr)'!$C:$FB,8)</f>
        <v>4980.5</v>
      </c>
      <c r="D104" s="75">
        <f>VLOOKUP($A104,'Data Vlaue (Cr)'!$C:$FB,4)</f>
        <v>4984</v>
      </c>
      <c r="E104" s="75">
        <f>VLOOKUP($A104,'Data Vlaue (Cr)'!$C:$FB,5)</f>
        <v>4979.5</v>
      </c>
      <c r="F104" s="75">
        <f t="shared" si="6"/>
        <v>3.5</v>
      </c>
      <c r="G104" s="75">
        <f t="shared" si="7"/>
        <v>9.0288924558587474E-2</v>
      </c>
      <c r="H104" s="75">
        <f>VLOOKUP($A104,'Data Vlaue (Cr)'!$C:$FB,99)</f>
        <v>18764</v>
      </c>
      <c r="I104" s="75">
        <f>VLOOKUP($A104,'Data Vlaue (Cr)'!$C:$FB,100)</f>
        <v>19241</v>
      </c>
      <c r="J104" s="75">
        <f t="shared" si="8"/>
        <v>-477</v>
      </c>
      <c r="K104" s="75">
        <f t="shared" si="9"/>
        <v>-2.5421018972500531</v>
      </c>
      <c r="L104" s="75">
        <f>VLOOKUP($A104,'Data Vlaue (Cr)'!$C:$FB,67)</f>
        <v>6981</v>
      </c>
      <c r="M104" s="75">
        <f>VLOOKUP($A104,'Data Vlaue (Cr)'!$C:$FB,68)</f>
        <v>10457</v>
      </c>
      <c r="N104" s="75">
        <f t="shared" si="10"/>
        <v>-3476</v>
      </c>
      <c r="O104" s="75">
        <f t="shared" si="11"/>
        <v>-49.792293367712368</v>
      </c>
      <c r="P104" s="75">
        <f>VLOOKUP($A104,'Data Vlaue (Cr)'!$C:$FB,119)</f>
        <v>0.48</v>
      </c>
      <c r="Q104" s="75">
        <f>VLOOKUP($A104,'Data Vlaue (Cr)'!$C:$FB,122)*100</f>
        <v>-2.04</v>
      </c>
      <c r="R104" s="75">
        <f>VLOOKUP($A104,'Data Vlaue (Cr)'!$C:$FB,125)</f>
        <v>0.51</v>
      </c>
      <c r="S104" s="75">
        <f>VLOOKUP($A104,'Data Vlaue (Cr)'!$C:$FB,128)*100</f>
        <v>4.08</v>
      </c>
    </row>
    <row r="105" spans="1:19" x14ac:dyDescent="0.25">
      <c r="A105" s="96" t="str">
        <f>'Data Vlaue (Cr)'!C96</f>
        <v>INDUSINDBK</v>
      </c>
      <c r="B105" s="75">
        <f>VLOOKUP($A105,'Data Vlaue (Cr)'!$C:$FB,2)</f>
        <v>700</v>
      </c>
      <c r="C105" s="75">
        <f>VLOOKUP($A105,'Data Vlaue (Cr)'!$C:$FB,8)</f>
        <v>833.85</v>
      </c>
      <c r="D105" s="75">
        <f>VLOOKUP($A105,'Data Vlaue (Cr)'!$C:$FB,4)</f>
        <v>834.65</v>
      </c>
      <c r="E105" s="75">
        <f>VLOOKUP($A105,'Data Vlaue (Cr)'!$C:$FB,5)</f>
        <v>846.6</v>
      </c>
      <c r="F105" s="75">
        <f t="shared" si="6"/>
        <v>0.79999999999995453</v>
      </c>
      <c r="G105" s="75">
        <f t="shared" si="7"/>
        <v>-1.4317378541903847</v>
      </c>
      <c r="H105" s="75">
        <f>VLOOKUP($A105,'Data Vlaue (Cr)'!$C:$FB,99)</f>
        <v>6004</v>
      </c>
      <c r="I105" s="75">
        <f>VLOOKUP($A105,'Data Vlaue (Cr)'!$C:$FB,100)</f>
        <v>5953</v>
      </c>
      <c r="J105" s="75">
        <f t="shared" si="8"/>
        <v>51</v>
      </c>
      <c r="K105" s="75">
        <f t="shared" si="9"/>
        <v>0.84943371085942698</v>
      </c>
      <c r="L105" s="75">
        <f>VLOOKUP($A105,'Data Vlaue (Cr)'!$C:$FB,67)</f>
        <v>3346</v>
      </c>
      <c r="M105" s="75">
        <f>VLOOKUP($A105,'Data Vlaue (Cr)'!$C:$FB,68)</f>
        <v>1624</v>
      </c>
      <c r="N105" s="75">
        <f t="shared" si="10"/>
        <v>1722</v>
      </c>
      <c r="O105" s="75">
        <f t="shared" si="11"/>
        <v>51.464435146443513</v>
      </c>
      <c r="P105" s="75">
        <f>VLOOKUP($A105,'Data Vlaue (Cr)'!$C:$FB,119)</f>
        <v>0.7</v>
      </c>
      <c r="Q105" s="75">
        <f>VLOOKUP($A105,'Data Vlaue (Cr)'!$C:$FB,122)*100</f>
        <v>1.4500000000000002</v>
      </c>
      <c r="R105" s="75">
        <f>VLOOKUP($A105,'Data Vlaue (Cr)'!$C:$FB,125)</f>
        <v>0.88</v>
      </c>
      <c r="S105" s="75">
        <f>VLOOKUP($A105,'Data Vlaue (Cr)'!$C:$FB,128)*100</f>
        <v>120</v>
      </c>
    </row>
    <row r="106" spans="1:19" x14ac:dyDescent="0.25">
      <c r="A106" s="96" t="str">
        <f>'Data Vlaue (Cr)'!C97</f>
        <v>INDUSTOWER</v>
      </c>
      <c r="B106" s="75">
        <f>VLOOKUP($A106,'Data Vlaue (Cr)'!$C:$FB,2)</f>
        <v>1700</v>
      </c>
      <c r="C106" s="75">
        <f>VLOOKUP($A106,'Data Vlaue (Cr)'!$C:$FB,8)</f>
        <v>407.2</v>
      </c>
      <c r="D106" s="75">
        <f>VLOOKUP($A106,'Data Vlaue (Cr)'!$C:$FB,4)</f>
        <v>408.6</v>
      </c>
      <c r="E106" s="75">
        <f>VLOOKUP($A106,'Data Vlaue (Cr)'!$C:$FB,5)</f>
        <v>409.6</v>
      </c>
      <c r="F106" s="75">
        <f t="shared" si="6"/>
        <v>1.4000000000000341</v>
      </c>
      <c r="G106" s="75">
        <f t="shared" si="7"/>
        <v>-0.24473813020068524</v>
      </c>
      <c r="H106" s="75">
        <f>VLOOKUP($A106,'Data Vlaue (Cr)'!$C:$FB,99)</f>
        <v>5161</v>
      </c>
      <c r="I106" s="75">
        <f>VLOOKUP($A106,'Data Vlaue (Cr)'!$C:$FB,100)</f>
        <v>5202</v>
      </c>
      <c r="J106" s="75">
        <f t="shared" si="8"/>
        <v>-41</v>
      </c>
      <c r="K106" s="75">
        <f t="shared" si="9"/>
        <v>-0.79441968610734359</v>
      </c>
      <c r="L106" s="75">
        <f>VLOOKUP($A106,'Data Vlaue (Cr)'!$C:$FB,67)</f>
        <v>1136</v>
      </c>
      <c r="M106" s="75">
        <f>VLOOKUP($A106,'Data Vlaue (Cr)'!$C:$FB,68)</f>
        <v>1401</v>
      </c>
      <c r="N106" s="75">
        <f t="shared" si="10"/>
        <v>-265</v>
      </c>
      <c r="O106" s="75">
        <f t="shared" si="11"/>
        <v>-23.327464788732392</v>
      </c>
      <c r="P106" s="75">
        <f>VLOOKUP($A106,'Data Vlaue (Cr)'!$C:$FB,119)</f>
        <v>0.59</v>
      </c>
      <c r="Q106" s="75">
        <f>VLOOKUP($A106,'Data Vlaue (Cr)'!$C:$FB,122)*100</f>
        <v>1.72</v>
      </c>
      <c r="R106" s="75">
        <f>VLOOKUP($A106,'Data Vlaue (Cr)'!$C:$FB,125)</f>
        <v>0.25</v>
      </c>
      <c r="S106" s="75">
        <f>VLOOKUP($A106,'Data Vlaue (Cr)'!$C:$FB,128)*100</f>
        <v>-32.43</v>
      </c>
    </row>
    <row r="107" spans="1:19" x14ac:dyDescent="0.25">
      <c r="A107" s="96" t="str">
        <f>'Data Vlaue (Cr)'!C98</f>
        <v>INFY</v>
      </c>
      <c r="B107" s="75">
        <f>VLOOKUP($A107,'Data Vlaue (Cr)'!$C:$FB,2)</f>
        <v>400</v>
      </c>
      <c r="C107" s="75">
        <f>VLOOKUP($A107,'Data Vlaue (Cr)'!$C:$FB,8)</f>
        <v>1602</v>
      </c>
      <c r="D107" s="75">
        <f>VLOOKUP($A107,'Data Vlaue (Cr)'!$C:$FB,4)</f>
        <v>1605.8</v>
      </c>
      <c r="E107" s="75">
        <f>VLOOKUP($A107,'Data Vlaue (Cr)'!$C:$FB,5)</f>
        <v>1596.8</v>
      </c>
      <c r="F107" s="75">
        <f t="shared" si="6"/>
        <v>3.7999999999999545</v>
      </c>
      <c r="G107" s="75">
        <f t="shared" si="7"/>
        <v>0.56046830240378631</v>
      </c>
      <c r="H107" s="75">
        <f>VLOOKUP($A107,'Data Vlaue (Cr)'!$C:$FB,99)</f>
        <v>18712</v>
      </c>
      <c r="I107" s="75">
        <f>VLOOKUP($A107,'Data Vlaue (Cr)'!$C:$FB,100)</f>
        <v>18285</v>
      </c>
      <c r="J107" s="75">
        <f t="shared" si="8"/>
        <v>427</v>
      </c>
      <c r="K107" s="75">
        <f t="shared" si="9"/>
        <v>2.281958101752886</v>
      </c>
      <c r="L107" s="75">
        <f>VLOOKUP($A107,'Data Vlaue (Cr)'!$C:$FB,67)</f>
        <v>6908</v>
      </c>
      <c r="M107" s="75">
        <f>VLOOKUP($A107,'Data Vlaue (Cr)'!$C:$FB,68)</f>
        <v>7324</v>
      </c>
      <c r="N107" s="75">
        <f t="shared" si="10"/>
        <v>-416</v>
      </c>
      <c r="O107" s="75">
        <f t="shared" si="11"/>
        <v>-6.0220034742327737</v>
      </c>
      <c r="P107" s="75">
        <f>VLOOKUP($A107,'Data Vlaue (Cr)'!$C:$FB,119)</f>
        <v>0.65</v>
      </c>
      <c r="Q107" s="75">
        <f>VLOOKUP($A107,'Data Vlaue (Cr)'!$C:$FB,122)*100</f>
        <v>1.5599999999999998</v>
      </c>
      <c r="R107" s="75">
        <f>VLOOKUP($A107,'Data Vlaue (Cr)'!$C:$FB,125)</f>
        <v>0.54</v>
      </c>
      <c r="S107" s="75">
        <f>VLOOKUP($A107,'Data Vlaue (Cr)'!$C:$FB,128)*100</f>
        <v>-12.9</v>
      </c>
    </row>
    <row r="108" spans="1:19" x14ac:dyDescent="0.25">
      <c r="A108" s="96" t="str">
        <f>'Data Vlaue (Cr)'!C99</f>
        <v>INOXWIND</v>
      </c>
      <c r="B108" s="75">
        <f>VLOOKUP($A108,'Data Vlaue (Cr)'!$C:$FB,2)</f>
        <v>3272</v>
      </c>
      <c r="C108" s="75">
        <f>VLOOKUP($A108,'Data Vlaue (Cr)'!$C:$FB,8)</f>
        <v>126.04</v>
      </c>
      <c r="D108" s="75">
        <f>VLOOKUP($A108,'Data Vlaue (Cr)'!$C:$FB,4)</f>
        <v>126.43</v>
      </c>
      <c r="E108" s="75">
        <f>VLOOKUP($A108,'Data Vlaue (Cr)'!$C:$FB,5)</f>
        <v>127.2</v>
      </c>
      <c r="F108" s="75">
        <f t="shared" si="6"/>
        <v>0.39000000000000057</v>
      </c>
      <c r="G108" s="75">
        <f t="shared" si="7"/>
        <v>-0.60903266629755282</v>
      </c>
      <c r="H108" s="75">
        <f>VLOOKUP($A108,'Data Vlaue (Cr)'!$C:$FB,99)</f>
        <v>1991</v>
      </c>
      <c r="I108" s="75">
        <f>VLOOKUP($A108,'Data Vlaue (Cr)'!$C:$FB,100)</f>
        <v>2008</v>
      </c>
      <c r="J108" s="75">
        <f t="shared" si="8"/>
        <v>-17</v>
      </c>
      <c r="K108" s="75">
        <f t="shared" si="9"/>
        <v>-0.8538422903063787</v>
      </c>
      <c r="L108" s="75">
        <f>VLOOKUP($A108,'Data Vlaue (Cr)'!$C:$FB,67)</f>
        <v>301</v>
      </c>
      <c r="M108" s="75">
        <f>VLOOKUP($A108,'Data Vlaue (Cr)'!$C:$FB,68)</f>
        <v>403</v>
      </c>
      <c r="N108" s="75">
        <f t="shared" si="10"/>
        <v>-102</v>
      </c>
      <c r="O108" s="75">
        <f t="shared" si="11"/>
        <v>-33.887043189368768</v>
      </c>
      <c r="P108" s="75">
        <f>VLOOKUP($A108,'Data Vlaue (Cr)'!$C:$FB,119)</f>
        <v>0.49</v>
      </c>
      <c r="Q108" s="75">
        <f>VLOOKUP($A108,'Data Vlaue (Cr)'!$C:$FB,122)*100</f>
        <v>-2</v>
      </c>
      <c r="R108" s="75">
        <f>VLOOKUP($A108,'Data Vlaue (Cr)'!$C:$FB,125)</f>
        <v>0.6</v>
      </c>
      <c r="S108" s="75">
        <f>VLOOKUP($A108,'Data Vlaue (Cr)'!$C:$FB,128)*100</f>
        <v>20</v>
      </c>
    </row>
    <row r="109" spans="1:19" x14ac:dyDescent="0.25">
      <c r="A109" s="96" t="str">
        <f>'Data Vlaue (Cr)'!C100</f>
        <v>IOC</v>
      </c>
      <c r="B109" s="75">
        <f>VLOOKUP($A109,'Data Vlaue (Cr)'!$C:$FB,2)</f>
        <v>4875</v>
      </c>
      <c r="C109" s="75">
        <f>VLOOKUP($A109,'Data Vlaue (Cr)'!$C:$FB,8)</f>
        <v>168.16</v>
      </c>
      <c r="D109" s="75">
        <f>VLOOKUP($A109,'Data Vlaue (Cr)'!$C:$FB,4)</f>
        <v>168.64</v>
      </c>
      <c r="E109" s="75">
        <f>VLOOKUP($A109,'Data Vlaue (Cr)'!$C:$FB,5)</f>
        <v>168.07</v>
      </c>
      <c r="F109" s="75">
        <f t="shared" si="6"/>
        <v>0.47999999999998977</v>
      </c>
      <c r="G109" s="75">
        <f t="shared" si="7"/>
        <v>0.33799810246678919</v>
      </c>
      <c r="H109" s="75">
        <f>VLOOKUP($A109,'Data Vlaue (Cr)'!$C:$FB,99)</f>
        <v>3403</v>
      </c>
      <c r="I109" s="75">
        <f>VLOOKUP($A109,'Data Vlaue (Cr)'!$C:$FB,100)</f>
        <v>3362</v>
      </c>
      <c r="J109" s="75">
        <f t="shared" si="8"/>
        <v>41</v>
      </c>
      <c r="K109" s="75">
        <f t="shared" si="9"/>
        <v>1.2048192771084338</v>
      </c>
      <c r="L109" s="75">
        <f>VLOOKUP($A109,'Data Vlaue (Cr)'!$C:$FB,67)</f>
        <v>2875</v>
      </c>
      <c r="M109" s="75">
        <f>VLOOKUP($A109,'Data Vlaue (Cr)'!$C:$FB,68)</f>
        <v>3648</v>
      </c>
      <c r="N109" s="75">
        <f t="shared" si="10"/>
        <v>-773</v>
      </c>
      <c r="O109" s="75">
        <f t="shared" si="11"/>
        <v>-26.88695652173913</v>
      </c>
      <c r="P109" s="75">
        <f>VLOOKUP($A109,'Data Vlaue (Cr)'!$C:$FB,119)</f>
        <v>0.66</v>
      </c>
      <c r="Q109" s="75">
        <f>VLOOKUP($A109,'Data Vlaue (Cr)'!$C:$FB,122)*100</f>
        <v>13.79</v>
      </c>
      <c r="R109" s="75">
        <f>VLOOKUP($A109,'Data Vlaue (Cr)'!$C:$FB,125)</f>
        <v>0.57999999999999996</v>
      </c>
      <c r="S109" s="75">
        <f>VLOOKUP($A109,'Data Vlaue (Cr)'!$C:$FB,128)*100</f>
        <v>18.37</v>
      </c>
    </row>
    <row r="110" spans="1:19" x14ac:dyDescent="0.25">
      <c r="A110" s="96" t="str">
        <f>'Data Vlaue (Cr)'!C101</f>
        <v>IRCTC</v>
      </c>
      <c r="B110" s="75">
        <f>VLOOKUP($A110,'Data Vlaue (Cr)'!$C:$FB,2)</f>
        <v>875</v>
      </c>
      <c r="C110" s="75">
        <f>VLOOKUP($A110,'Data Vlaue (Cr)'!$C:$FB,8)</f>
        <v>666.1</v>
      </c>
      <c r="D110" s="75">
        <f>VLOOKUP($A110,'Data Vlaue (Cr)'!$C:$FB,4)</f>
        <v>667.25</v>
      </c>
      <c r="E110" s="75">
        <f>VLOOKUP($A110,'Data Vlaue (Cr)'!$C:$FB,5)</f>
        <v>672.5</v>
      </c>
      <c r="F110" s="75">
        <f t="shared" si="6"/>
        <v>1.1499999999999773</v>
      </c>
      <c r="G110" s="75">
        <f t="shared" si="7"/>
        <v>-0.78681153990258523</v>
      </c>
      <c r="H110" s="75">
        <f>VLOOKUP($A110,'Data Vlaue (Cr)'!$C:$FB,99)</f>
        <v>2561</v>
      </c>
      <c r="I110" s="75">
        <f>VLOOKUP($A110,'Data Vlaue (Cr)'!$C:$FB,100)</f>
        <v>2514</v>
      </c>
      <c r="J110" s="75">
        <f t="shared" si="8"/>
        <v>47</v>
      </c>
      <c r="K110" s="75">
        <f t="shared" si="9"/>
        <v>1.8352206169465053</v>
      </c>
      <c r="L110" s="75">
        <f>VLOOKUP($A110,'Data Vlaue (Cr)'!$C:$FB,67)</f>
        <v>691</v>
      </c>
      <c r="M110" s="75">
        <f>VLOOKUP($A110,'Data Vlaue (Cr)'!$C:$FB,68)</f>
        <v>422</v>
      </c>
      <c r="N110" s="75">
        <f t="shared" si="10"/>
        <v>269</v>
      </c>
      <c r="O110" s="75">
        <f t="shared" si="11"/>
        <v>38.929088277858177</v>
      </c>
      <c r="P110" s="75">
        <f>VLOOKUP($A110,'Data Vlaue (Cr)'!$C:$FB,119)</f>
        <v>0.7</v>
      </c>
      <c r="Q110" s="75">
        <f>VLOOKUP($A110,'Data Vlaue (Cr)'!$C:$FB,122)*100</f>
        <v>4.4799999999999995</v>
      </c>
      <c r="R110" s="75">
        <f>VLOOKUP($A110,'Data Vlaue (Cr)'!$C:$FB,125)</f>
        <v>0.63</v>
      </c>
      <c r="S110" s="75">
        <f>VLOOKUP($A110,'Data Vlaue (Cr)'!$C:$FB,128)*100</f>
        <v>65.790000000000006</v>
      </c>
    </row>
    <row r="111" spans="1:19" x14ac:dyDescent="0.25">
      <c r="A111" s="96" t="str">
        <f>'Data Vlaue (Cr)'!C102</f>
        <v>IREDA</v>
      </c>
      <c r="B111" s="75">
        <f>VLOOKUP($A111,'Data Vlaue (Cr)'!$C:$FB,2)</f>
        <v>3450</v>
      </c>
      <c r="C111" s="75">
        <f>VLOOKUP($A111,'Data Vlaue (Cr)'!$C:$FB,8)</f>
        <v>131.43</v>
      </c>
      <c r="D111" s="75">
        <f>VLOOKUP($A111,'Data Vlaue (Cr)'!$C:$FB,4)</f>
        <v>131.16999999999999</v>
      </c>
      <c r="E111" s="75">
        <f>VLOOKUP($A111,'Data Vlaue (Cr)'!$C:$FB,5)</f>
        <v>133.68</v>
      </c>
      <c r="F111" s="75">
        <f t="shared" si="6"/>
        <v>-0.26000000000001933</v>
      </c>
      <c r="G111" s="75">
        <f t="shared" si="7"/>
        <v>-1.9135473050240295</v>
      </c>
      <c r="H111" s="75">
        <f>VLOOKUP($A111,'Data Vlaue (Cr)'!$C:$FB,99)</f>
        <v>1479</v>
      </c>
      <c r="I111" s="75">
        <f>VLOOKUP($A111,'Data Vlaue (Cr)'!$C:$FB,100)</f>
        <v>1431</v>
      </c>
      <c r="J111" s="75">
        <f t="shared" si="8"/>
        <v>48</v>
      </c>
      <c r="K111" s="75">
        <f t="shared" si="9"/>
        <v>3.2454361054766734</v>
      </c>
      <c r="L111" s="75">
        <f>VLOOKUP($A111,'Data Vlaue (Cr)'!$C:$FB,67)</f>
        <v>384</v>
      </c>
      <c r="M111" s="75">
        <f>VLOOKUP($A111,'Data Vlaue (Cr)'!$C:$FB,68)</f>
        <v>262</v>
      </c>
      <c r="N111" s="75">
        <f t="shared" si="10"/>
        <v>122</v>
      </c>
      <c r="O111" s="75">
        <f t="shared" si="11"/>
        <v>31.770833333333332</v>
      </c>
      <c r="P111" s="75">
        <f>VLOOKUP($A111,'Data Vlaue (Cr)'!$C:$FB,119)</f>
        <v>0.5</v>
      </c>
      <c r="Q111" s="75">
        <f>VLOOKUP($A111,'Data Vlaue (Cr)'!$C:$FB,122)*100</f>
        <v>2.04</v>
      </c>
      <c r="R111" s="75">
        <f>VLOOKUP($A111,'Data Vlaue (Cr)'!$C:$FB,125)</f>
        <v>0.32</v>
      </c>
      <c r="S111" s="75">
        <f>VLOOKUP($A111,'Data Vlaue (Cr)'!$C:$FB,128)*100</f>
        <v>28.000000000000004</v>
      </c>
    </row>
    <row r="112" spans="1:19" x14ac:dyDescent="0.25">
      <c r="A112" s="96" t="str">
        <f>'Data Vlaue (Cr)'!C103</f>
        <v>IRFC</v>
      </c>
      <c r="B112" s="75">
        <f>VLOOKUP($A112,'Data Vlaue (Cr)'!$C:$FB,2)</f>
        <v>4250</v>
      </c>
      <c r="C112" s="75">
        <f>VLOOKUP($A112,'Data Vlaue (Cr)'!$C:$FB,8)</f>
        <v>111.08</v>
      </c>
      <c r="D112" s="75">
        <f>VLOOKUP($A112,'Data Vlaue (Cr)'!$C:$FB,4)</f>
        <v>111.25</v>
      </c>
      <c r="E112" s="75">
        <f>VLOOKUP($A112,'Data Vlaue (Cr)'!$C:$FB,5)</f>
        <v>112.07</v>
      </c>
      <c r="F112" s="75">
        <f t="shared" si="6"/>
        <v>0.17000000000000171</v>
      </c>
      <c r="G112" s="75">
        <f t="shared" si="7"/>
        <v>-0.73707865168538711</v>
      </c>
      <c r="H112" s="75">
        <f>VLOOKUP($A112,'Data Vlaue (Cr)'!$C:$FB,99)</f>
        <v>1256</v>
      </c>
      <c r="I112" s="75">
        <f>VLOOKUP($A112,'Data Vlaue (Cr)'!$C:$FB,100)</f>
        <v>1235</v>
      </c>
      <c r="J112" s="75">
        <f t="shared" si="8"/>
        <v>21</v>
      </c>
      <c r="K112" s="75">
        <f t="shared" si="9"/>
        <v>1.6719745222929936</v>
      </c>
      <c r="L112" s="75">
        <f>VLOOKUP($A112,'Data Vlaue (Cr)'!$C:$FB,67)</f>
        <v>405</v>
      </c>
      <c r="M112" s="75">
        <f>VLOOKUP($A112,'Data Vlaue (Cr)'!$C:$FB,68)</f>
        <v>272</v>
      </c>
      <c r="N112" s="75">
        <f t="shared" si="10"/>
        <v>133</v>
      </c>
      <c r="O112" s="75">
        <f t="shared" si="11"/>
        <v>32.839506172839506</v>
      </c>
      <c r="P112" s="75">
        <f>VLOOKUP($A112,'Data Vlaue (Cr)'!$C:$FB,119)</f>
        <v>0.48</v>
      </c>
      <c r="Q112" s="75">
        <f>VLOOKUP($A112,'Data Vlaue (Cr)'!$C:$FB,122)*100</f>
        <v>2.13</v>
      </c>
      <c r="R112" s="75">
        <f>VLOOKUP($A112,'Data Vlaue (Cr)'!$C:$FB,125)</f>
        <v>0.42</v>
      </c>
      <c r="S112" s="75">
        <f>VLOOKUP($A112,'Data Vlaue (Cr)'!$C:$FB,128)*100</f>
        <v>-8.6999999999999993</v>
      </c>
    </row>
    <row r="113" spans="1:19" x14ac:dyDescent="0.25">
      <c r="A113" s="96" t="str">
        <f>'Data Vlaue (Cr)'!C104</f>
        <v>ITC</v>
      </c>
      <c r="B113" s="75">
        <f>VLOOKUP($A113,'Data Vlaue (Cr)'!$C:$FB,2)</f>
        <v>1600</v>
      </c>
      <c r="C113" s="75">
        <f>VLOOKUP($A113,'Data Vlaue (Cr)'!$C:$FB,8)</f>
        <v>399.8</v>
      </c>
      <c r="D113" s="75">
        <f>VLOOKUP($A113,'Data Vlaue (Cr)'!$C:$FB,4)</f>
        <v>401.05</v>
      </c>
      <c r="E113" s="75">
        <f>VLOOKUP($A113,'Data Vlaue (Cr)'!$C:$FB,5)</f>
        <v>403.2</v>
      </c>
      <c r="F113" s="75">
        <f t="shared" si="6"/>
        <v>1.25</v>
      </c>
      <c r="G113" s="75">
        <f t="shared" si="7"/>
        <v>-0.53609275651414467</v>
      </c>
      <c r="H113" s="75">
        <f>VLOOKUP($A113,'Data Vlaue (Cr)'!$C:$FB,99)</f>
        <v>11077</v>
      </c>
      <c r="I113" s="75">
        <f>VLOOKUP($A113,'Data Vlaue (Cr)'!$C:$FB,100)</f>
        <v>10900</v>
      </c>
      <c r="J113" s="75">
        <f t="shared" si="8"/>
        <v>177</v>
      </c>
      <c r="K113" s="75">
        <f t="shared" si="9"/>
        <v>1.5979055701002074</v>
      </c>
      <c r="L113" s="75">
        <f>VLOOKUP($A113,'Data Vlaue (Cr)'!$C:$FB,67)</f>
        <v>2915</v>
      </c>
      <c r="M113" s="75">
        <f>VLOOKUP($A113,'Data Vlaue (Cr)'!$C:$FB,68)</f>
        <v>4375</v>
      </c>
      <c r="N113" s="75">
        <f t="shared" si="10"/>
        <v>-1460</v>
      </c>
      <c r="O113" s="75">
        <f t="shared" si="11"/>
        <v>-50.085763293310457</v>
      </c>
      <c r="P113" s="75">
        <f>VLOOKUP($A113,'Data Vlaue (Cr)'!$C:$FB,119)</f>
        <v>0.62</v>
      </c>
      <c r="Q113" s="75">
        <f>VLOOKUP($A113,'Data Vlaue (Cr)'!$C:$FB,122)*100</f>
        <v>-3.1300000000000003</v>
      </c>
      <c r="R113" s="75">
        <f>VLOOKUP($A113,'Data Vlaue (Cr)'!$C:$FB,125)</f>
        <v>0.48</v>
      </c>
      <c r="S113" s="75">
        <f>VLOOKUP($A113,'Data Vlaue (Cr)'!$C:$FB,128)*100</f>
        <v>-21.310000000000002</v>
      </c>
    </row>
    <row r="114" spans="1:19" x14ac:dyDescent="0.25">
      <c r="A114" s="96" t="str">
        <f>'Data Vlaue (Cr)'!C105</f>
        <v>JINDALSTEL</v>
      </c>
      <c r="B114" s="75">
        <f>VLOOKUP($A114,'Data Vlaue (Cr)'!$C:$FB,2)</f>
        <v>625</v>
      </c>
      <c r="C114" s="75">
        <f>VLOOKUP($A114,'Data Vlaue (Cr)'!$C:$FB,8)</f>
        <v>1001.5</v>
      </c>
      <c r="D114" s="75">
        <f>VLOOKUP($A114,'Data Vlaue (Cr)'!$C:$FB,4)</f>
        <v>1003.9</v>
      </c>
      <c r="E114" s="75">
        <f>VLOOKUP($A114,'Data Vlaue (Cr)'!$C:$FB,5)</f>
        <v>1012.5</v>
      </c>
      <c r="F114" s="75">
        <f t="shared" si="6"/>
        <v>2.3999999999999773</v>
      </c>
      <c r="G114" s="75">
        <f t="shared" si="7"/>
        <v>-0.85665902978384523</v>
      </c>
      <c r="H114" s="75">
        <f>VLOOKUP($A114,'Data Vlaue (Cr)'!$C:$FB,99)</f>
        <v>2209</v>
      </c>
      <c r="I114" s="75">
        <f>VLOOKUP($A114,'Data Vlaue (Cr)'!$C:$FB,100)</f>
        <v>2159</v>
      </c>
      <c r="J114" s="75">
        <f t="shared" si="8"/>
        <v>50</v>
      </c>
      <c r="K114" s="75">
        <f t="shared" si="9"/>
        <v>2.2634676324128562</v>
      </c>
      <c r="L114" s="75">
        <f>VLOOKUP($A114,'Data Vlaue (Cr)'!$C:$FB,67)</f>
        <v>818</v>
      </c>
      <c r="M114" s="75">
        <f>VLOOKUP($A114,'Data Vlaue (Cr)'!$C:$FB,68)</f>
        <v>884</v>
      </c>
      <c r="N114" s="75">
        <f t="shared" si="10"/>
        <v>-66</v>
      </c>
      <c r="O114" s="75">
        <f t="shared" si="11"/>
        <v>-8.0684596577017107</v>
      </c>
      <c r="P114" s="75">
        <f>VLOOKUP($A114,'Data Vlaue (Cr)'!$C:$FB,119)</f>
        <v>0.6</v>
      </c>
      <c r="Q114" s="75">
        <f>VLOOKUP($A114,'Data Vlaue (Cr)'!$C:$FB,122)*100</f>
        <v>-3.2300000000000004</v>
      </c>
      <c r="R114" s="75">
        <f>VLOOKUP($A114,'Data Vlaue (Cr)'!$C:$FB,125)</f>
        <v>0.55000000000000004</v>
      </c>
      <c r="S114" s="75">
        <f>VLOOKUP($A114,'Data Vlaue (Cr)'!$C:$FB,128)*100</f>
        <v>-33.729999999999997</v>
      </c>
    </row>
    <row r="115" spans="1:19" x14ac:dyDescent="0.25">
      <c r="A115" s="96" t="str">
        <f>'Data Vlaue (Cr)'!C106</f>
        <v>JIOFIN</v>
      </c>
      <c r="B115" s="75">
        <f>VLOOKUP($A115,'Data Vlaue (Cr)'!$C:$FB,2)</f>
        <v>2350</v>
      </c>
      <c r="C115" s="75">
        <f>VLOOKUP($A115,'Data Vlaue (Cr)'!$C:$FB,8)</f>
        <v>293.14999999999998</v>
      </c>
      <c r="D115" s="75">
        <f>VLOOKUP($A115,'Data Vlaue (Cr)'!$C:$FB,4)</f>
        <v>293.7</v>
      </c>
      <c r="E115" s="75">
        <f>VLOOKUP($A115,'Data Vlaue (Cr)'!$C:$FB,5)</f>
        <v>295.85000000000002</v>
      </c>
      <c r="F115" s="75">
        <f t="shared" si="6"/>
        <v>0.55000000000001137</v>
      </c>
      <c r="G115" s="75">
        <f t="shared" si="7"/>
        <v>-0.73203949608445151</v>
      </c>
      <c r="H115" s="75">
        <f>VLOOKUP($A115,'Data Vlaue (Cr)'!$C:$FB,99)</f>
        <v>8066</v>
      </c>
      <c r="I115" s="75">
        <f>VLOOKUP($A115,'Data Vlaue (Cr)'!$C:$FB,100)</f>
        <v>7972</v>
      </c>
      <c r="J115" s="75">
        <f t="shared" si="8"/>
        <v>94</v>
      </c>
      <c r="K115" s="75">
        <f t="shared" si="9"/>
        <v>1.1653855690552939</v>
      </c>
      <c r="L115" s="75">
        <f>VLOOKUP($A115,'Data Vlaue (Cr)'!$C:$FB,67)</f>
        <v>1751</v>
      </c>
      <c r="M115" s="75">
        <f>VLOOKUP($A115,'Data Vlaue (Cr)'!$C:$FB,68)</f>
        <v>1767</v>
      </c>
      <c r="N115" s="75">
        <f t="shared" si="10"/>
        <v>-16</v>
      </c>
      <c r="O115" s="75">
        <f t="shared" si="11"/>
        <v>-0.91376356367789835</v>
      </c>
      <c r="P115" s="75">
        <f>VLOOKUP($A115,'Data Vlaue (Cr)'!$C:$FB,119)</f>
        <v>0.68</v>
      </c>
      <c r="Q115" s="75">
        <f>VLOOKUP($A115,'Data Vlaue (Cr)'!$C:$FB,122)*100</f>
        <v>-2.86</v>
      </c>
      <c r="R115" s="75">
        <f>VLOOKUP($A115,'Data Vlaue (Cr)'!$C:$FB,125)</f>
        <v>0.36</v>
      </c>
      <c r="S115" s="75">
        <f>VLOOKUP($A115,'Data Vlaue (Cr)'!$C:$FB,128)*100</f>
        <v>-14.29</v>
      </c>
    </row>
    <row r="116" spans="1:19" x14ac:dyDescent="0.25">
      <c r="A116" s="96" t="str">
        <f>'Data Vlaue (Cr)'!C107</f>
        <v>JSWENERGY</v>
      </c>
      <c r="B116" s="75">
        <f>VLOOKUP($A116,'Data Vlaue (Cr)'!$C:$FB,2)</f>
        <v>1000</v>
      </c>
      <c r="C116" s="75">
        <f>VLOOKUP($A116,'Data Vlaue (Cr)'!$C:$FB,8)</f>
        <v>475.25</v>
      </c>
      <c r="D116" s="75">
        <f>VLOOKUP($A116,'Data Vlaue (Cr)'!$C:$FB,4)</f>
        <v>475.8</v>
      </c>
      <c r="E116" s="75">
        <f>VLOOKUP($A116,'Data Vlaue (Cr)'!$C:$FB,5)</f>
        <v>479.2</v>
      </c>
      <c r="F116" s="75">
        <f t="shared" si="6"/>
        <v>0.55000000000001137</v>
      </c>
      <c r="G116" s="75">
        <f t="shared" si="7"/>
        <v>-0.71458596048759504</v>
      </c>
      <c r="H116" s="75">
        <f>VLOOKUP($A116,'Data Vlaue (Cr)'!$C:$FB,99)</f>
        <v>3483</v>
      </c>
      <c r="I116" s="75">
        <f>VLOOKUP($A116,'Data Vlaue (Cr)'!$C:$FB,100)</f>
        <v>3519</v>
      </c>
      <c r="J116" s="75">
        <f t="shared" si="8"/>
        <v>-36</v>
      </c>
      <c r="K116" s="75">
        <f t="shared" si="9"/>
        <v>-1.03359173126615</v>
      </c>
      <c r="L116" s="75">
        <f>VLOOKUP($A116,'Data Vlaue (Cr)'!$C:$FB,67)</f>
        <v>907</v>
      </c>
      <c r="M116" s="75">
        <f>VLOOKUP($A116,'Data Vlaue (Cr)'!$C:$FB,68)</f>
        <v>1372</v>
      </c>
      <c r="N116" s="75">
        <f t="shared" si="10"/>
        <v>-465</v>
      </c>
      <c r="O116" s="75">
        <f t="shared" si="11"/>
        <v>-51.267916207276734</v>
      </c>
      <c r="P116" s="75">
        <f>VLOOKUP($A116,'Data Vlaue (Cr)'!$C:$FB,119)</f>
        <v>0.68</v>
      </c>
      <c r="Q116" s="75">
        <f>VLOOKUP($A116,'Data Vlaue (Cr)'!$C:$FB,122)*100</f>
        <v>0</v>
      </c>
      <c r="R116" s="75">
        <f>VLOOKUP($A116,'Data Vlaue (Cr)'!$C:$FB,125)</f>
        <v>0.6</v>
      </c>
      <c r="S116" s="75">
        <f>VLOOKUP($A116,'Data Vlaue (Cr)'!$C:$FB,128)*100</f>
        <v>-21.05</v>
      </c>
    </row>
    <row r="117" spans="1:19" x14ac:dyDescent="0.25">
      <c r="A117" s="96" t="str">
        <f>'Data Vlaue (Cr)'!C108</f>
        <v>JSWSTEEL</v>
      </c>
      <c r="B117" s="75">
        <f>VLOOKUP($A117,'Data Vlaue (Cr)'!$C:$FB,2)</f>
        <v>675</v>
      </c>
      <c r="C117" s="75">
        <f>VLOOKUP($A117,'Data Vlaue (Cr)'!$C:$FB,8)</f>
        <v>1079.3</v>
      </c>
      <c r="D117" s="75">
        <f>VLOOKUP($A117,'Data Vlaue (Cr)'!$C:$FB,4)</f>
        <v>1083.2</v>
      </c>
      <c r="E117" s="75">
        <f>VLOOKUP($A117,'Data Vlaue (Cr)'!$C:$FB,5)</f>
        <v>1085.7</v>
      </c>
      <c r="F117" s="75">
        <f t="shared" si="6"/>
        <v>3.9000000000000909</v>
      </c>
      <c r="G117" s="75">
        <f t="shared" si="7"/>
        <v>-0.2307976366322009</v>
      </c>
      <c r="H117" s="75">
        <f>VLOOKUP($A117,'Data Vlaue (Cr)'!$C:$FB,99)</f>
        <v>8695</v>
      </c>
      <c r="I117" s="75">
        <f>VLOOKUP($A117,'Data Vlaue (Cr)'!$C:$FB,100)</f>
        <v>8643</v>
      </c>
      <c r="J117" s="75">
        <f t="shared" si="8"/>
        <v>52</v>
      </c>
      <c r="K117" s="75">
        <f t="shared" si="9"/>
        <v>0.59804485336400226</v>
      </c>
      <c r="L117" s="75">
        <f>VLOOKUP($A117,'Data Vlaue (Cr)'!$C:$FB,67)</f>
        <v>2419</v>
      </c>
      <c r="M117" s="75">
        <f>VLOOKUP($A117,'Data Vlaue (Cr)'!$C:$FB,68)</f>
        <v>4063</v>
      </c>
      <c r="N117" s="75">
        <f t="shared" si="10"/>
        <v>-1644</v>
      </c>
      <c r="O117" s="75">
        <f t="shared" si="11"/>
        <v>-67.961967755270763</v>
      </c>
      <c r="P117" s="75">
        <f>VLOOKUP($A117,'Data Vlaue (Cr)'!$C:$FB,119)</f>
        <v>0.51</v>
      </c>
      <c r="Q117" s="75">
        <f>VLOOKUP($A117,'Data Vlaue (Cr)'!$C:$FB,122)*100</f>
        <v>-3.7699999999999996</v>
      </c>
      <c r="R117" s="75">
        <f>VLOOKUP($A117,'Data Vlaue (Cr)'!$C:$FB,125)</f>
        <v>0.37</v>
      </c>
      <c r="S117" s="75">
        <f>VLOOKUP($A117,'Data Vlaue (Cr)'!$C:$FB,128)*100</f>
        <v>-31.480000000000004</v>
      </c>
    </row>
    <row r="118" spans="1:19" x14ac:dyDescent="0.25">
      <c r="A118" s="96" t="str">
        <f>'Data Vlaue (Cr)'!C109</f>
        <v>JUBLFOOD</v>
      </c>
      <c r="B118" s="75">
        <f>VLOOKUP($A118,'Data Vlaue (Cr)'!$C:$FB,2)</f>
        <v>1250</v>
      </c>
      <c r="C118" s="75">
        <f>VLOOKUP($A118,'Data Vlaue (Cr)'!$C:$FB,8)</f>
        <v>554.04999999999995</v>
      </c>
      <c r="D118" s="75">
        <f>VLOOKUP($A118,'Data Vlaue (Cr)'!$C:$FB,4)</f>
        <v>554.70000000000005</v>
      </c>
      <c r="E118" s="75">
        <f>VLOOKUP($A118,'Data Vlaue (Cr)'!$C:$FB,5)</f>
        <v>561.04999999999995</v>
      </c>
      <c r="F118" s="75">
        <f t="shared" si="6"/>
        <v>0.65000000000009095</v>
      </c>
      <c r="G118" s="75">
        <f t="shared" si="7"/>
        <v>-1.1447629349197601</v>
      </c>
      <c r="H118" s="75">
        <f>VLOOKUP($A118,'Data Vlaue (Cr)'!$C:$FB,99)</f>
        <v>2491</v>
      </c>
      <c r="I118" s="75">
        <f>VLOOKUP($A118,'Data Vlaue (Cr)'!$C:$FB,100)</f>
        <v>2359</v>
      </c>
      <c r="J118" s="75">
        <f t="shared" si="8"/>
        <v>132</v>
      </c>
      <c r="K118" s="75">
        <f t="shared" si="9"/>
        <v>5.2990766760337209</v>
      </c>
      <c r="L118" s="75">
        <f>VLOOKUP($A118,'Data Vlaue (Cr)'!$C:$FB,67)</f>
        <v>1501</v>
      </c>
      <c r="M118" s="75">
        <f>VLOOKUP($A118,'Data Vlaue (Cr)'!$C:$FB,68)</f>
        <v>2148</v>
      </c>
      <c r="N118" s="75">
        <f t="shared" si="10"/>
        <v>-647</v>
      </c>
      <c r="O118" s="75">
        <f t="shared" si="11"/>
        <v>-43.104596935376414</v>
      </c>
      <c r="P118" s="75">
        <f>VLOOKUP($A118,'Data Vlaue (Cr)'!$C:$FB,119)</f>
        <v>0.56000000000000005</v>
      </c>
      <c r="Q118" s="75">
        <f>VLOOKUP($A118,'Data Vlaue (Cr)'!$C:$FB,122)*100</f>
        <v>-8.2000000000000011</v>
      </c>
      <c r="R118" s="75">
        <f>VLOOKUP($A118,'Data Vlaue (Cr)'!$C:$FB,125)</f>
        <v>0.63</v>
      </c>
      <c r="S118" s="75">
        <f>VLOOKUP($A118,'Data Vlaue (Cr)'!$C:$FB,128)*100</f>
        <v>-4.55</v>
      </c>
    </row>
    <row r="119" spans="1:19" x14ac:dyDescent="0.25">
      <c r="A119" s="96" t="str">
        <f>'Data Vlaue (Cr)'!C110</f>
        <v>KALYANKJIL</v>
      </c>
      <c r="B119" s="75">
        <f>VLOOKUP($A119,'Data Vlaue (Cr)'!$C:$FB,2)</f>
        <v>1175</v>
      </c>
      <c r="C119" s="75">
        <f>VLOOKUP($A119,'Data Vlaue (Cr)'!$C:$FB,8)</f>
        <v>474.85</v>
      </c>
      <c r="D119" s="75">
        <f>VLOOKUP($A119,'Data Vlaue (Cr)'!$C:$FB,4)</f>
        <v>475.3</v>
      </c>
      <c r="E119" s="75">
        <f>VLOOKUP($A119,'Data Vlaue (Cr)'!$C:$FB,5)</f>
        <v>479.65</v>
      </c>
      <c r="F119" s="75">
        <f t="shared" si="6"/>
        <v>0.44999999999998863</v>
      </c>
      <c r="G119" s="75">
        <f t="shared" si="7"/>
        <v>-0.91521144540289634</v>
      </c>
      <c r="H119" s="75">
        <f>VLOOKUP($A119,'Data Vlaue (Cr)'!$C:$FB,99)</f>
        <v>2461</v>
      </c>
      <c r="I119" s="75">
        <f>VLOOKUP($A119,'Data Vlaue (Cr)'!$C:$FB,100)</f>
        <v>2406</v>
      </c>
      <c r="J119" s="75">
        <f t="shared" si="8"/>
        <v>55</v>
      </c>
      <c r="K119" s="75">
        <f t="shared" si="9"/>
        <v>2.2348638764729785</v>
      </c>
      <c r="L119" s="75">
        <f>VLOOKUP($A119,'Data Vlaue (Cr)'!$C:$FB,67)</f>
        <v>924</v>
      </c>
      <c r="M119" s="75">
        <f>VLOOKUP($A119,'Data Vlaue (Cr)'!$C:$FB,68)</f>
        <v>495</v>
      </c>
      <c r="N119" s="75">
        <f t="shared" si="10"/>
        <v>429</v>
      </c>
      <c r="O119" s="75">
        <f t="shared" si="11"/>
        <v>46.428571428571431</v>
      </c>
      <c r="P119" s="75">
        <f>VLOOKUP($A119,'Data Vlaue (Cr)'!$C:$FB,119)</f>
        <v>0.55000000000000004</v>
      </c>
      <c r="Q119" s="75">
        <f>VLOOKUP($A119,'Data Vlaue (Cr)'!$C:$FB,122)*100</f>
        <v>-6.78</v>
      </c>
      <c r="R119" s="75">
        <f>VLOOKUP($A119,'Data Vlaue (Cr)'!$C:$FB,125)</f>
        <v>0.55000000000000004</v>
      </c>
      <c r="S119" s="75">
        <f>VLOOKUP($A119,'Data Vlaue (Cr)'!$C:$FB,128)*100</f>
        <v>77.42</v>
      </c>
    </row>
    <row r="120" spans="1:19" x14ac:dyDescent="0.25">
      <c r="A120" s="96" t="str">
        <f>'Data Vlaue (Cr)'!C111</f>
        <v>KAYNES</v>
      </c>
      <c r="B120" s="75">
        <f>VLOOKUP($A120,'Data Vlaue (Cr)'!$C:$FB,2)</f>
        <v>100</v>
      </c>
      <c r="C120" s="75">
        <f>VLOOKUP($A120,'Data Vlaue (Cr)'!$C:$FB,8)</f>
        <v>4093.5</v>
      </c>
      <c r="D120" s="75">
        <f>VLOOKUP($A120,'Data Vlaue (Cr)'!$C:$FB,4)</f>
        <v>4098.5</v>
      </c>
      <c r="E120" s="75">
        <f>VLOOKUP($A120,'Data Vlaue (Cr)'!$C:$FB,5)</f>
        <v>4194.5</v>
      </c>
      <c r="F120" s="75">
        <f t="shared" si="6"/>
        <v>5</v>
      </c>
      <c r="G120" s="75">
        <f t="shared" si="7"/>
        <v>-2.3423203611077223</v>
      </c>
      <c r="H120" s="75">
        <f>VLOOKUP($A120,'Data Vlaue (Cr)'!$C:$FB,99)</f>
        <v>6354</v>
      </c>
      <c r="I120" s="75">
        <f>VLOOKUP($A120,'Data Vlaue (Cr)'!$C:$FB,100)</f>
        <v>6247</v>
      </c>
      <c r="J120" s="75">
        <f t="shared" si="8"/>
        <v>107</v>
      </c>
      <c r="K120" s="75">
        <f t="shared" si="9"/>
        <v>1.6839785961598994</v>
      </c>
      <c r="L120" s="75">
        <f>VLOOKUP($A120,'Data Vlaue (Cr)'!$C:$FB,67)</f>
        <v>6822</v>
      </c>
      <c r="M120" s="75">
        <f>VLOOKUP($A120,'Data Vlaue (Cr)'!$C:$FB,68)</f>
        <v>4914</v>
      </c>
      <c r="N120" s="75">
        <f t="shared" si="10"/>
        <v>1908</v>
      </c>
      <c r="O120" s="75">
        <f t="shared" si="11"/>
        <v>27.968337730870712</v>
      </c>
      <c r="P120" s="75">
        <f>VLOOKUP($A120,'Data Vlaue (Cr)'!$C:$FB,119)</f>
        <v>0.4</v>
      </c>
      <c r="Q120" s="75">
        <f>VLOOKUP($A120,'Data Vlaue (Cr)'!$C:$FB,122)*100</f>
        <v>0</v>
      </c>
      <c r="R120" s="75">
        <f>VLOOKUP($A120,'Data Vlaue (Cr)'!$C:$FB,125)</f>
        <v>0.5</v>
      </c>
      <c r="S120" s="75">
        <f>VLOOKUP($A120,'Data Vlaue (Cr)'!$C:$FB,128)*100</f>
        <v>4.17</v>
      </c>
    </row>
    <row r="121" spans="1:19" x14ac:dyDescent="0.25">
      <c r="A121" s="96" t="str">
        <f>'Data Vlaue (Cr)'!C112</f>
        <v>KEI</v>
      </c>
      <c r="B121" s="75">
        <f>VLOOKUP($A121,'Data Vlaue (Cr)'!$C:$FB,2)</f>
        <v>175</v>
      </c>
      <c r="C121" s="75">
        <f>VLOOKUP($A121,'Data Vlaue (Cr)'!$C:$FB,8)</f>
        <v>4106.6000000000004</v>
      </c>
      <c r="D121" s="75">
        <f>VLOOKUP($A121,'Data Vlaue (Cr)'!$C:$FB,4)</f>
        <v>4119.8999999999996</v>
      </c>
      <c r="E121" s="75">
        <f>VLOOKUP($A121,'Data Vlaue (Cr)'!$C:$FB,5)</f>
        <v>4165.6000000000004</v>
      </c>
      <c r="F121" s="75">
        <f t="shared" si="6"/>
        <v>13.299999999999272</v>
      </c>
      <c r="G121" s="75">
        <f t="shared" si="7"/>
        <v>-1.1092502245200304</v>
      </c>
      <c r="H121" s="75">
        <f>VLOOKUP($A121,'Data Vlaue (Cr)'!$C:$FB,99)</f>
        <v>948</v>
      </c>
      <c r="I121" s="75">
        <f>VLOOKUP($A121,'Data Vlaue (Cr)'!$C:$FB,100)</f>
        <v>865</v>
      </c>
      <c r="J121" s="75">
        <f t="shared" si="8"/>
        <v>83</v>
      </c>
      <c r="K121" s="75">
        <f t="shared" si="9"/>
        <v>8.7552742616033754</v>
      </c>
      <c r="L121" s="75">
        <f>VLOOKUP($A121,'Data Vlaue (Cr)'!$C:$FB,67)</f>
        <v>926</v>
      </c>
      <c r="M121" s="75">
        <f>VLOOKUP($A121,'Data Vlaue (Cr)'!$C:$FB,68)</f>
        <v>355</v>
      </c>
      <c r="N121" s="75">
        <f t="shared" si="10"/>
        <v>571</v>
      </c>
      <c r="O121" s="75">
        <f t="shared" si="11"/>
        <v>61.663066954643632</v>
      </c>
      <c r="P121" s="75">
        <f>VLOOKUP($A121,'Data Vlaue (Cr)'!$C:$FB,119)</f>
        <v>0.67</v>
      </c>
      <c r="Q121" s="75">
        <f>VLOOKUP($A121,'Data Vlaue (Cr)'!$C:$FB,122)*100</f>
        <v>8.06</v>
      </c>
      <c r="R121" s="75">
        <f>VLOOKUP($A121,'Data Vlaue (Cr)'!$C:$FB,125)</f>
        <v>1.67</v>
      </c>
      <c r="S121" s="75">
        <f>VLOOKUP($A121,'Data Vlaue (Cr)'!$C:$FB,128)*100</f>
        <v>153.03</v>
      </c>
    </row>
    <row r="122" spans="1:19" x14ac:dyDescent="0.25">
      <c r="A122" s="96" t="str">
        <f>'Data Vlaue (Cr)'!C113</f>
        <v>KFINTECH</v>
      </c>
      <c r="B122" s="75">
        <f>VLOOKUP($A122,'Data Vlaue (Cr)'!$C:$FB,2)</f>
        <v>450</v>
      </c>
      <c r="C122" s="75">
        <f>VLOOKUP($A122,'Data Vlaue (Cr)'!$C:$FB,8)</f>
        <v>1031.3</v>
      </c>
      <c r="D122" s="75">
        <f>VLOOKUP($A122,'Data Vlaue (Cr)'!$C:$FB,4)</f>
        <v>1031.4000000000001</v>
      </c>
      <c r="E122" s="75">
        <f>VLOOKUP($A122,'Data Vlaue (Cr)'!$C:$FB,5)</f>
        <v>1035.2</v>
      </c>
      <c r="F122" s="75">
        <f t="shared" si="6"/>
        <v>0.10000000000013642</v>
      </c>
      <c r="G122" s="75">
        <f t="shared" si="7"/>
        <v>-0.36843125848361002</v>
      </c>
      <c r="H122" s="75">
        <f>VLOOKUP($A122,'Data Vlaue (Cr)'!$C:$FB,99)</f>
        <v>887</v>
      </c>
      <c r="I122" s="75">
        <f>VLOOKUP($A122,'Data Vlaue (Cr)'!$C:$FB,100)</f>
        <v>885</v>
      </c>
      <c r="J122" s="75">
        <f t="shared" si="8"/>
        <v>2</v>
      </c>
      <c r="K122" s="75">
        <f t="shared" si="9"/>
        <v>0.22547914317925591</v>
      </c>
      <c r="L122" s="75">
        <f>VLOOKUP($A122,'Data Vlaue (Cr)'!$C:$FB,67)</f>
        <v>250</v>
      </c>
      <c r="M122" s="75">
        <f>VLOOKUP($A122,'Data Vlaue (Cr)'!$C:$FB,68)</f>
        <v>354</v>
      </c>
      <c r="N122" s="75">
        <f t="shared" si="10"/>
        <v>-104</v>
      </c>
      <c r="O122" s="75">
        <f t="shared" si="11"/>
        <v>-41.6</v>
      </c>
      <c r="P122" s="75">
        <f>VLOOKUP($A122,'Data Vlaue (Cr)'!$C:$FB,119)</f>
        <v>0.64</v>
      </c>
      <c r="Q122" s="75">
        <f>VLOOKUP($A122,'Data Vlaue (Cr)'!$C:$FB,122)*100</f>
        <v>1.59</v>
      </c>
      <c r="R122" s="75">
        <f>VLOOKUP($A122,'Data Vlaue (Cr)'!$C:$FB,125)</f>
        <v>0.47</v>
      </c>
      <c r="S122" s="75">
        <f>VLOOKUP($A122,'Data Vlaue (Cr)'!$C:$FB,128)*100</f>
        <v>-2.08</v>
      </c>
    </row>
    <row r="123" spans="1:19" x14ac:dyDescent="0.25">
      <c r="A123" s="96" t="str">
        <f>'Data Vlaue (Cr)'!C114</f>
        <v>KOTAKBANK</v>
      </c>
      <c r="B123" s="75">
        <f>VLOOKUP($A123,'Data Vlaue (Cr)'!$C:$FB,2)</f>
        <v>400</v>
      </c>
      <c r="C123" s="75">
        <f>VLOOKUP($A123,'Data Vlaue (Cr)'!$C:$FB,8)</f>
        <v>2173.1999999999998</v>
      </c>
      <c r="D123" s="75">
        <f>VLOOKUP($A123,'Data Vlaue (Cr)'!$C:$FB,4)</f>
        <v>2176.6</v>
      </c>
      <c r="E123" s="75">
        <f>VLOOKUP($A123,'Data Vlaue (Cr)'!$C:$FB,5)</f>
        <v>2189</v>
      </c>
      <c r="F123" s="75">
        <f t="shared" si="6"/>
        <v>3.4000000000000909</v>
      </c>
      <c r="G123" s="75">
        <f t="shared" si="7"/>
        <v>-0.56969585592208449</v>
      </c>
      <c r="H123" s="75">
        <f>VLOOKUP($A123,'Data Vlaue (Cr)'!$C:$FB,99)</f>
        <v>12412</v>
      </c>
      <c r="I123" s="75">
        <f>VLOOKUP($A123,'Data Vlaue (Cr)'!$C:$FB,100)</f>
        <v>12429</v>
      </c>
      <c r="J123" s="75">
        <f t="shared" si="8"/>
        <v>-17</v>
      </c>
      <c r="K123" s="75">
        <f t="shared" si="9"/>
        <v>-0.1369642281662907</v>
      </c>
      <c r="L123" s="75">
        <f>VLOOKUP($A123,'Data Vlaue (Cr)'!$C:$FB,67)</f>
        <v>3623</v>
      </c>
      <c r="M123" s="75">
        <f>VLOOKUP($A123,'Data Vlaue (Cr)'!$C:$FB,68)</f>
        <v>4857</v>
      </c>
      <c r="N123" s="75">
        <f t="shared" si="10"/>
        <v>-1234</v>
      </c>
      <c r="O123" s="75">
        <f t="shared" si="11"/>
        <v>-34.060171128898702</v>
      </c>
      <c r="P123" s="75">
        <f>VLOOKUP($A123,'Data Vlaue (Cr)'!$C:$FB,119)</f>
        <v>0.85</v>
      </c>
      <c r="Q123" s="75">
        <f>VLOOKUP($A123,'Data Vlaue (Cr)'!$C:$FB,122)*100</f>
        <v>-3.4099999999999997</v>
      </c>
      <c r="R123" s="75">
        <f>VLOOKUP($A123,'Data Vlaue (Cr)'!$C:$FB,125)</f>
        <v>0.66</v>
      </c>
      <c r="S123" s="75">
        <f>VLOOKUP($A123,'Data Vlaue (Cr)'!$C:$FB,128)*100</f>
        <v>29.409999999999997</v>
      </c>
    </row>
    <row r="124" spans="1:19" x14ac:dyDescent="0.25">
      <c r="A124" s="96" t="str">
        <f>'Data Vlaue (Cr)'!C115</f>
        <v>KPITTECH</v>
      </c>
      <c r="B124" s="75">
        <f>VLOOKUP($A124,'Data Vlaue (Cr)'!$C:$FB,2)</f>
        <v>400</v>
      </c>
      <c r="C124" s="75">
        <f>VLOOKUP($A124,'Data Vlaue (Cr)'!$C:$FB,8)</f>
        <v>1168.9000000000001</v>
      </c>
      <c r="D124" s="75">
        <f>VLOOKUP($A124,'Data Vlaue (Cr)'!$C:$FB,4)</f>
        <v>1173.4000000000001</v>
      </c>
      <c r="E124" s="75">
        <f>VLOOKUP($A124,'Data Vlaue (Cr)'!$C:$FB,5)</f>
        <v>1173.5</v>
      </c>
      <c r="F124" s="75">
        <f t="shared" si="6"/>
        <v>4.5</v>
      </c>
      <c r="G124" s="75">
        <f t="shared" si="7"/>
        <v>-8.5222430543641595E-3</v>
      </c>
      <c r="H124" s="75">
        <f>VLOOKUP($A124,'Data Vlaue (Cr)'!$C:$FB,99)</f>
        <v>950</v>
      </c>
      <c r="I124" s="75">
        <f>VLOOKUP($A124,'Data Vlaue (Cr)'!$C:$FB,100)</f>
        <v>925</v>
      </c>
      <c r="J124" s="75">
        <f t="shared" si="8"/>
        <v>25</v>
      </c>
      <c r="K124" s="75">
        <f t="shared" si="9"/>
        <v>2.6315789473684208</v>
      </c>
      <c r="L124" s="75">
        <f>VLOOKUP($A124,'Data Vlaue (Cr)'!$C:$FB,67)</f>
        <v>348</v>
      </c>
      <c r="M124" s="75">
        <f>VLOOKUP($A124,'Data Vlaue (Cr)'!$C:$FB,68)</f>
        <v>1054</v>
      </c>
      <c r="N124" s="75">
        <f t="shared" si="10"/>
        <v>-706</v>
      </c>
      <c r="O124" s="75">
        <f t="shared" si="11"/>
        <v>-202.87356321839081</v>
      </c>
      <c r="P124" s="75">
        <f>VLOOKUP($A124,'Data Vlaue (Cr)'!$C:$FB,119)</f>
        <v>0.59</v>
      </c>
      <c r="Q124" s="75">
        <f>VLOOKUP($A124,'Data Vlaue (Cr)'!$C:$FB,122)*100</f>
        <v>1.72</v>
      </c>
      <c r="R124" s="75">
        <f>VLOOKUP($A124,'Data Vlaue (Cr)'!$C:$FB,125)</f>
        <v>0.66</v>
      </c>
      <c r="S124" s="75">
        <f>VLOOKUP($A124,'Data Vlaue (Cr)'!$C:$FB,128)*100</f>
        <v>8.2000000000000011</v>
      </c>
    </row>
    <row r="125" spans="1:19" x14ac:dyDescent="0.25">
      <c r="A125" s="96" t="str">
        <f>'Data Vlaue (Cr)'!C116</f>
        <v>LAURUSLABS</v>
      </c>
      <c r="B125" s="75">
        <f>VLOOKUP($A125,'Data Vlaue (Cr)'!$C:$FB,2)</f>
        <v>850</v>
      </c>
      <c r="C125" s="75">
        <f>VLOOKUP($A125,'Data Vlaue (Cr)'!$C:$FB,8)</f>
        <v>1010</v>
      </c>
      <c r="D125" s="75">
        <f>VLOOKUP($A125,'Data Vlaue (Cr)'!$C:$FB,4)</f>
        <v>1010.6</v>
      </c>
      <c r="E125" s="75">
        <f>VLOOKUP($A125,'Data Vlaue (Cr)'!$C:$FB,5)</f>
        <v>1005</v>
      </c>
      <c r="F125" s="75">
        <f t="shared" si="6"/>
        <v>0.60000000000002274</v>
      </c>
      <c r="G125" s="75">
        <f t="shared" si="7"/>
        <v>0.5541262616267586</v>
      </c>
      <c r="H125" s="75">
        <f>VLOOKUP($A125,'Data Vlaue (Cr)'!$C:$FB,99)</f>
        <v>3032</v>
      </c>
      <c r="I125" s="75">
        <f>VLOOKUP($A125,'Data Vlaue (Cr)'!$C:$FB,100)</f>
        <v>3056</v>
      </c>
      <c r="J125" s="75">
        <f t="shared" si="8"/>
        <v>-24</v>
      </c>
      <c r="K125" s="75">
        <f t="shared" si="9"/>
        <v>-0.79155672823219003</v>
      </c>
      <c r="L125" s="75">
        <f>VLOOKUP($A125,'Data Vlaue (Cr)'!$C:$FB,67)</f>
        <v>1378</v>
      </c>
      <c r="M125" s="75">
        <f>VLOOKUP($A125,'Data Vlaue (Cr)'!$C:$FB,68)</f>
        <v>1158</v>
      </c>
      <c r="N125" s="75">
        <f t="shared" si="10"/>
        <v>220</v>
      </c>
      <c r="O125" s="75">
        <f t="shared" si="11"/>
        <v>15.965166908563136</v>
      </c>
      <c r="P125" s="75">
        <f>VLOOKUP($A125,'Data Vlaue (Cr)'!$C:$FB,119)</f>
        <v>0.55000000000000004</v>
      </c>
      <c r="Q125" s="75">
        <f>VLOOKUP($A125,'Data Vlaue (Cr)'!$C:$FB,122)*100</f>
        <v>1.8499999999999999</v>
      </c>
      <c r="R125" s="75">
        <f>VLOOKUP($A125,'Data Vlaue (Cr)'!$C:$FB,125)</f>
        <v>0.38</v>
      </c>
      <c r="S125" s="75">
        <f>VLOOKUP($A125,'Data Vlaue (Cr)'!$C:$FB,128)*100</f>
        <v>-7.32</v>
      </c>
    </row>
    <row r="126" spans="1:19" x14ac:dyDescent="0.25">
      <c r="A126" s="96" t="str">
        <f>'Data Vlaue (Cr)'!C117</f>
        <v>LICHSGFIN</v>
      </c>
      <c r="B126" s="75">
        <f>VLOOKUP($A126,'Data Vlaue (Cr)'!$C:$FB,2)</f>
        <v>1000</v>
      </c>
      <c r="C126" s="75">
        <f>VLOOKUP($A126,'Data Vlaue (Cr)'!$C:$FB,8)</f>
        <v>524.79999999999995</v>
      </c>
      <c r="D126" s="75">
        <f>VLOOKUP($A126,'Data Vlaue (Cr)'!$C:$FB,4)</f>
        <v>524.75</v>
      </c>
      <c r="E126" s="75">
        <f>VLOOKUP($A126,'Data Vlaue (Cr)'!$C:$FB,5)</f>
        <v>526.9</v>
      </c>
      <c r="F126" s="75">
        <f t="shared" si="6"/>
        <v>-4.9999999999954525E-2</v>
      </c>
      <c r="G126" s="75">
        <f t="shared" si="7"/>
        <v>-0.40971891376845687</v>
      </c>
      <c r="H126" s="75">
        <f>VLOOKUP($A126,'Data Vlaue (Cr)'!$C:$FB,99)</f>
        <v>2861</v>
      </c>
      <c r="I126" s="75">
        <f>VLOOKUP($A126,'Data Vlaue (Cr)'!$C:$FB,100)</f>
        <v>2851</v>
      </c>
      <c r="J126" s="75">
        <f t="shared" si="8"/>
        <v>10</v>
      </c>
      <c r="K126" s="75">
        <f t="shared" si="9"/>
        <v>0.34952813701502972</v>
      </c>
      <c r="L126" s="75">
        <f>VLOOKUP($A126,'Data Vlaue (Cr)'!$C:$FB,67)</f>
        <v>480</v>
      </c>
      <c r="M126" s="75">
        <f>VLOOKUP($A126,'Data Vlaue (Cr)'!$C:$FB,68)</f>
        <v>565</v>
      </c>
      <c r="N126" s="75">
        <f t="shared" si="10"/>
        <v>-85</v>
      </c>
      <c r="O126" s="75">
        <f t="shared" si="11"/>
        <v>-17.708333333333336</v>
      </c>
      <c r="P126" s="75">
        <f>VLOOKUP($A126,'Data Vlaue (Cr)'!$C:$FB,119)</f>
        <v>0.75</v>
      </c>
      <c r="Q126" s="75">
        <f>VLOOKUP($A126,'Data Vlaue (Cr)'!$C:$FB,122)*100</f>
        <v>1.35</v>
      </c>
      <c r="R126" s="75">
        <f>VLOOKUP($A126,'Data Vlaue (Cr)'!$C:$FB,125)</f>
        <v>0.32</v>
      </c>
      <c r="S126" s="75">
        <f>VLOOKUP($A126,'Data Vlaue (Cr)'!$C:$FB,128)*100</f>
        <v>28.000000000000004</v>
      </c>
    </row>
    <row r="127" spans="1:19" x14ac:dyDescent="0.25">
      <c r="A127" s="96" t="str">
        <f>'Data Vlaue (Cr)'!C118</f>
        <v>LICI</v>
      </c>
      <c r="B127" s="75">
        <f>VLOOKUP($A127,'Data Vlaue (Cr)'!$C:$FB,2)</f>
        <v>700</v>
      </c>
      <c r="C127" s="75">
        <f>VLOOKUP($A127,'Data Vlaue (Cr)'!$C:$FB,8)</f>
        <v>844.55</v>
      </c>
      <c r="D127" s="75">
        <f>VLOOKUP($A127,'Data Vlaue (Cr)'!$C:$FB,4)</f>
        <v>847.1</v>
      </c>
      <c r="E127" s="75">
        <f>VLOOKUP($A127,'Data Vlaue (Cr)'!$C:$FB,5)</f>
        <v>856.65</v>
      </c>
      <c r="F127" s="75">
        <f t="shared" si="6"/>
        <v>2.5500000000000682</v>
      </c>
      <c r="G127" s="75">
        <f t="shared" si="7"/>
        <v>-1.127375752567578</v>
      </c>
      <c r="H127" s="75">
        <f>VLOOKUP($A127,'Data Vlaue (Cr)'!$C:$FB,99)</f>
        <v>2168</v>
      </c>
      <c r="I127" s="75">
        <f>VLOOKUP($A127,'Data Vlaue (Cr)'!$C:$FB,100)</f>
        <v>2160</v>
      </c>
      <c r="J127" s="75">
        <f t="shared" si="8"/>
        <v>8</v>
      </c>
      <c r="K127" s="75">
        <f t="shared" si="9"/>
        <v>0.36900369003690037</v>
      </c>
      <c r="L127" s="75">
        <f>VLOOKUP($A127,'Data Vlaue (Cr)'!$C:$FB,67)</f>
        <v>758</v>
      </c>
      <c r="M127" s="75">
        <f>VLOOKUP($A127,'Data Vlaue (Cr)'!$C:$FB,68)</f>
        <v>984</v>
      </c>
      <c r="N127" s="75">
        <f t="shared" si="10"/>
        <v>-226</v>
      </c>
      <c r="O127" s="75">
        <f t="shared" si="11"/>
        <v>-29.815303430079155</v>
      </c>
      <c r="P127" s="75">
        <f>VLOOKUP($A127,'Data Vlaue (Cr)'!$C:$FB,119)</f>
        <v>0.48</v>
      </c>
      <c r="Q127" s="75">
        <f>VLOOKUP($A127,'Data Vlaue (Cr)'!$C:$FB,122)*100</f>
        <v>-5.88</v>
      </c>
      <c r="R127" s="75">
        <f>VLOOKUP($A127,'Data Vlaue (Cr)'!$C:$FB,125)</f>
        <v>0.47</v>
      </c>
      <c r="S127" s="75">
        <f>VLOOKUP($A127,'Data Vlaue (Cr)'!$C:$FB,128)*100</f>
        <v>42.42</v>
      </c>
    </row>
    <row r="128" spans="1:19" x14ac:dyDescent="0.25">
      <c r="A128" s="96" t="str">
        <f>'Data Vlaue (Cr)'!C119</f>
        <v>LODHA</v>
      </c>
      <c r="B128" s="75">
        <f>VLOOKUP($A128,'Data Vlaue (Cr)'!$C:$FB,2)</f>
        <v>450</v>
      </c>
      <c r="C128" s="75">
        <f>VLOOKUP($A128,'Data Vlaue (Cr)'!$C:$FB,8)</f>
        <v>1063.8</v>
      </c>
      <c r="D128" s="75">
        <f>VLOOKUP($A128,'Data Vlaue (Cr)'!$C:$FB,4)</f>
        <v>1064.7</v>
      </c>
      <c r="E128" s="75">
        <f>VLOOKUP($A128,'Data Vlaue (Cr)'!$C:$FB,5)</f>
        <v>1076</v>
      </c>
      <c r="F128" s="75">
        <f t="shared" si="6"/>
        <v>0.90000000000009095</v>
      </c>
      <c r="G128" s="75">
        <f t="shared" si="7"/>
        <v>-1.0613318305625956</v>
      </c>
      <c r="H128" s="75">
        <f>VLOOKUP($A128,'Data Vlaue (Cr)'!$C:$FB,99)</f>
        <v>2260</v>
      </c>
      <c r="I128" s="75">
        <f>VLOOKUP($A128,'Data Vlaue (Cr)'!$C:$FB,100)</f>
        <v>2121</v>
      </c>
      <c r="J128" s="75">
        <f t="shared" si="8"/>
        <v>139</v>
      </c>
      <c r="K128" s="75">
        <f t="shared" si="9"/>
        <v>6.1504424778761067</v>
      </c>
      <c r="L128" s="75">
        <f>VLOOKUP($A128,'Data Vlaue (Cr)'!$C:$FB,67)</f>
        <v>1199</v>
      </c>
      <c r="M128" s="75">
        <f>VLOOKUP($A128,'Data Vlaue (Cr)'!$C:$FB,68)</f>
        <v>502</v>
      </c>
      <c r="N128" s="75">
        <f t="shared" si="10"/>
        <v>697</v>
      </c>
      <c r="O128" s="75">
        <f t="shared" si="11"/>
        <v>58.131776480400333</v>
      </c>
      <c r="P128" s="75">
        <f>VLOOKUP($A128,'Data Vlaue (Cr)'!$C:$FB,119)</f>
        <v>0.4</v>
      </c>
      <c r="Q128" s="75">
        <f>VLOOKUP($A128,'Data Vlaue (Cr)'!$C:$FB,122)*100</f>
        <v>-9.09</v>
      </c>
      <c r="R128" s="75">
        <f>VLOOKUP($A128,'Data Vlaue (Cr)'!$C:$FB,125)</f>
        <v>0.33</v>
      </c>
      <c r="S128" s="75">
        <f>VLOOKUP($A128,'Data Vlaue (Cr)'!$C:$FB,128)*100</f>
        <v>-2.94</v>
      </c>
    </row>
    <row r="129" spans="1:19" x14ac:dyDescent="0.25">
      <c r="A129" s="96" t="str">
        <f>'Data Vlaue (Cr)'!C120</f>
        <v>LT</v>
      </c>
      <c r="B129" s="75">
        <f>VLOOKUP($A129,'Data Vlaue (Cr)'!$C:$FB,2)</f>
        <v>175</v>
      </c>
      <c r="C129" s="75">
        <f>VLOOKUP($A129,'Data Vlaue (Cr)'!$C:$FB,8)</f>
        <v>4062.4</v>
      </c>
      <c r="D129" s="75">
        <f>VLOOKUP($A129,'Data Vlaue (Cr)'!$C:$FB,4)</f>
        <v>4068.7</v>
      </c>
      <c r="E129" s="75">
        <f>VLOOKUP($A129,'Data Vlaue (Cr)'!$C:$FB,5)</f>
        <v>4068.8</v>
      </c>
      <c r="F129" s="75">
        <f t="shared" si="6"/>
        <v>6.2999999999997272</v>
      </c>
      <c r="G129" s="75">
        <f t="shared" si="7"/>
        <v>-2.4577874997017178E-3</v>
      </c>
      <c r="H129" s="75">
        <f>VLOOKUP($A129,'Data Vlaue (Cr)'!$C:$FB,99)</f>
        <v>9195</v>
      </c>
      <c r="I129" s="75">
        <f>VLOOKUP($A129,'Data Vlaue (Cr)'!$C:$FB,100)</f>
        <v>9282</v>
      </c>
      <c r="J129" s="75">
        <f t="shared" si="8"/>
        <v>-87</v>
      </c>
      <c r="K129" s="75">
        <f t="shared" si="9"/>
        <v>-0.9461663947797716</v>
      </c>
      <c r="L129" s="75">
        <f>VLOOKUP($A129,'Data Vlaue (Cr)'!$C:$FB,67)</f>
        <v>2766</v>
      </c>
      <c r="M129" s="75">
        <f>VLOOKUP($A129,'Data Vlaue (Cr)'!$C:$FB,68)</f>
        <v>2954</v>
      </c>
      <c r="N129" s="75">
        <f t="shared" si="10"/>
        <v>-188</v>
      </c>
      <c r="O129" s="75">
        <f t="shared" si="11"/>
        <v>-6.7968185104844538</v>
      </c>
      <c r="P129" s="75">
        <f>VLOOKUP($A129,'Data Vlaue (Cr)'!$C:$FB,119)</f>
        <v>0.56999999999999995</v>
      </c>
      <c r="Q129" s="75">
        <f>VLOOKUP($A129,'Data Vlaue (Cr)'!$C:$FB,122)*100</f>
        <v>0</v>
      </c>
      <c r="R129" s="75">
        <f>VLOOKUP($A129,'Data Vlaue (Cr)'!$C:$FB,125)</f>
        <v>0.68</v>
      </c>
      <c r="S129" s="75">
        <f>VLOOKUP($A129,'Data Vlaue (Cr)'!$C:$FB,128)*100</f>
        <v>9.68</v>
      </c>
    </row>
    <row r="130" spans="1:19" x14ac:dyDescent="0.25">
      <c r="A130" s="96" t="str">
        <f>'Data Vlaue (Cr)'!C121</f>
        <v>LTF</v>
      </c>
      <c r="B130" s="75">
        <f>VLOOKUP($A130,'Data Vlaue (Cr)'!$C:$FB,2)</f>
        <v>4462</v>
      </c>
      <c r="C130" s="75">
        <f>VLOOKUP($A130,'Data Vlaue (Cr)'!$C:$FB,8)</f>
        <v>301.89999999999998</v>
      </c>
      <c r="D130" s="75">
        <f>VLOOKUP($A130,'Data Vlaue (Cr)'!$C:$FB,4)</f>
        <v>303.05</v>
      </c>
      <c r="E130" s="75">
        <f>VLOOKUP($A130,'Data Vlaue (Cr)'!$C:$FB,5)</f>
        <v>301.55</v>
      </c>
      <c r="F130" s="75">
        <f t="shared" si="6"/>
        <v>1.1500000000000341</v>
      </c>
      <c r="G130" s="75">
        <f t="shared" si="7"/>
        <v>0.49496782709123904</v>
      </c>
      <c r="H130" s="75">
        <f>VLOOKUP($A130,'Data Vlaue (Cr)'!$C:$FB,99)</f>
        <v>3095</v>
      </c>
      <c r="I130" s="75">
        <f>VLOOKUP($A130,'Data Vlaue (Cr)'!$C:$FB,100)</f>
        <v>3039</v>
      </c>
      <c r="J130" s="75">
        <f t="shared" si="8"/>
        <v>56</v>
      </c>
      <c r="K130" s="75">
        <f t="shared" si="9"/>
        <v>1.8093699515347335</v>
      </c>
      <c r="L130" s="75">
        <f>VLOOKUP($A130,'Data Vlaue (Cr)'!$C:$FB,67)</f>
        <v>1974</v>
      </c>
      <c r="M130" s="75">
        <f>VLOOKUP($A130,'Data Vlaue (Cr)'!$C:$FB,68)</f>
        <v>1580</v>
      </c>
      <c r="N130" s="75">
        <f t="shared" si="10"/>
        <v>394</v>
      </c>
      <c r="O130" s="75">
        <f t="shared" si="11"/>
        <v>19.959473150962513</v>
      </c>
      <c r="P130" s="75">
        <f>VLOOKUP($A130,'Data Vlaue (Cr)'!$C:$FB,119)</f>
        <v>0.64</v>
      </c>
      <c r="Q130" s="75">
        <f>VLOOKUP($A130,'Data Vlaue (Cr)'!$C:$FB,122)*100</f>
        <v>0</v>
      </c>
      <c r="R130" s="75">
        <f>VLOOKUP($A130,'Data Vlaue (Cr)'!$C:$FB,125)</f>
        <v>0.47</v>
      </c>
      <c r="S130" s="75">
        <f>VLOOKUP($A130,'Data Vlaue (Cr)'!$C:$FB,128)*100</f>
        <v>46.87</v>
      </c>
    </row>
    <row r="131" spans="1:19" x14ac:dyDescent="0.25">
      <c r="A131" s="96" t="str">
        <f>'Data Vlaue (Cr)'!C122</f>
        <v>LTIM</v>
      </c>
      <c r="B131" s="75">
        <f>VLOOKUP($A131,'Data Vlaue (Cr)'!$C:$FB,2)</f>
        <v>150</v>
      </c>
      <c r="C131" s="75">
        <f>VLOOKUP($A131,'Data Vlaue (Cr)'!$C:$FB,8)</f>
        <v>6252.5</v>
      </c>
      <c r="D131" s="75">
        <f>VLOOKUP($A131,'Data Vlaue (Cr)'!$C:$FB,4)</f>
        <v>6270.5</v>
      </c>
      <c r="E131" s="75">
        <f>VLOOKUP($A131,'Data Vlaue (Cr)'!$C:$FB,5)</f>
        <v>6228</v>
      </c>
      <c r="F131" s="75">
        <f t="shared" si="6"/>
        <v>18</v>
      </c>
      <c r="G131" s="75">
        <f t="shared" si="7"/>
        <v>0.67777689179491274</v>
      </c>
      <c r="H131" s="75">
        <f>VLOOKUP($A131,'Data Vlaue (Cr)'!$C:$FB,99)</f>
        <v>2483</v>
      </c>
      <c r="I131" s="75">
        <f>VLOOKUP($A131,'Data Vlaue (Cr)'!$C:$FB,100)</f>
        <v>2417</v>
      </c>
      <c r="J131" s="75">
        <f t="shared" si="8"/>
        <v>66</v>
      </c>
      <c r="K131" s="75">
        <f t="shared" si="9"/>
        <v>2.6580749093838096</v>
      </c>
      <c r="L131" s="75">
        <f>VLOOKUP($A131,'Data Vlaue (Cr)'!$C:$FB,67)</f>
        <v>1637</v>
      </c>
      <c r="M131" s="75">
        <f>VLOOKUP($A131,'Data Vlaue (Cr)'!$C:$FB,68)</f>
        <v>1019</v>
      </c>
      <c r="N131" s="75">
        <f t="shared" si="10"/>
        <v>618</v>
      </c>
      <c r="O131" s="75">
        <f t="shared" si="11"/>
        <v>37.751985339034825</v>
      </c>
      <c r="P131" s="75">
        <f>VLOOKUP($A131,'Data Vlaue (Cr)'!$C:$FB,119)</f>
        <v>0.79</v>
      </c>
      <c r="Q131" s="75">
        <f>VLOOKUP($A131,'Data Vlaue (Cr)'!$C:$FB,122)*100</f>
        <v>-2.4699999999999998</v>
      </c>
      <c r="R131" s="75">
        <f>VLOOKUP($A131,'Data Vlaue (Cr)'!$C:$FB,125)</f>
        <v>0.31</v>
      </c>
      <c r="S131" s="75">
        <f>VLOOKUP($A131,'Data Vlaue (Cr)'!$C:$FB,128)*100</f>
        <v>-57.53</v>
      </c>
    </row>
    <row r="132" spans="1:19" x14ac:dyDescent="0.25">
      <c r="A132" s="96" t="str">
        <f>'Data Vlaue (Cr)'!C123</f>
        <v>LUPIN</v>
      </c>
      <c r="B132" s="75">
        <f>VLOOKUP($A132,'Data Vlaue (Cr)'!$C:$FB,2)</f>
        <v>425</v>
      </c>
      <c r="C132" s="75">
        <f>VLOOKUP($A132,'Data Vlaue (Cr)'!$C:$FB,8)</f>
        <v>2113.1</v>
      </c>
      <c r="D132" s="75">
        <f>VLOOKUP($A132,'Data Vlaue (Cr)'!$C:$FB,4)</f>
        <v>2114</v>
      </c>
      <c r="E132" s="75">
        <f>VLOOKUP($A132,'Data Vlaue (Cr)'!$C:$FB,5)</f>
        <v>2092.3000000000002</v>
      </c>
      <c r="F132" s="75">
        <f t="shared" si="6"/>
        <v>0.90000000000009095</v>
      </c>
      <c r="G132" s="75">
        <f t="shared" si="7"/>
        <v>1.026490066225157</v>
      </c>
      <c r="H132" s="75">
        <f>VLOOKUP($A132,'Data Vlaue (Cr)'!$C:$FB,99)</f>
        <v>2647</v>
      </c>
      <c r="I132" s="75">
        <f>VLOOKUP($A132,'Data Vlaue (Cr)'!$C:$FB,100)</f>
        <v>2668</v>
      </c>
      <c r="J132" s="75">
        <f t="shared" si="8"/>
        <v>-21</v>
      </c>
      <c r="K132" s="75">
        <f t="shared" si="9"/>
        <v>-0.7933509633547412</v>
      </c>
      <c r="L132" s="75">
        <f>VLOOKUP($A132,'Data Vlaue (Cr)'!$C:$FB,67)</f>
        <v>1948</v>
      </c>
      <c r="M132" s="75">
        <f>VLOOKUP($A132,'Data Vlaue (Cr)'!$C:$FB,68)</f>
        <v>732</v>
      </c>
      <c r="N132" s="75">
        <f t="shared" si="10"/>
        <v>1216</v>
      </c>
      <c r="O132" s="75">
        <f t="shared" si="11"/>
        <v>62.422997946611915</v>
      </c>
      <c r="P132" s="75">
        <f>VLOOKUP($A132,'Data Vlaue (Cr)'!$C:$FB,119)</f>
        <v>0.76</v>
      </c>
      <c r="Q132" s="75">
        <f>VLOOKUP($A132,'Data Vlaue (Cr)'!$C:$FB,122)*100</f>
        <v>1.3299999999999998</v>
      </c>
      <c r="R132" s="75">
        <f>VLOOKUP($A132,'Data Vlaue (Cr)'!$C:$FB,125)</f>
        <v>0.3</v>
      </c>
      <c r="S132" s="75">
        <f>VLOOKUP($A132,'Data Vlaue (Cr)'!$C:$FB,128)*100</f>
        <v>-18.920000000000002</v>
      </c>
    </row>
    <row r="133" spans="1:19" x14ac:dyDescent="0.25">
      <c r="A133" s="96" t="str">
        <f>'Data Vlaue (Cr)'!C124</f>
        <v>M&amp;M</v>
      </c>
      <c r="B133" s="75">
        <f>VLOOKUP($A133,'Data Vlaue (Cr)'!$C:$FB,2)</f>
        <v>200</v>
      </c>
      <c r="C133" s="75">
        <f>VLOOKUP($A133,'Data Vlaue (Cr)'!$C:$FB,8)</f>
        <v>3612.8</v>
      </c>
      <c r="D133" s="75">
        <f>VLOOKUP($A133,'Data Vlaue (Cr)'!$C:$FB,4)</f>
        <v>3617.9</v>
      </c>
      <c r="E133" s="75">
        <f>VLOOKUP($A133,'Data Vlaue (Cr)'!$C:$FB,5)</f>
        <v>3629.8</v>
      </c>
      <c r="F133" s="75">
        <f t="shared" si="6"/>
        <v>5.0999999999999091</v>
      </c>
      <c r="G133" s="75">
        <f t="shared" si="7"/>
        <v>-0.32892009176594406</v>
      </c>
      <c r="H133" s="75">
        <f>VLOOKUP($A133,'Data Vlaue (Cr)'!$C:$FB,99)</f>
        <v>10390</v>
      </c>
      <c r="I133" s="75">
        <f>VLOOKUP($A133,'Data Vlaue (Cr)'!$C:$FB,100)</f>
        <v>10489</v>
      </c>
      <c r="J133" s="75">
        <f t="shared" si="8"/>
        <v>-99</v>
      </c>
      <c r="K133" s="75">
        <f t="shared" si="9"/>
        <v>-0.95283926852743028</v>
      </c>
      <c r="L133" s="75">
        <f>VLOOKUP($A133,'Data Vlaue (Cr)'!$C:$FB,67)</f>
        <v>3087</v>
      </c>
      <c r="M133" s="75">
        <f>VLOOKUP($A133,'Data Vlaue (Cr)'!$C:$FB,68)</f>
        <v>3874</v>
      </c>
      <c r="N133" s="75">
        <f t="shared" si="10"/>
        <v>-787</v>
      </c>
      <c r="O133" s="75">
        <f t="shared" si="11"/>
        <v>-25.49400712666019</v>
      </c>
      <c r="P133" s="75">
        <f>VLOOKUP($A133,'Data Vlaue (Cr)'!$C:$FB,119)</f>
        <v>0.54</v>
      </c>
      <c r="Q133" s="75">
        <f>VLOOKUP($A133,'Data Vlaue (Cr)'!$C:$FB,122)*100</f>
        <v>-1.82</v>
      </c>
      <c r="R133" s="75">
        <f>VLOOKUP($A133,'Data Vlaue (Cr)'!$C:$FB,125)</f>
        <v>0.51</v>
      </c>
      <c r="S133" s="75">
        <f>VLOOKUP($A133,'Data Vlaue (Cr)'!$C:$FB,128)*100</f>
        <v>8.51</v>
      </c>
    </row>
    <row r="134" spans="1:19" x14ac:dyDescent="0.25">
      <c r="A134" s="96" t="str">
        <f>'Data Vlaue (Cr)'!C125</f>
        <v>MANAPPURAM</v>
      </c>
      <c r="B134" s="75">
        <f>VLOOKUP($A134,'Data Vlaue (Cr)'!$C:$FB,2)</f>
        <v>3000</v>
      </c>
      <c r="C134" s="75">
        <f>VLOOKUP($A134,'Data Vlaue (Cr)'!$C:$FB,8)</f>
        <v>286.25</v>
      </c>
      <c r="D134" s="75">
        <f>VLOOKUP($A134,'Data Vlaue (Cr)'!$C:$FB,4)</f>
        <v>286.5</v>
      </c>
      <c r="E134" s="75">
        <f>VLOOKUP($A134,'Data Vlaue (Cr)'!$C:$FB,5)</f>
        <v>283.85000000000002</v>
      </c>
      <c r="F134" s="75">
        <f t="shared" si="6"/>
        <v>0.25</v>
      </c>
      <c r="G134" s="75">
        <f t="shared" si="7"/>
        <v>0.92495636998254016</v>
      </c>
      <c r="H134" s="75">
        <f>VLOOKUP($A134,'Data Vlaue (Cr)'!$C:$FB,99)</f>
        <v>1977</v>
      </c>
      <c r="I134" s="75">
        <f>VLOOKUP($A134,'Data Vlaue (Cr)'!$C:$FB,100)</f>
        <v>1983</v>
      </c>
      <c r="J134" s="75">
        <f t="shared" si="8"/>
        <v>-6</v>
      </c>
      <c r="K134" s="75">
        <f t="shared" si="9"/>
        <v>-0.30349013657056145</v>
      </c>
      <c r="L134" s="75">
        <f>VLOOKUP($A134,'Data Vlaue (Cr)'!$C:$FB,67)</f>
        <v>763</v>
      </c>
      <c r="M134" s="75">
        <f>VLOOKUP($A134,'Data Vlaue (Cr)'!$C:$FB,68)</f>
        <v>475</v>
      </c>
      <c r="N134" s="75">
        <f t="shared" si="10"/>
        <v>288</v>
      </c>
      <c r="O134" s="75">
        <f t="shared" si="11"/>
        <v>37.745740498034074</v>
      </c>
      <c r="P134" s="75">
        <f>VLOOKUP($A134,'Data Vlaue (Cr)'!$C:$FB,119)</f>
        <v>0.66</v>
      </c>
      <c r="Q134" s="75">
        <f>VLOOKUP($A134,'Data Vlaue (Cr)'!$C:$FB,122)*100</f>
        <v>-2.94</v>
      </c>
      <c r="R134" s="75">
        <f>VLOOKUP($A134,'Data Vlaue (Cr)'!$C:$FB,125)</f>
        <v>0.4</v>
      </c>
      <c r="S134" s="75">
        <f>VLOOKUP($A134,'Data Vlaue (Cr)'!$C:$FB,128)*100</f>
        <v>-18.37</v>
      </c>
    </row>
    <row r="135" spans="1:19" x14ac:dyDescent="0.25">
      <c r="A135" s="96" t="str">
        <f>'Data Vlaue (Cr)'!C126</f>
        <v>MANKIND</v>
      </c>
      <c r="B135" s="75">
        <f>VLOOKUP($A135,'Data Vlaue (Cr)'!$C:$FB,2)</f>
        <v>225</v>
      </c>
      <c r="C135" s="75">
        <f>VLOOKUP($A135,'Data Vlaue (Cr)'!$C:$FB,8)</f>
        <v>2111.1999999999998</v>
      </c>
      <c r="D135" s="75">
        <f>VLOOKUP($A135,'Data Vlaue (Cr)'!$C:$FB,4)</f>
        <v>2117.6</v>
      </c>
      <c r="E135" s="75">
        <f>VLOOKUP($A135,'Data Vlaue (Cr)'!$C:$FB,5)</f>
        <v>2114.1</v>
      </c>
      <c r="F135" s="75">
        <f t="shared" si="6"/>
        <v>6.4000000000000909</v>
      </c>
      <c r="G135" s="75">
        <f t="shared" si="7"/>
        <v>0.16528145069890443</v>
      </c>
      <c r="H135" s="75">
        <f>VLOOKUP($A135,'Data Vlaue (Cr)'!$C:$FB,99)</f>
        <v>934</v>
      </c>
      <c r="I135" s="75">
        <f>VLOOKUP($A135,'Data Vlaue (Cr)'!$C:$FB,100)</f>
        <v>916</v>
      </c>
      <c r="J135" s="75">
        <f t="shared" si="8"/>
        <v>18</v>
      </c>
      <c r="K135" s="75">
        <f t="shared" si="9"/>
        <v>1.9271948608137044</v>
      </c>
      <c r="L135" s="75">
        <f>VLOOKUP($A135,'Data Vlaue (Cr)'!$C:$FB,67)</f>
        <v>374</v>
      </c>
      <c r="M135" s="75">
        <f>VLOOKUP($A135,'Data Vlaue (Cr)'!$C:$FB,68)</f>
        <v>399</v>
      </c>
      <c r="N135" s="75">
        <f t="shared" si="10"/>
        <v>-25</v>
      </c>
      <c r="O135" s="75">
        <f t="shared" si="11"/>
        <v>-6.6844919786096257</v>
      </c>
      <c r="P135" s="75">
        <f>VLOOKUP($A135,'Data Vlaue (Cr)'!$C:$FB,119)</f>
        <v>0.48</v>
      </c>
      <c r="Q135" s="75">
        <f>VLOOKUP($A135,'Data Vlaue (Cr)'!$C:$FB,122)*100</f>
        <v>-2.04</v>
      </c>
      <c r="R135" s="75">
        <f>VLOOKUP($A135,'Data Vlaue (Cr)'!$C:$FB,125)</f>
        <v>0.48</v>
      </c>
      <c r="S135" s="75">
        <f>VLOOKUP($A135,'Data Vlaue (Cr)'!$C:$FB,128)*100</f>
        <v>0</v>
      </c>
    </row>
    <row r="136" spans="1:19" x14ac:dyDescent="0.25">
      <c r="A136" s="96" t="str">
        <f>'Data Vlaue (Cr)'!C127</f>
        <v>MARICO</v>
      </c>
      <c r="B136" s="75">
        <f>VLOOKUP($A136,'Data Vlaue (Cr)'!$C:$FB,2)</f>
        <v>1200</v>
      </c>
      <c r="C136" s="75">
        <f>VLOOKUP($A136,'Data Vlaue (Cr)'!$C:$FB,8)</f>
        <v>738.15</v>
      </c>
      <c r="D136" s="75">
        <f>VLOOKUP($A136,'Data Vlaue (Cr)'!$C:$FB,4)</f>
        <v>739</v>
      </c>
      <c r="E136" s="75">
        <f>VLOOKUP($A136,'Data Vlaue (Cr)'!$C:$FB,5)</f>
        <v>739.8</v>
      </c>
      <c r="F136" s="75">
        <f t="shared" si="6"/>
        <v>0.85000000000002274</v>
      </c>
      <c r="G136" s="75">
        <f t="shared" si="7"/>
        <v>-0.1082543978349059</v>
      </c>
      <c r="H136" s="75">
        <f>VLOOKUP($A136,'Data Vlaue (Cr)'!$C:$FB,99)</f>
        <v>3282</v>
      </c>
      <c r="I136" s="75">
        <f>VLOOKUP($A136,'Data Vlaue (Cr)'!$C:$FB,100)</f>
        <v>3274</v>
      </c>
      <c r="J136" s="75">
        <f t="shared" si="8"/>
        <v>8</v>
      </c>
      <c r="K136" s="75">
        <f t="shared" si="9"/>
        <v>0.24375380865326021</v>
      </c>
      <c r="L136" s="75">
        <f>VLOOKUP($A136,'Data Vlaue (Cr)'!$C:$FB,67)</f>
        <v>548</v>
      </c>
      <c r="M136" s="75">
        <f>VLOOKUP($A136,'Data Vlaue (Cr)'!$C:$FB,68)</f>
        <v>2205</v>
      </c>
      <c r="N136" s="75">
        <f t="shared" si="10"/>
        <v>-1657</v>
      </c>
      <c r="O136" s="75">
        <f t="shared" si="11"/>
        <v>-302.37226277372264</v>
      </c>
      <c r="P136" s="75">
        <f>VLOOKUP($A136,'Data Vlaue (Cr)'!$C:$FB,119)</f>
        <v>0.61</v>
      </c>
      <c r="Q136" s="75">
        <f>VLOOKUP($A136,'Data Vlaue (Cr)'!$C:$FB,122)*100</f>
        <v>1.67</v>
      </c>
      <c r="R136" s="75">
        <f>VLOOKUP($A136,'Data Vlaue (Cr)'!$C:$FB,125)</f>
        <v>0.31</v>
      </c>
      <c r="S136" s="75">
        <f>VLOOKUP($A136,'Data Vlaue (Cr)'!$C:$FB,128)*100</f>
        <v>10.71</v>
      </c>
    </row>
    <row r="137" spans="1:19" x14ac:dyDescent="0.25">
      <c r="A137" s="96" t="str">
        <f>'Data Vlaue (Cr)'!C128</f>
        <v>MARUTI</v>
      </c>
      <c r="B137" s="75">
        <f>VLOOKUP($A137,'Data Vlaue (Cr)'!$C:$FB,2)</f>
        <v>50</v>
      </c>
      <c r="C137" s="75">
        <f>VLOOKUP($A137,'Data Vlaue (Cr)'!$C:$FB,8)</f>
        <v>16398</v>
      </c>
      <c r="D137" s="75">
        <f>VLOOKUP($A137,'Data Vlaue (Cr)'!$C:$FB,4)</f>
        <v>16409</v>
      </c>
      <c r="E137" s="75">
        <f>VLOOKUP($A137,'Data Vlaue (Cr)'!$C:$FB,5)</f>
        <v>16396</v>
      </c>
      <c r="F137" s="75">
        <f t="shared" si="6"/>
        <v>11</v>
      </c>
      <c r="G137" s="75">
        <f t="shared" si="7"/>
        <v>7.9224815649948196E-2</v>
      </c>
      <c r="H137" s="75">
        <f>VLOOKUP($A137,'Data Vlaue (Cr)'!$C:$FB,99)</f>
        <v>9849</v>
      </c>
      <c r="I137" s="75">
        <f>VLOOKUP($A137,'Data Vlaue (Cr)'!$C:$FB,100)</f>
        <v>9820</v>
      </c>
      <c r="J137" s="75">
        <f t="shared" si="8"/>
        <v>29</v>
      </c>
      <c r="K137" s="75">
        <f t="shared" si="9"/>
        <v>0.29444613666362068</v>
      </c>
      <c r="L137" s="75">
        <f>VLOOKUP($A137,'Data Vlaue (Cr)'!$C:$FB,67)</f>
        <v>6143</v>
      </c>
      <c r="M137" s="75">
        <f>VLOOKUP($A137,'Data Vlaue (Cr)'!$C:$FB,68)</f>
        <v>4877</v>
      </c>
      <c r="N137" s="75">
        <f t="shared" si="10"/>
        <v>1266</v>
      </c>
      <c r="O137" s="75">
        <f t="shared" si="11"/>
        <v>20.608823050626729</v>
      </c>
      <c r="P137" s="75">
        <f>VLOOKUP($A137,'Data Vlaue (Cr)'!$C:$FB,119)</f>
        <v>0.95</v>
      </c>
      <c r="Q137" s="75">
        <f>VLOOKUP($A137,'Data Vlaue (Cr)'!$C:$FB,122)*100</f>
        <v>-3.06</v>
      </c>
      <c r="R137" s="75">
        <f>VLOOKUP($A137,'Data Vlaue (Cr)'!$C:$FB,125)</f>
        <v>0.77</v>
      </c>
      <c r="S137" s="75">
        <f>VLOOKUP($A137,'Data Vlaue (Cr)'!$C:$FB,128)*100</f>
        <v>-34.75</v>
      </c>
    </row>
    <row r="138" spans="1:19" x14ac:dyDescent="0.25">
      <c r="A138" s="96" t="str">
        <f>'Data Vlaue (Cr)'!C129</f>
        <v>MAXHEALTH</v>
      </c>
      <c r="B138" s="75">
        <f>VLOOKUP($A138,'Data Vlaue (Cr)'!$C:$FB,2)</f>
        <v>525</v>
      </c>
      <c r="C138" s="75">
        <f>VLOOKUP($A138,'Data Vlaue (Cr)'!$C:$FB,8)</f>
        <v>1031.0999999999999</v>
      </c>
      <c r="D138" s="75">
        <f>VLOOKUP($A138,'Data Vlaue (Cr)'!$C:$FB,4)</f>
        <v>1033.8</v>
      </c>
      <c r="E138" s="75">
        <f>VLOOKUP($A138,'Data Vlaue (Cr)'!$C:$FB,5)</f>
        <v>1074.2</v>
      </c>
      <c r="F138" s="75">
        <f t="shared" si="6"/>
        <v>2.7000000000000455</v>
      </c>
      <c r="G138" s="75">
        <f t="shared" si="7"/>
        <v>-3.9079125556200514</v>
      </c>
      <c r="H138" s="75">
        <f>VLOOKUP($A138,'Data Vlaue (Cr)'!$C:$FB,99)</f>
        <v>3192</v>
      </c>
      <c r="I138" s="75">
        <f>VLOOKUP($A138,'Data Vlaue (Cr)'!$C:$FB,100)</f>
        <v>2811</v>
      </c>
      <c r="J138" s="75">
        <f t="shared" si="8"/>
        <v>381</v>
      </c>
      <c r="K138" s="75">
        <f t="shared" si="9"/>
        <v>11.936090225563909</v>
      </c>
      <c r="L138" s="75">
        <f>VLOOKUP($A138,'Data Vlaue (Cr)'!$C:$FB,67)</f>
        <v>3831</v>
      </c>
      <c r="M138" s="75">
        <f>VLOOKUP($A138,'Data Vlaue (Cr)'!$C:$FB,68)</f>
        <v>569</v>
      </c>
      <c r="N138" s="75">
        <f t="shared" si="10"/>
        <v>3262</v>
      </c>
      <c r="O138" s="75">
        <f t="shared" si="11"/>
        <v>85.147481075437227</v>
      </c>
      <c r="P138" s="75">
        <f>VLOOKUP($A138,'Data Vlaue (Cr)'!$C:$FB,119)</f>
        <v>0.53</v>
      </c>
      <c r="Q138" s="75">
        <f>VLOOKUP($A138,'Data Vlaue (Cr)'!$C:$FB,122)*100</f>
        <v>3.92</v>
      </c>
      <c r="R138" s="75">
        <f>VLOOKUP($A138,'Data Vlaue (Cr)'!$C:$FB,125)</f>
        <v>1.31</v>
      </c>
      <c r="S138" s="75">
        <f>VLOOKUP($A138,'Data Vlaue (Cr)'!$C:$FB,128)*100</f>
        <v>445.83000000000004</v>
      </c>
    </row>
    <row r="139" spans="1:19" x14ac:dyDescent="0.25">
      <c r="A139" s="96" t="str">
        <f>'Data Vlaue (Cr)'!C130</f>
        <v>MAZDOCK</v>
      </c>
      <c r="B139" s="75">
        <f>VLOOKUP($A139,'Data Vlaue (Cr)'!$C:$FB,2)</f>
        <v>175</v>
      </c>
      <c r="C139" s="75">
        <f>VLOOKUP($A139,'Data Vlaue (Cr)'!$C:$FB,8)</f>
        <v>2356.6</v>
      </c>
      <c r="D139" s="75">
        <f>VLOOKUP($A139,'Data Vlaue (Cr)'!$C:$FB,4)</f>
        <v>2362.6</v>
      </c>
      <c r="E139" s="75">
        <f>VLOOKUP($A139,'Data Vlaue (Cr)'!$C:$FB,5)</f>
        <v>2416.6</v>
      </c>
      <c r="F139" s="75">
        <f t="shared" si="6"/>
        <v>6</v>
      </c>
      <c r="G139" s="75">
        <f t="shared" si="7"/>
        <v>-2.2856175399983072</v>
      </c>
      <c r="H139" s="75">
        <f>VLOOKUP($A139,'Data Vlaue (Cr)'!$C:$FB,99)</f>
        <v>2500</v>
      </c>
      <c r="I139" s="75">
        <f>VLOOKUP($A139,'Data Vlaue (Cr)'!$C:$FB,100)</f>
        <v>2481</v>
      </c>
      <c r="J139" s="75">
        <f t="shared" si="8"/>
        <v>19</v>
      </c>
      <c r="K139" s="75">
        <f t="shared" si="9"/>
        <v>0.76</v>
      </c>
      <c r="L139" s="75">
        <f>VLOOKUP($A139,'Data Vlaue (Cr)'!$C:$FB,67)</f>
        <v>1527</v>
      </c>
      <c r="M139" s="75">
        <f>VLOOKUP($A139,'Data Vlaue (Cr)'!$C:$FB,68)</f>
        <v>1011</v>
      </c>
      <c r="N139" s="75">
        <f t="shared" si="10"/>
        <v>516</v>
      </c>
      <c r="O139" s="75">
        <f t="shared" si="11"/>
        <v>33.791748526522589</v>
      </c>
      <c r="P139" s="75">
        <f>VLOOKUP($A139,'Data Vlaue (Cr)'!$C:$FB,119)</f>
        <v>0.43</v>
      </c>
      <c r="Q139" s="75">
        <f>VLOOKUP($A139,'Data Vlaue (Cr)'!$C:$FB,122)*100</f>
        <v>-4.4400000000000004</v>
      </c>
      <c r="R139" s="75">
        <f>VLOOKUP($A139,'Data Vlaue (Cr)'!$C:$FB,125)</f>
        <v>0.6</v>
      </c>
      <c r="S139" s="75">
        <f>VLOOKUP($A139,'Data Vlaue (Cr)'!$C:$FB,128)*100</f>
        <v>50</v>
      </c>
    </row>
    <row r="140" spans="1:19" x14ac:dyDescent="0.25">
      <c r="A140" s="96" t="str">
        <f>'Data Vlaue (Cr)'!C131</f>
        <v>MCX</v>
      </c>
      <c r="B140" s="75">
        <f>VLOOKUP($A140,'Data Vlaue (Cr)'!$C:$FB,2)</f>
        <v>125</v>
      </c>
      <c r="C140" s="75">
        <f>VLOOKUP($A140,'Data Vlaue (Cr)'!$C:$FB,8)</f>
        <v>10025</v>
      </c>
      <c r="D140" s="75">
        <f>VLOOKUP($A140,'Data Vlaue (Cr)'!$C:$FB,4)</f>
        <v>10066</v>
      </c>
      <c r="E140" s="75">
        <f>VLOOKUP($A140,'Data Vlaue (Cr)'!$C:$FB,5)</f>
        <v>10195</v>
      </c>
      <c r="F140" s="75">
        <f t="shared" ref="F140:F176" si="12">D140-C140</f>
        <v>41</v>
      </c>
      <c r="G140" s="75">
        <f t="shared" ref="G140:G176" si="13">(D140-E140)/D140*100</f>
        <v>-1.2815418239618519</v>
      </c>
      <c r="H140" s="75">
        <f>VLOOKUP($A140,'Data Vlaue (Cr)'!$C:$FB,99)</f>
        <v>8079</v>
      </c>
      <c r="I140" s="75">
        <f>VLOOKUP($A140,'Data Vlaue (Cr)'!$C:$FB,100)</f>
        <v>7722</v>
      </c>
      <c r="J140" s="75">
        <f t="shared" ref="J140:J176" si="14">H140-I140</f>
        <v>357</v>
      </c>
      <c r="K140" s="75">
        <f t="shared" ref="K140:K176" si="15">J140/H140*100</f>
        <v>4.4188637207575194</v>
      </c>
      <c r="L140" s="75">
        <f>VLOOKUP($A140,'Data Vlaue (Cr)'!$C:$FB,67)</f>
        <v>6387</v>
      </c>
      <c r="M140" s="75">
        <f>VLOOKUP($A140,'Data Vlaue (Cr)'!$C:$FB,68)</f>
        <v>8501</v>
      </c>
      <c r="N140" s="75">
        <f t="shared" ref="N140:N176" si="16">L140-M140</f>
        <v>-2114</v>
      </c>
      <c r="O140" s="75">
        <f t="shared" ref="O140:O176" si="17">N140/L140*100</f>
        <v>-33.09848129012056</v>
      </c>
      <c r="P140" s="75">
        <f>VLOOKUP($A140,'Data Vlaue (Cr)'!$C:$FB,119)</f>
        <v>0.64</v>
      </c>
      <c r="Q140" s="75">
        <f>VLOOKUP($A140,'Data Vlaue (Cr)'!$C:$FB,122)*100</f>
        <v>-4.4799999999999995</v>
      </c>
      <c r="R140" s="75">
        <f>VLOOKUP($A140,'Data Vlaue (Cr)'!$C:$FB,125)</f>
        <v>0.65</v>
      </c>
      <c r="S140" s="75">
        <f>VLOOKUP($A140,'Data Vlaue (Cr)'!$C:$FB,128)*100</f>
        <v>-14.469999999999999</v>
      </c>
    </row>
    <row r="141" spans="1:19" x14ac:dyDescent="0.25">
      <c r="A141" s="96" t="str">
        <f>'Data Vlaue (Cr)'!C132</f>
        <v>MFSL</v>
      </c>
      <c r="B141" s="75">
        <f>VLOOKUP($A141,'Data Vlaue (Cr)'!$C:$FB,2)</f>
        <v>400</v>
      </c>
      <c r="C141" s="75">
        <f>VLOOKUP($A141,'Data Vlaue (Cr)'!$C:$FB,8)</f>
        <v>1663.9</v>
      </c>
      <c r="D141" s="75">
        <f>VLOOKUP($A141,'Data Vlaue (Cr)'!$C:$FB,4)</f>
        <v>1668.5</v>
      </c>
      <c r="E141" s="75">
        <f>VLOOKUP($A141,'Data Vlaue (Cr)'!$C:$FB,5)</f>
        <v>1675.8</v>
      </c>
      <c r="F141" s="75">
        <f t="shared" si="12"/>
        <v>4.5999999999999091</v>
      </c>
      <c r="G141" s="75">
        <f t="shared" si="13"/>
        <v>-0.43751872939765984</v>
      </c>
      <c r="H141" s="75">
        <f>VLOOKUP($A141,'Data Vlaue (Cr)'!$C:$FB,99)</f>
        <v>1803</v>
      </c>
      <c r="I141" s="75">
        <f>VLOOKUP($A141,'Data Vlaue (Cr)'!$C:$FB,100)</f>
        <v>1794</v>
      </c>
      <c r="J141" s="75">
        <f t="shared" si="14"/>
        <v>9</v>
      </c>
      <c r="K141" s="75">
        <f t="shared" si="15"/>
        <v>0.49916805324459235</v>
      </c>
      <c r="L141" s="75">
        <f>VLOOKUP($A141,'Data Vlaue (Cr)'!$C:$FB,67)</f>
        <v>626</v>
      </c>
      <c r="M141" s="75">
        <f>VLOOKUP($A141,'Data Vlaue (Cr)'!$C:$FB,68)</f>
        <v>693</v>
      </c>
      <c r="N141" s="75">
        <f t="shared" si="16"/>
        <v>-67</v>
      </c>
      <c r="O141" s="75">
        <f t="shared" si="17"/>
        <v>-10.702875399361023</v>
      </c>
      <c r="P141" s="75">
        <f>VLOOKUP($A141,'Data Vlaue (Cr)'!$C:$FB,119)</f>
        <v>0.53</v>
      </c>
      <c r="Q141" s="75">
        <f>VLOOKUP($A141,'Data Vlaue (Cr)'!$C:$FB,122)*100</f>
        <v>-3.64</v>
      </c>
      <c r="R141" s="75">
        <f>VLOOKUP($A141,'Data Vlaue (Cr)'!$C:$FB,125)</f>
        <v>0.61</v>
      </c>
      <c r="S141" s="75">
        <f>VLOOKUP($A141,'Data Vlaue (Cr)'!$C:$FB,128)*100</f>
        <v>48.78</v>
      </c>
    </row>
    <row r="142" spans="1:19" x14ac:dyDescent="0.25">
      <c r="A142" s="96" t="str">
        <f>'Data Vlaue (Cr)'!C133</f>
        <v>MIDCPNIFTY</v>
      </c>
      <c r="B142" s="75">
        <f>VLOOKUP($A142,'Data Vlaue (Cr)'!$C:$FB,2)</f>
        <v>140</v>
      </c>
      <c r="C142" s="75">
        <f>VLOOKUP($A142,'Data Vlaue (Cr)'!$C:$FB,8)</f>
        <v>13652.3</v>
      </c>
      <c r="D142" s="75">
        <f>VLOOKUP($A142,'Data Vlaue (Cr)'!$C:$FB,4)</f>
        <v>13686.05</v>
      </c>
      <c r="E142" s="75">
        <f>VLOOKUP($A142,'Data Vlaue (Cr)'!$C:$FB,5)</f>
        <v>13776.85</v>
      </c>
      <c r="F142" s="75">
        <f t="shared" si="12"/>
        <v>33.75</v>
      </c>
      <c r="G142" s="75">
        <f t="shared" si="13"/>
        <v>-0.66344927864505177</v>
      </c>
      <c r="H142" s="75">
        <f>VLOOKUP($A142,'Data Vlaue (Cr)'!$C:$FB,99)</f>
        <v>30701</v>
      </c>
      <c r="I142" s="75">
        <f>VLOOKUP($A142,'Data Vlaue (Cr)'!$C:$FB,100)</f>
        <v>29335</v>
      </c>
      <c r="J142" s="75">
        <f t="shared" si="14"/>
        <v>1366</v>
      </c>
      <c r="K142" s="75">
        <f t="shared" si="15"/>
        <v>4.4493664701475515</v>
      </c>
      <c r="L142" s="75">
        <f>VLOOKUP($A142,'Data Vlaue (Cr)'!$C:$FB,67)</f>
        <v>59780</v>
      </c>
      <c r="M142" s="75">
        <f>VLOOKUP($A142,'Data Vlaue (Cr)'!$C:$FB,68)</f>
        <v>52823</v>
      </c>
      <c r="N142" s="75">
        <f t="shared" si="16"/>
        <v>6957</v>
      </c>
      <c r="O142" s="75">
        <f t="shared" si="17"/>
        <v>11.637671462027434</v>
      </c>
      <c r="P142" s="75">
        <f>VLOOKUP($A142,'Data Vlaue (Cr)'!$C:$FB,119)</f>
        <v>0.86</v>
      </c>
      <c r="Q142" s="75">
        <f>VLOOKUP($A142,'Data Vlaue (Cr)'!$C:$FB,122)*100</f>
        <v>-5.4899999999999993</v>
      </c>
      <c r="R142" s="75">
        <f>VLOOKUP($A142,'Data Vlaue (Cr)'!$C:$FB,125)</f>
        <v>0.75</v>
      </c>
      <c r="S142" s="75">
        <f>VLOOKUP($A142,'Data Vlaue (Cr)'!$C:$FB,128)*100</f>
        <v>-12.790000000000001</v>
      </c>
    </row>
    <row r="143" spans="1:19" x14ac:dyDescent="0.25">
      <c r="A143" s="96" t="str">
        <f>'Data Vlaue (Cr)'!C134</f>
        <v>MOTHERSON</v>
      </c>
      <c r="B143" s="75">
        <f>VLOOKUP($A143,'Data Vlaue (Cr)'!$C:$FB,2)</f>
        <v>6150</v>
      </c>
      <c r="C143" s="75">
        <f>VLOOKUP($A143,'Data Vlaue (Cr)'!$C:$FB,8)</f>
        <v>119.56</v>
      </c>
      <c r="D143" s="75">
        <f>VLOOKUP($A143,'Data Vlaue (Cr)'!$C:$FB,4)</f>
        <v>119.73</v>
      </c>
      <c r="E143" s="75">
        <f>VLOOKUP($A143,'Data Vlaue (Cr)'!$C:$FB,5)</f>
        <v>119.97</v>
      </c>
      <c r="F143" s="75">
        <f t="shared" si="12"/>
        <v>0.17000000000000171</v>
      </c>
      <c r="G143" s="75">
        <f t="shared" si="13"/>
        <v>-0.20045101478325805</v>
      </c>
      <c r="H143" s="75">
        <f>VLOOKUP($A143,'Data Vlaue (Cr)'!$C:$FB,99)</f>
        <v>3582</v>
      </c>
      <c r="I143" s="75">
        <f>VLOOKUP($A143,'Data Vlaue (Cr)'!$C:$FB,100)</f>
        <v>3566</v>
      </c>
      <c r="J143" s="75">
        <f t="shared" si="14"/>
        <v>16</v>
      </c>
      <c r="K143" s="75"/>
      <c r="L143" s="75">
        <f>VLOOKUP($A143,'Data Vlaue (Cr)'!$C:$FB,67)</f>
        <v>853</v>
      </c>
      <c r="M143" s="75">
        <f>VLOOKUP($A143,'Data Vlaue (Cr)'!$C:$FB,68)</f>
        <v>557</v>
      </c>
      <c r="N143" s="75">
        <f t="shared" si="16"/>
        <v>296</v>
      </c>
      <c r="O143" s="75">
        <f t="shared" si="17"/>
        <v>34.7010550996483</v>
      </c>
      <c r="P143" s="75">
        <f>VLOOKUP($A143,'Data Vlaue (Cr)'!$C:$FB,119)</f>
        <v>0.79</v>
      </c>
      <c r="Q143" s="75">
        <f>VLOOKUP($A143,'Data Vlaue (Cr)'!$C:$FB,122)*100</f>
        <v>-1.25</v>
      </c>
      <c r="R143" s="75">
        <f>VLOOKUP($A143,'Data Vlaue (Cr)'!$C:$FB,125)</f>
        <v>0.46</v>
      </c>
      <c r="S143" s="75">
        <f>VLOOKUP($A143,'Data Vlaue (Cr)'!$C:$FB,128)*100</f>
        <v>-16.36</v>
      </c>
    </row>
    <row r="144" spans="1:19" x14ac:dyDescent="0.25">
      <c r="A144" s="96" t="str">
        <f>'Data Vlaue (Cr)'!C135</f>
        <v>MPHASIS</v>
      </c>
      <c r="B144" s="75">
        <f>VLOOKUP($A144,'Data Vlaue (Cr)'!$C:$FB,2)</f>
        <v>275</v>
      </c>
      <c r="C144" s="75">
        <f>VLOOKUP($A144,'Data Vlaue (Cr)'!$C:$FB,8)</f>
        <v>2865.3</v>
      </c>
      <c r="D144" s="75">
        <f>VLOOKUP($A144,'Data Vlaue (Cr)'!$C:$FB,4)</f>
        <v>2868.4</v>
      </c>
      <c r="E144" s="75">
        <f>VLOOKUP($A144,'Data Vlaue (Cr)'!$C:$FB,5)</f>
        <v>2866.9</v>
      </c>
      <c r="F144" s="75">
        <f t="shared" si="12"/>
        <v>3.0999999999999091</v>
      </c>
      <c r="G144" s="75">
        <f t="shared" si="13"/>
        <v>5.2293961790545254E-2</v>
      </c>
      <c r="H144" s="75">
        <f>VLOOKUP($A144,'Data Vlaue (Cr)'!$C:$FB,99)</f>
        <v>2531</v>
      </c>
      <c r="I144" s="75">
        <f>VLOOKUP($A144,'Data Vlaue (Cr)'!$C:$FB,100)</f>
        <v>2505</v>
      </c>
      <c r="J144" s="75">
        <f t="shared" si="14"/>
        <v>26</v>
      </c>
      <c r="K144" s="75">
        <f t="shared" si="15"/>
        <v>1.0272619517977084</v>
      </c>
      <c r="L144" s="75">
        <f>VLOOKUP($A144,'Data Vlaue (Cr)'!$C:$FB,67)</f>
        <v>610</v>
      </c>
      <c r="M144" s="75">
        <f>VLOOKUP($A144,'Data Vlaue (Cr)'!$C:$FB,68)</f>
        <v>792</v>
      </c>
      <c r="N144" s="75">
        <f t="shared" si="16"/>
        <v>-182</v>
      </c>
      <c r="O144" s="75">
        <f t="shared" si="17"/>
        <v>-29.836065573770494</v>
      </c>
      <c r="P144" s="75">
        <f>VLOOKUP($A144,'Data Vlaue (Cr)'!$C:$FB,119)</f>
        <v>0.77</v>
      </c>
      <c r="Q144" s="75">
        <f>VLOOKUP($A144,'Data Vlaue (Cr)'!$C:$FB,122)*100</f>
        <v>1.32</v>
      </c>
      <c r="R144" s="75">
        <f>VLOOKUP($A144,'Data Vlaue (Cr)'!$C:$FB,125)</f>
        <v>0.28000000000000003</v>
      </c>
      <c r="S144" s="75">
        <f>VLOOKUP($A144,'Data Vlaue (Cr)'!$C:$FB,128)*100</f>
        <v>-63.160000000000004</v>
      </c>
    </row>
    <row r="145" spans="1:19" x14ac:dyDescent="0.25">
      <c r="A145" s="96" t="str">
        <f>'Data Vlaue (Cr)'!C136</f>
        <v>MUTHOOTFIN</v>
      </c>
      <c r="B145" s="75">
        <f>VLOOKUP($A145,'Data Vlaue (Cr)'!$C:$FB,2)</f>
        <v>275</v>
      </c>
      <c r="C145" s="75">
        <f>VLOOKUP($A145,'Data Vlaue (Cr)'!$C:$FB,8)</f>
        <v>3766.5</v>
      </c>
      <c r="D145" s="75">
        <f>VLOOKUP($A145,'Data Vlaue (Cr)'!$C:$FB,4)</f>
        <v>3769.2</v>
      </c>
      <c r="E145" s="75">
        <f>VLOOKUP($A145,'Data Vlaue (Cr)'!$C:$FB,5)</f>
        <v>3850.4</v>
      </c>
      <c r="F145" s="75">
        <f t="shared" si="12"/>
        <v>2.6999999999998181</v>
      </c>
      <c r="G145" s="75">
        <f t="shared" si="13"/>
        <v>-2.1543033004351129</v>
      </c>
      <c r="H145" s="75">
        <f>VLOOKUP($A145,'Data Vlaue (Cr)'!$C:$FB,99)</f>
        <v>3183</v>
      </c>
      <c r="I145" s="75">
        <f>VLOOKUP($A145,'Data Vlaue (Cr)'!$C:$FB,100)</f>
        <v>3059</v>
      </c>
      <c r="J145" s="75">
        <f t="shared" si="14"/>
        <v>124</v>
      </c>
      <c r="K145" s="75">
        <f t="shared" si="15"/>
        <v>3.8956958843857996</v>
      </c>
      <c r="L145" s="75">
        <f>VLOOKUP($A145,'Data Vlaue (Cr)'!$C:$FB,67)</f>
        <v>4189</v>
      </c>
      <c r="M145" s="75">
        <f>VLOOKUP($A145,'Data Vlaue (Cr)'!$C:$FB,68)</f>
        <v>1899</v>
      </c>
      <c r="N145" s="75">
        <f t="shared" si="16"/>
        <v>2290</v>
      </c>
      <c r="O145" s="75">
        <f t="shared" si="17"/>
        <v>54.666984960611117</v>
      </c>
      <c r="P145" s="75">
        <f>VLOOKUP($A145,'Data Vlaue (Cr)'!$C:$FB,119)</f>
        <v>0.52</v>
      </c>
      <c r="Q145" s="75">
        <f>VLOOKUP($A145,'Data Vlaue (Cr)'!$C:$FB,122)*100</f>
        <v>-5.45</v>
      </c>
      <c r="R145" s="75">
        <f>VLOOKUP($A145,'Data Vlaue (Cr)'!$C:$FB,125)</f>
        <v>0.41</v>
      </c>
      <c r="S145" s="75">
        <f>VLOOKUP($A145,'Data Vlaue (Cr)'!$C:$FB,128)*100</f>
        <v>-29.310000000000002</v>
      </c>
    </row>
    <row r="146" spans="1:19" x14ac:dyDescent="0.25">
      <c r="A146" s="96" t="str">
        <f>'Data Vlaue (Cr)'!C137</f>
        <v>NATIONALUM</v>
      </c>
      <c r="B146" s="75">
        <f>VLOOKUP($A146,'Data Vlaue (Cr)'!$C:$FB,2)</f>
        <v>3750</v>
      </c>
      <c r="C146" s="75">
        <f>VLOOKUP($A146,'Data Vlaue (Cr)'!$C:$FB,8)</f>
        <v>279.45</v>
      </c>
      <c r="D146" s="75">
        <f>VLOOKUP($A146,'Data Vlaue (Cr)'!$C:$FB,4)</f>
        <v>279.7</v>
      </c>
      <c r="E146" s="75">
        <f>VLOOKUP($A146,'Data Vlaue (Cr)'!$C:$FB,5)</f>
        <v>277.10000000000002</v>
      </c>
      <c r="F146" s="75">
        <f t="shared" si="12"/>
        <v>0.25</v>
      </c>
      <c r="G146" s="75">
        <f t="shared" si="13"/>
        <v>0.92956739363602647</v>
      </c>
      <c r="H146" s="75">
        <f>VLOOKUP($A146,'Data Vlaue (Cr)'!$C:$FB,99)</f>
        <v>3386</v>
      </c>
      <c r="I146" s="75">
        <f>VLOOKUP($A146,'Data Vlaue (Cr)'!$C:$FB,100)</f>
        <v>3345</v>
      </c>
      <c r="J146" s="75">
        <f t="shared" si="14"/>
        <v>41</v>
      </c>
      <c r="K146" s="75">
        <f t="shared" si="15"/>
        <v>1.2108682811577083</v>
      </c>
      <c r="L146" s="75">
        <f>VLOOKUP($A146,'Data Vlaue (Cr)'!$C:$FB,67)</f>
        <v>2747</v>
      </c>
      <c r="M146" s="75">
        <f>VLOOKUP($A146,'Data Vlaue (Cr)'!$C:$FB,68)</f>
        <v>1817</v>
      </c>
      <c r="N146" s="75">
        <f t="shared" si="16"/>
        <v>930</v>
      </c>
      <c r="O146" s="75">
        <f t="shared" si="17"/>
        <v>33.855114670549689</v>
      </c>
      <c r="P146" s="75">
        <f>VLOOKUP($A146,'Data Vlaue (Cr)'!$C:$FB,119)</f>
        <v>0.85</v>
      </c>
      <c r="Q146" s="75">
        <f>VLOOKUP($A146,'Data Vlaue (Cr)'!$C:$FB,122)*100</f>
        <v>-2.2999999999999998</v>
      </c>
      <c r="R146" s="75">
        <f>VLOOKUP($A146,'Data Vlaue (Cr)'!$C:$FB,125)</f>
        <v>0.51</v>
      </c>
      <c r="S146" s="75">
        <f>VLOOKUP($A146,'Data Vlaue (Cr)'!$C:$FB,128)*100</f>
        <v>-16.39</v>
      </c>
    </row>
    <row r="147" spans="1:19" x14ac:dyDescent="0.25">
      <c r="A147" s="96" t="str">
        <f>'Data Vlaue (Cr)'!C138</f>
        <v>NAUKRI</v>
      </c>
      <c r="B147" s="75">
        <f>VLOOKUP($A147,'Data Vlaue (Cr)'!$C:$FB,2)</f>
        <v>375</v>
      </c>
      <c r="C147" s="75">
        <f>VLOOKUP($A147,'Data Vlaue (Cr)'!$C:$FB,8)</f>
        <v>1338.2</v>
      </c>
      <c r="D147" s="75">
        <f>VLOOKUP($A147,'Data Vlaue (Cr)'!$C:$FB,4)</f>
        <v>1343.2</v>
      </c>
      <c r="E147" s="75">
        <f>VLOOKUP($A147,'Data Vlaue (Cr)'!$C:$FB,5)</f>
        <v>1348.9</v>
      </c>
      <c r="F147" s="75">
        <f t="shared" si="12"/>
        <v>5</v>
      </c>
      <c r="G147" s="75">
        <f t="shared" si="13"/>
        <v>-0.42435973793925297</v>
      </c>
      <c r="H147" s="75">
        <f>VLOOKUP($A147,'Data Vlaue (Cr)'!$C:$FB,99)</f>
        <v>1827</v>
      </c>
      <c r="I147" s="75">
        <f>VLOOKUP($A147,'Data Vlaue (Cr)'!$C:$FB,100)</f>
        <v>1803</v>
      </c>
      <c r="J147" s="75">
        <f t="shared" si="14"/>
        <v>24</v>
      </c>
      <c r="K147" s="75">
        <f t="shared" si="15"/>
        <v>1.3136288998357963</v>
      </c>
      <c r="L147" s="75">
        <f>VLOOKUP($A147,'Data Vlaue (Cr)'!$C:$FB,67)</f>
        <v>417</v>
      </c>
      <c r="M147" s="75">
        <f>VLOOKUP($A147,'Data Vlaue (Cr)'!$C:$FB,68)</f>
        <v>414</v>
      </c>
      <c r="N147" s="75">
        <f t="shared" si="16"/>
        <v>3</v>
      </c>
      <c r="O147" s="75">
        <f t="shared" si="17"/>
        <v>0.71942446043165476</v>
      </c>
      <c r="P147" s="75">
        <f>VLOOKUP($A147,'Data Vlaue (Cr)'!$C:$FB,119)</f>
        <v>0.84</v>
      </c>
      <c r="Q147" s="75">
        <f>VLOOKUP($A147,'Data Vlaue (Cr)'!$C:$FB,122)*100</f>
        <v>-1.18</v>
      </c>
      <c r="R147" s="75">
        <f>VLOOKUP($A147,'Data Vlaue (Cr)'!$C:$FB,125)</f>
        <v>0.31</v>
      </c>
      <c r="S147" s="75">
        <f>VLOOKUP($A147,'Data Vlaue (Cr)'!$C:$FB,128)*100</f>
        <v>-38</v>
      </c>
    </row>
    <row r="148" spans="1:19" x14ac:dyDescent="0.25">
      <c r="A148" s="96" t="str">
        <f>'Data Vlaue (Cr)'!C139</f>
        <v>NBCC</v>
      </c>
      <c r="B148" s="75">
        <f>VLOOKUP($A148,'Data Vlaue (Cr)'!$C:$FB,2)</f>
        <v>6500</v>
      </c>
      <c r="C148" s="75">
        <f>VLOOKUP($A148,'Data Vlaue (Cr)'!$C:$FB,8)</f>
        <v>109.56</v>
      </c>
      <c r="D148" s="75">
        <f>VLOOKUP($A148,'Data Vlaue (Cr)'!$C:$FB,4)</f>
        <v>109.71</v>
      </c>
      <c r="E148" s="75">
        <f>VLOOKUP($A148,'Data Vlaue (Cr)'!$C:$FB,5)</f>
        <v>111.76</v>
      </c>
      <c r="F148" s="75">
        <f t="shared" si="12"/>
        <v>0.14999999999999147</v>
      </c>
      <c r="G148" s="75">
        <f t="shared" si="13"/>
        <v>-1.8685625740588931</v>
      </c>
      <c r="H148" s="75">
        <f>VLOOKUP($A148,'Data Vlaue (Cr)'!$C:$FB,99)</f>
        <v>1855</v>
      </c>
      <c r="I148" s="75">
        <f>VLOOKUP($A148,'Data Vlaue (Cr)'!$C:$FB,100)</f>
        <v>1713</v>
      </c>
      <c r="J148" s="75">
        <f t="shared" si="14"/>
        <v>142</v>
      </c>
      <c r="K148" s="75">
        <f t="shared" si="15"/>
        <v>7.6549865229110514</v>
      </c>
      <c r="L148" s="75">
        <f>VLOOKUP($A148,'Data Vlaue (Cr)'!$C:$FB,67)</f>
        <v>870</v>
      </c>
      <c r="M148" s="75">
        <f>VLOOKUP($A148,'Data Vlaue (Cr)'!$C:$FB,68)</f>
        <v>1180</v>
      </c>
      <c r="N148" s="75">
        <f t="shared" si="16"/>
        <v>-310</v>
      </c>
      <c r="O148" s="75">
        <f t="shared" si="17"/>
        <v>-35.632183908045981</v>
      </c>
      <c r="P148" s="75">
        <f>VLOOKUP($A148,'Data Vlaue (Cr)'!$C:$FB,119)</f>
        <v>0.4</v>
      </c>
      <c r="Q148" s="75">
        <f>VLOOKUP($A148,'Data Vlaue (Cr)'!$C:$FB,122)*100</f>
        <v>-14.89</v>
      </c>
      <c r="R148" s="75">
        <f>VLOOKUP($A148,'Data Vlaue (Cr)'!$C:$FB,125)</f>
        <v>0.28000000000000003</v>
      </c>
      <c r="S148" s="75">
        <f>VLOOKUP($A148,'Data Vlaue (Cr)'!$C:$FB,128)*100</f>
        <v>-55.559999999999995</v>
      </c>
    </row>
    <row r="149" spans="1:19" x14ac:dyDescent="0.25">
      <c r="A149" s="96" t="str">
        <f>'Data Vlaue (Cr)'!C140</f>
        <v>NCC</v>
      </c>
      <c r="B149" s="75">
        <f>VLOOKUP($A149,'Data Vlaue (Cr)'!$C:$FB,2)</f>
        <v>2700</v>
      </c>
      <c r="C149" s="75">
        <f>VLOOKUP($A149,'Data Vlaue (Cr)'!$C:$FB,8)</f>
        <v>155.32</v>
      </c>
      <c r="D149" s="75">
        <f>VLOOKUP($A149,'Data Vlaue (Cr)'!$C:$FB,4)</f>
        <v>155.97</v>
      </c>
      <c r="E149" s="75">
        <f>VLOOKUP($A149,'Data Vlaue (Cr)'!$C:$FB,5)</f>
        <v>157.91999999999999</v>
      </c>
      <c r="F149" s="75">
        <f t="shared" si="12"/>
        <v>0.65000000000000568</v>
      </c>
      <c r="G149" s="75">
        <f t="shared" si="13"/>
        <v>-1.2502404308520798</v>
      </c>
      <c r="H149" s="75">
        <f>VLOOKUP($A149,'Data Vlaue (Cr)'!$C:$FB,99)</f>
        <v>873</v>
      </c>
      <c r="I149" s="75">
        <f>VLOOKUP($A149,'Data Vlaue (Cr)'!$C:$FB,100)</f>
        <v>887</v>
      </c>
      <c r="J149" s="75">
        <f t="shared" si="14"/>
        <v>-14</v>
      </c>
      <c r="K149" s="75">
        <f t="shared" si="15"/>
        <v>-1.6036655211912942</v>
      </c>
      <c r="L149" s="75">
        <f>VLOOKUP($A149,'Data Vlaue (Cr)'!$C:$FB,67)</f>
        <v>314</v>
      </c>
      <c r="M149" s="75">
        <f>VLOOKUP($A149,'Data Vlaue (Cr)'!$C:$FB,68)</f>
        <v>303</v>
      </c>
      <c r="N149" s="75">
        <f t="shared" si="16"/>
        <v>11</v>
      </c>
      <c r="O149" s="75">
        <f t="shared" si="17"/>
        <v>3.5031847133757963</v>
      </c>
      <c r="P149" s="75">
        <f>VLOOKUP($A149,'Data Vlaue (Cr)'!$C:$FB,119)</f>
        <v>0.42</v>
      </c>
      <c r="Q149" s="75">
        <f>VLOOKUP($A149,'Data Vlaue (Cr)'!$C:$FB,122)*100</f>
        <v>0</v>
      </c>
      <c r="R149" s="75">
        <f>VLOOKUP($A149,'Data Vlaue (Cr)'!$C:$FB,125)</f>
        <v>0.45</v>
      </c>
      <c r="S149" s="75">
        <f>VLOOKUP($A149,'Data Vlaue (Cr)'!$C:$FB,128)*100</f>
        <v>9.76</v>
      </c>
    </row>
    <row r="150" spans="1:19" x14ac:dyDescent="0.25">
      <c r="A150" s="96" t="str">
        <f>'Data Vlaue (Cr)'!C141</f>
        <v>NESTLEIND</v>
      </c>
      <c r="B150" s="75">
        <f>VLOOKUP($A150,'Data Vlaue (Cr)'!$C:$FB,2)</f>
        <v>500</v>
      </c>
      <c r="C150" s="75">
        <f>VLOOKUP($A150,'Data Vlaue (Cr)'!$C:$FB,8)</f>
        <v>1234.5999999999999</v>
      </c>
      <c r="D150" s="75">
        <f>VLOOKUP($A150,'Data Vlaue (Cr)'!$C:$FB,4)</f>
        <v>1235.9000000000001</v>
      </c>
      <c r="E150" s="75">
        <f>VLOOKUP($A150,'Data Vlaue (Cr)'!$C:$FB,5)</f>
        <v>1244.4000000000001</v>
      </c>
      <c r="F150" s="75">
        <f t="shared" si="12"/>
        <v>1.3000000000001819</v>
      </c>
      <c r="G150" s="75">
        <f t="shared" si="13"/>
        <v>-0.68775790921595592</v>
      </c>
      <c r="H150" s="75">
        <f>VLOOKUP($A150,'Data Vlaue (Cr)'!$C:$FB,99)</f>
        <v>3222</v>
      </c>
      <c r="I150" s="75">
        <f>VLOOKUP($A150,'Data Vlaue (Cr)'!$C:$FB,100)</f>
        <v>3174</v>
      </c>
      <c r="J150" s="75">
        <f t="shared" si="14"/>
        <v>48</v>
      </c>
      <c r="K150" s="75">
        <f t="shared" si="15"/>
        <v>1.4897579143389199</v>
      </c>
      <c r="L150" s="75">
        <f>VLOOKUP($A150,'Data Vlaue (Cr)'!$C:$FB,67)</f>
        <v>1047</v>
      </c>
      <c r="M150" s="75">
        <f>VLOOKUP($A150,'Data Vlaue (Cr)'!$C:$FB,68)</f>
        <v>1825</v>
      </c>
      <c r="N150" s="75">
        <f t="shared" si="16"/>
        <v>-778</v>
      </c>
      <c r="O150" s="75">
        <f t="shared" si="17"/>
        <v>-74.307545367717282</v>
      </c>
      <c r="P150" s="75">
        <f>VLOOKUP($A150,'Data Vlaue (Cr)'!$C:$FB,119)</f>
        <v>0.31</v>
      </c>
      <c r="Q150" s="75">
        <f>VLOOKUP($A150,'Data Vlaue (Cr)'!$C:$FB,122)*100</f>
        <v>-6.0600000000000005</v>
      </c>
      <c r="R150" s="75">
        <f>VLOOKUP($A150,'Data Vlaue (Cr)'!$C:$FB,125)</f>
        <v>0.36</v>
      </c>
      <c r="S150" s="75">
        <f>VLOOKUP($A150,'Data Vlaue (Cr)'!$C:$FB,128)*100</f>
        <v>63.639999999999993</v>
      </c>
    </row>
    <row r="151" spans="1:19" x14ac:dyDescent="0.25">
      <c r="A151" s="96" t="str">
        <f>'Data Vlaue (Cr)'!C142</f>
        <v>NHPC</v>
      </c>
      <c r="B151" s="75">
        <f>VLOOKUP($A151,'Data Vlaue (Cr)'!$C:$FB,2)</f>
        <v>6400</v>
      </c>
      <c r="C151" s="75">
        <f>VLOOKUP($A151,'Data Vlaue (Cr)'!$C:$FB,8)</f>
        <v>75.39</v>
      </c>
      <c r="D151" s="75">
        <f>VLOOKUP($A151,'Data Vlaue (Cr)'!$C:$FB,4)</f>
        <v>75.569999999999993</v>
      </c>
      <c r="E151" s="75">
        <f>VLOOKUP($A151,'Data Vlaue (Cr)'!$C:$FB,5)</f>
        <v>75.97</v>
      </c>
      <c r="F151" s="75">
        <f t="shared" si="12"/>
        <v>0.17999999999999261</v>
      </c>
      <c r="G151" s="75">
        <f t="shared" si="13"/>
        <v>-0.52931057297870276</v>
      </c>
      <c r="H151" s="75">
        <f>VLOOKUP($A151,'Data Vlaue (Cr)'!$C:$FB,99)</f>
        <v>1073</v>
      </c>
      <c r="I151" s="75">
        <f>VLOOKUP($A151,'Data Vlaue (Cr)'!$C:$FB,100)</f>
        <v>1075</v>
      </c>
      <c r="J151" s="75">
        <f t="shared" si="14"/>
        <v>-2</v>
      </c>
      <c r="K151" s="75">
        <f t="shared" si="15"/>
        <v>-0.1863932898415657</v>
      </c>
      <c r="L151" s="75">
        <f>VLOOKUP($A151,'Data Vlaue (Cr)'!$C:$FB,67)</f>
        <v>290</v>
      </c>
      <c r="M151" s="75">
        <f>VLOOKUP($A151,'Data Vlaue (Cr)'!$C:$FB,68)</f>
        <v>239</v>
      </c>
      <c r="N151" s="75">
        <f t="shared" si="16"/>
        <v>51</v>
      </c>
      <c r="O151" s="75">
        <f t="shared" si="17"/>
        <v>17.586206896551722</v>
      </c>
      <c r="P151" s="75">
        <f>VLOOKUP($A151,'Data Vlaue (Cr)'!$C:$FB,119)</f>
        <v>0.45</v>
      </c>
      <c r="Q151" s="75">
        <f>VLOOKUP($A151,'Data Vlaue (Cr)'!$C:$FB,122)*100</f>
        <v>0</v>
      </c>
      <c r="R151" s="75">
        <f>VLOOKUP($A151,'Data Vlaue (Cr)'!$C:$FB,125)</f>
        <v>0.3</v>
      </c>
      <c r="S151" s="75">
        <f>VLOOKUP($A151,'Data Vlaue (Cr)'!$C:$FB,128)*100</f>
        <v>42.86</v>
      </c>
    </row>
    <row r="152" spans="1:19" x14ac:dyDescent="0.25">
      <c r="A152" s="96" t="str">
        <f>'Data Vlaue (Cr)'!C143</f>
        <v>NIFTY</v>
      </c>
      <c r="B152" s="75">
        <f>VLOOKUP($A152,'Data Vlaue (Cr)'!$C:$FB,2)</f>
        <v>75</v>
      </c>
      <c r="C152" s="75">
        <f>VLOOKUP($A152,'Data Vlaue (Cr)'!$C:$FB,8)</f>
        <v>25818.55</v>
      </c>
      <c r="D152" s="75">
        <f>VLOOKUP($A152,'Data Vlaue (Cr)'!$C:$FB,4)</f>
        <v>25897.8</v>
      </c>
      <c r="E152" s="75">
        <f>VLOOKUP($A152,'Data Vlaue (Cr)'!$C:$FB,5)</f>
        <v>25940.7</v>
      </c>
      <c r="F152" s="75">
        <f t="shared" si="12"/>
        <v>79.25</v>
      </c>
      <c r="G152" s="75">
        <f t="shared" si="13"/>
        <v>-0.16565113638996926</v>
      </c>
      <c r="H152" s="75">
        <f>VLOOKUP($A152,'Data Vlaue (Cr)'!$C:$FB,99)</f>
        <v>1173308</v>
      </c>
      <c r="I152" s="75">
        <f>VLOOKUP($A152,'Data Vlaue (Cr)'!$C:$FB,100)</f>
        <v>1671454</v>
      </c>
      <c r="J152" s="75">
        <f t="shared" si="14"/>
        <v>-498146</v>
      </c>
      <c r="K152" s="75">
        <f t="shared" si="15"/>
        <v>-42.456541675331628</v>
      </c>
      <c r="L152" s="75">
        <f>VLOOKUP($A152,'Data Vlaue (Cr)'!$C:$FB,67)</f>
        <v>9177462</v>
      </c>
      <c r="M152" s="75">
        <f>VLOOKUP($A152,'Data Vlaue (Cr)'!$C:$FB,68)</f>
        <v>51477251</v>
      </c>
      <c r="N152" s="75">
        <f t="shared" si="16"/>
        <v>-42299789</v>
      </c>
      <c r="O152" s="75">
        <f t="shared" si="17"/>
        <v>-460.90944315541702</v>
      </c>
      <c r="P152" s="75">
        <f>VLOOKUP($A152,'Data Vlaue (Cr)'!$C:$FB,119)</f>
        <v>0.77</v>
      </c>
      <c r="Q152" s="75">
        <f>VLOOKUP($A152,'Data Vlaue (Cr)'!$C:$FB,122)*100</f>
        <v>-14.44</v>
      </c>
      <c r="R152" s="75">
        <f>VLOOKUP($A152,'Data Vlaue (Cr)'!$C:$FB,125)</f>
        <v>0.98</v>
      </c>
      <c r="S152" s="75">
        <f>VLOOKUP($A152,'Data Vlaue (Cr)'!$C:$FB,128)*100</f>
        <v>-4.8500000000000005</v>
      </c>
    </row>
    <row r="153" spans="1:19" x14ac:dyDescent="0.25">
      <c r="A153" s="96" t="str">
        <f>'Data Vlaue (Cr)'!C144</f>
        <v>NIFTYNXT50</v>
      </c>
      <c r="B153" s="75">
        <f>VLOOKUP($A153,'Data Vlaue (Cr)'!$C:$FB,2)</f>
        <v>25</v>
      </c>
      <c r="C153" s="75">
        <f>VLOOKUP($A153,'Data Vlaue (Cr)'!$C:$FB,8)</f>
        <v>68076.850000000006</v>
      </c>
      <c r="D153" s="75">
        <f>VLOOKUP($A153,'Data Vlaue (Cr)'!$C:$FB,4)</f>
        <v>68220</v>
      </c>
      <c r="E153" s="75">
        <f>VLOOKUP($A153,'Data Vlaue (Cr)'!$C:$FB,5)</f>
        <v>68492</v>
      </c>
      <c r="F153" s="75">
        <f t="shared" si="12"/>
        <v>143.14999999999418</v>
      </c>
      <c r="G153" s="75">
        <f t="shared" si="13"/>
        <v>-0.39871005570214013</v>
      </c>
      <c r="H153" s="75">
        <f>VLOOKUP($A153,'Data Vlaue (Cr)'!$C:$FB,99)</f>
        <v>414</v>
      </c>
      <c r="I153" s="75">
        <f>VLOOKUP($A153,'Data Vlaue (Cr)'!$C:$FB,100)</f>
        <v>398</v>
      </c>
      <c r="J153" s="75">
        <f t="shared" si="14"/>
        <v>16</v>
      </c>
      <c r="K153" s="75">
        <f t="shared" si="15"/>
        <v>3.8647342995169081</v>
      </c>
      <c r="L153" s="75">
        <f>VLOOKUP($A153,'Data Vlaue (Cr)'!$C:$FB,67)</f>
        <v>183</v>
      </c>
      <c r="M153" s="75">
        <f>VLOOKUP($A153,'Data Vlaue (Cr)'!$C:$FB,68)</f>
        <v>135</v>
      </c>
      <c r="N153" s="75">
        <f t="shared" si="16"/>
        <v>48</v>
      </c>
      <c r="O153" s="75">
        <f t="shared" si="17"/>
        <v>26.229508196721312</v>
      </c>
      <c r="P153" s="75">
        <f>VLOOKUP($A153,'Data Vlaue (Cr)'!$C:$FB,119)</f>
        <v>0.93</v>
      </c>
      <c r="Q153" s="75">
        <f>VLOOKUP($A153,'Data Vlaue (Cr)'!$C:$FB,122)*100</f>
        <v>-3.1199999999999997</v>
      </c>
      <c r="R153" s="75">
        <f>VLOOKUP($A153,'Data Vlaue (Cr)'!$C:$FB,125)</f>
        <v>1.36</v>
      </c>
      <c r="S153" s="75">
        <f>VLOOKUP($A153,'Data Vlaue (Cr)'!$C:$FB,128)*100</f>
        <v>100</v>
      </c>
    </row>
    <row r="154" spans="1:19" x14ac:dyDescent="0.25">
      <c r="A154" s="96" t="str">
        <f>'Data Vlaue (Cr)'!C145</f>
        <v>NMDC</v>
      </c>
      <c r="B154" s="75">
        <f>VLOOKUP($A154,'Data Vlaue (Cr)'!$C:$FB,2)</f>
        <v>6750</v>
      </c>
      <c r="C154" s="75">
        <f>VLOOKUP($A154,'Data Vlaue (Cr)'!$C:$FB,8)</f>
        <v>77.28</v>
      </c>
      <c r="D154" s="75">
        <f>VLOOKUP($A154,'Data Vlaue (Cr)'!$C:$FB,4)</f>
        <v>77.349999999999994</v>
      </c>
      <c r="E154" s="75">
        <f>VLOOKUP($A154,'Data Vlaue (Cr)'!$C:$FB,5)</f>
        <v>77.31</v>
      </c>
      <c r="F154" s="75">
        <f t="shared" si="12"/>
        <v>6.9999999999993179E-2</v>
      </c>
      <c r="G154" s="75">
        <f t="shared" si="13"/>
        <v>5.1712992889453191E-2</v>
      </c>
      <c r="H154" s="75">
        <f>VLOOKUP($A154,'Data Vlaue (Cr)'!$C:$FB,99)</f>
        <v>4006</v>
      </c>
      <c r="I154" s="75">
        <f>VLOOKUP($A154,'Data Vlaue (Cr)'!$C:$FB,100)</f>
        <v>3916</v>
      </c>
      <c r="J154" s="75">
        <f t="shared" si="14"/>
        <v>90</v>
      </c>
      <c r="K154" s="75">
        <f t="shared" si="15"/>
        <v>2.2466300549176239</v>
      </c>
      <c r="L154" s="75">
        <f>VLOOKUP($A154,'Data Vlaue (Cr)'!$C:$FB,67)</f>
        <v>949</v>
      </c>
      <c r="M154" s="75">
        <f>VLOOKUP($A154,'Data Vlaue (Cr)'!$C:$FB,68)</f>
        <v>1067</v>
      </c>
      <c r="N154" s="75">
        <f t="shared" si="16"/>
        <v>-118</v>
      </c>
      <c r="O154" s="75">
        <f t="shared" si="17"/>
        <v>-12.434141201264488</v>
      </c>
      <c r="P154" s="75">
        <f>VLOOKUP($A154,'Data Vlaue (Cr)'!$C:$FB,119)</f>
        <v>0.68</v>
      </c>
      <c r="Q154" s="75">
        <f>VLOOKUP($A154,'Data Vlaue (Cr)'!$C:$FB,122)*100</f>
        <v>-1.4500000000000002</v>
      </c>
      <c r="R154" s="75">
        <f>VLOOKUP($A154,'Data Vlaue (Cr)'!$C:$FB,125)</f>
        <v>0.32</v>
      </c>
      <c r="S154" s="75">
        <f>VLOOKUP($A154,'Data Vlaue (Cr)'!$C:$FB,128)*100</f>
        <v>-33.33</v>
      </c>
    </row>
    <row r="155" spans="1:19" x14ac:dyDescent="0.25">
      <c r="A155" s="96" t="str">
        <f>'Data Vlaue (Cr)'!C146</f>
        <v>NTPC</v>
      </c>
      <c r="B155" s="75">
        <f>VLOOKUP($A155,'Data Vlaue (Cr)'!$C:$FB,2)</f>
        <v>1500</v>
      </c>
      <c r="C155" s="75">
        <f>VLOOKUP($A155,'Data Vlaue (Cr)'!$C:$FB,8)</f>
        <v>321.25</v>
      </c>
      <c r="D155" s="75">
        <f>VLOOKUP($A155,'Data Vlaue (Cr)'!$C:$FB,4)</f>
        <v>321.5</v>
      </c>
      <c r="E155" s="75">
        <f>VLOOKUP($A155,'Data Vlaue (Cr)'!$C:$FB,5)</f>
        <v>321.3</v>
      </c>
      <c r="F155" s="75">
        <f t="shared" si="12"/>
        <v>0.25</v>
      </c>
      <c r="G155" s="75">
        <f t="shared" si="13"/>
        <v>6.2208398133744514E-2</v>
      </c>
      <c r="H155" s="75">
        <f>VLOOKUP($A155,'Data Vlaue (Cr)'!$C:$FB,99)</f>
        <v>4774</v>
      </c>
      <c r="I155" s="75">
        <f>VLOOKUP($A155,'Data Vlaue (Cr)'!$C:$FB,100)</f>
        <v>4785</v>
      </c>
      <c r="J155" s="75">
        <f t="shared" si="14"/>
        <v>-11</v>
      </c>
      <c r="K155" s="75">
        <f t="shared" si="15"/>
        <v>-0.2304147465437788</v>
      </c>
      <c r="L155" s="75">
        <f>VLOOKUP($A155,'Data Vlaue (Cr)'!$C:$FB,67)</f>
        <v>885</v>
      </c>
      <c r="M155" s="75">
        <f>VLOOKUP($A155,'Data Vlaue (Cr)'!$C:$FB,68)</f>
        <v>1217</v>
      </c>
      <c r="N155" s="75">
        <f t="shared" si="16"/>
        <v>-332</v>
      </c>
      <c r="O155" s="75">
        <f t="shared" si="17"/>
        <v>-37.514124293785315</v>
      </c>
      <c r="P155" s="75">
        <f>VLOOKUP($A155,'Data Vlaue (Cr)'!$C:$FB,119)</f>
        <v>0.62</v>
      </c>
      <c r="Q155" s="75">
        <f>VLOOKUP($A155,'Data Vlaue (Cr)'!$C:$FB,122)*100</f>
        <v>3.3300000000000005</v>
      </c>
      <c r="R155" s="75">
        <f>VLOOKUP($A155,'Data Vlaue (Cr)'!$C:$FB,125)</f>
        <v>0.52</v>
      </c>
      <c r="S155" s="75">
        <f>VLOOKUP($A155,'Data Vlaue (Cr)'!$C:$FB,128)*100</f>
        <v>-1.8900000000000001</v>
      </c>
    </row>
    <row r="156" spans="1:19" x14ac:dyDescent="0.25">
      <c r="A156" s="96" t="str">
        <f>'Data Vlaue (Cr)'!C147</f>
        <v>NUVAMA</v>
      </c>
      <c r="B156" s="75">
        <f>VLOOKUP($A156,'Data Vlaue (Cr)'!$C:$FB,2)</f>
        <v>75</v>
      </c>
      <c r="C156" s="75">
        <f>VLOOKUP($A156,'Data Vlaue (Cr)'!$C:$FB,8)</f>
        <v>7171</v>
      </c>
      <c r="D156" s="75">
        <f>VLOOKUP($A156,'Data Vlaue (Cr)'!$C:$FB,4)</f>
        <v>7201.5</v>
      </c>
      <c r="E156" s="75">
        <f>VLOOKUP($A156,'Data Vlaue (Cr)'!$C:$FB,5)</f>
        <v>7214</v>
      </c>
      <c r="F156" s="75">
        <f t="shared" si="12"/>
        <v>30.5</v>
      </c>
      <c r="G156" s="75">
        <f t="shared" si="13"/>
        <v>-0.17357494966326459</v>
      </c>
      <c r="H156" s="75">
        <f>VLOOKUP($A156,'Data Vlaue (Cr)'!$C:$FB,99)</f>
        <v>636</v>
      </c>
      <c r="I156" s="75">
        <f>VLOOKUP($A156,'Data Vlaue (Cr)'!$C:$FB,100)</f>
        <v>607</v>
      </c>
      <c r="J156" s="75">
        <f t="shared" si="14"/>
        <v>29</v>
      </c>
      <c r="K156" s="75">
        <f t="shared" si="15"/>
        <v>4.5597484276729556</v>
      </c>
      <c r="L156" s="75">
        <f>VLOOKUP($A156,'Data Vlaue (Cr)'!$C:$FB,67)</f>
        <v>399</v>
      </c>
      <c r="M156" s="75">
        <f>VLOOKUP($A156,'Data Vlaue (Cr)'!$C:$FB,68)</f>
        <v>321</v>
      </c>
      <c r="N156" s="75">
        <f t="shared" si="16"/>
        <v>78</v>
      </c>
      <c r="O156" s="75">
        <f t="shared" si="17"/>
        <v>19.548872180451127</v>
      </c>
      <c r="P156" s="75">
        <f>VLOOKUP($A156,'Data Vlaue (Cr)'!$C:$FB,119)</f>
        <v>0.62</v>
      </c>
      <c r="Q156" s="75">
        <f>VLOOKUP($A156,'Data Vlaue (Cr)'!$C:$FB,122)*100</f>
        <v>16.98</v>
      </c>
      <c r="R156" s="75">
        <f>VLOOKUP($A156,'Data Vlaue (Cr)'!$C:$FB,125)</f>
        <v>0.93</v>
      </c>
      <c r="S156" s="75">
        <f>VLOOKUP($A156,'Data Vlaue (Cr)'!$C:$FB,128)*100</f>
        <v>-13.889999999999999</v>
      </c>
    </row>
    <row r="157" spans="1:19" x14ac:dyDescent="0.25">
      <c r="A157" s="96" t="str">
        <f>'Data Vlaue (Cr)'!C148</f>
        <v>NYKAA</v>
      </c>
      <c r="B157" s="75">
        <f>VLOOKUP($A157,'Data Vlaue (Cr)'!$C:$FB,2)</f>
        <v>3125</v>
      </c>
      <c r="C157" s="75">
        <f>VLOOKUP($A157,'Data Vlaue (Cr)'!$C:$FB,8)</f>
        <v>245.1</v>
      </c>
      <c r="D157" s="75">
        <f>VLOOKUP($A157,'Data Vlaue (Cr)'!$C:$FB,4)</f>
        <v>246.05</v>
      </c>
      <c r="E157" s="75">
        <f>VLOOKUP($A157,'Data Vlaue (Cr)'!$C:$FB,5)</f>
        <v>247.65</v>
      </c>
      <c r="F157" s="75">
        <f t="shared" si="12"/>
        <v>0.95000000000001705</v>
      </c>
      <c r="G157" s="75">
        <f t="shared" si="13"/>
        <v>-0.6502743344848585</v>
      </c>
      <c r="H157" s="75">
        <f>VLOOKUP($A157,'Data Vlaue (Cr)'!$C:$FB,99)</f>
        <v>2168</v>
      </c>
      <c r="I157" s="75">
        <f>VLOOKUP($A157,'Data Vlaue (Cr)'!$C:$FB,100)</f>
        <v>2167</v>
      </c>
      <c r="J157" s="75">
        <f t="shared" si="14"/>
        <v>1</v>
      </c>
      <c r="K157" s="75">
        <f t="shared" si="15"/>
        <v>4.6125461254612546E-2</v>
      </c>
      <c r="L157" s="75">
        <f>VLOOKUP($A157,'Data Vlaue (Cr)'!$C:$FB,67)</f>
        <v>522</v>
      </c>
      <c r="M157" s="75">
        <f>VLOOKUP($A157,'Data Vlaue (Cr)'!$C:$FB,68)</f>
        <v>732</v>
      </c>
      <c r="N157" s="75">
        <f t="shared" si="16"/>
        <v>-210</v>
      </c>
      <c r="O157" s="75">
        <f t="shared" si="17"/>
        <v>-40.229885057471265</v>
      </c>
      <c r="P157" s="75">
        <f>VLOOKUP($A157,'Data Vlaue (Cr)'!$C:$FB,119)</f>
        <v>0.41</v>
      </c>
      <c r="Q157" s="75">
        <f>VLOOKUP($A157,'Data Vlaue (Cr)'!$C:$FB,122)*100</f>
        <v>7.89</v>
      </c>
      <c r="R157" s="75">
        <f>VLOOKUP($A157,'Data Vlaue (Cr)'!$C:$FB,125)</f>
        <v>0.47</v>
      </c>
      <c r="S157" s="75">
        <f>VLOOKUP($A157,'Data Vlaue (Cr)'!$C:$FB,128)*100</f>
        <v>123.81</v>
      </c>
    </row>
    <row r="158" spans="1:19" x14ac:dyDescent="0.25">
      <c r="A158" s="96" t="str">
        <f>'Data Vlaue (Cr)'!C149</f>
        <v>OBEROIRLTY</v>
      </c>
      <c r="B158" s="75">
        <f>VLOOKUP($A158,'Data Vlaue (Cr)'!$C:$FB,2)</f>
        <v>350</v>
      </c>
      <c r="C158" s="75">
        <f>VLOOKUP($A158,'Data Vlaue (Cr)'!$C:$FB,8)</f>
        <v>1609.9</v>
      </c>
      <c r="D158" s="75">
        <f>VLOOKUP($A158,'Data Vlaue (Cr)'!$C:$FB,4)</f>
        <v>1609.6</v>
      </c>
      <c r="E158" s="75">
        <f>VLOOKUP($A158,'Data Vlaue (Cr)'!$C:$FB,5)</f>
        <v>1628.3</v>
      </c>
      <c r="F158" s="75">
        <f t="shared" si="12"/>
        <v>-0.3000000000001819</v>
      </c>
      <c r="G158" s="75">
        <f t="shared" si="13"/>
        <v>-1.1617793240556689</v>
      </c>
      <c r="H158" s="75">
        <f>VLOOKUP($A158,'Data Vlaue (Cr)'!$C:$FB,99)</f>
        <v>1321</v>
      </c>
      <c r="I158" s="75">
        <f>VLOOKUP($A158,'Data Vlaue (Cr)'!$C:$FB,100)</f>
        <v>1306</v>
      </c>
      <c r="J158" s="75">
        <f t="shared" si="14"/>
        <v>15</v>
      </c>
      <c r="K158" s="75">
        <f t="shared" si="15"/>
        <v>1.1355034065102196</v>
      </c>
      <c r="L158" s="75">
        <f>VLOOKUP($A158,'Data Vlaue (Cr)'!$C:$FB,67)</f>
        <v>401</v>
      </c>
      <c r="M158" s="75">
        <f>VLOOKUP($A158,'Data Vlaue (Cr)'!$C:$FB,68)</f>
        <v>332</v>
      </c>
      <c r="N158" s="75">
        <f t="shared" si="16"/>
        <v>69</v>
      </c>
      <c r="O158" s="75">
        <f t="shared" si="17"/>
        <v>17.206982543640898</v>
      </c>
      <c r="P158" s="75">
        <f>VLOOKUP($A158,'Data Vlaue (Cr)'!$C:$FB,119)</f>
        <v>0.62</v>
      </c>
      <c r="Q158" s="75">
        <f>VLOOKUP($A158,'Data Vlaue (Cr)'!$C:$FB,122)*100</f>
        <v>1.6400000000000001</v>
      </c>
      <c r="R158" s="75">
        <f>VLOOKUP($A158,'Data Vlaue (Cr)'!$C:$FB,125)</f>
        <v>0.71</v>
      </c>
      <c r="S158" s="75">
        <f>VLOOKUP($A158,'Data Vlaue (Cr)'!$C:$FB,128)*100</f>
        <v>102.86</v>
      </c>
    </row>
    <row r="159" spans="1:19" x14ac:dyDescent="0.25">
      <c r="A159" s="96" t="str">
        <f>'Data Vlaue (Cr)'!C150</f>
        <v>OFSS</v>
      </c>
      <c r="B159" s="75">
        <f>VLOOKUP($A159,'Data Vlaue (Cr)'!$C:$FB,2)</f>
        <v>75</v>
      </c>
      <c r="C159" s="75">
        <f>VLOOKUP($A159,'Data Vlaue (Cr)'!$C:$FB,8)</f>
        <v>7712.5</v>
      </c>
      <c r="D159" s="75">
        <f>VLOOKUP($A159,'Data Vlaue (Cr)'!$C:$FB,4)</f>
        <v>7727.5</v>
      </c>
      <c r="E159" s="75">
        <f>VLOOKUP($A159,'Data Vlaue (Cr)'!$C:$FB,5)</f>
        <v>7842.5</v>
      </c>
      <c r="F159" s="75">
        <f t="shared" si="12"/>
        <v>15</v>
      </c>
      <c r="G159" s="75">
        <f t="shared" si="13"/>
        <v>-1.4881915237787124</v>
      </c>
      <c r="H159" s="75">
        <f>VLOOKUP($A159,'Data Vlaue (Cr)'!$C:$FB,99)</f>
        <v>2128</v>
      </c>
      <c r="I159" s="75">
        <f>VLOOKUP($A159,'Data Vlaue (Cr)'!$C:$FB,100)</f>
        <v>2095</v>
      </c>
      <c r="J159" s="75">
        <f t="shared" si="14"/>
        <v>33</v>
      </c>
      <c r="K159" s="75">
        <f t="shared" si="15"/>
        <v>1.5507518796992481</v>
      </c>
      <c r="L159" s="75">
        <f>VLOOKUP($A159,'Data Vlaue (Cr)'!$C:$FB,67)</f>
        <v>1080</v>
      </c>
      <c r="M159" s="75">
        <f>VLOOKUP($A159,'Data Vlaue (Cr)'!$C:$FB,68)</f>
        <v>1182</v>
      </c>
      <c r="N159" s="75">
        <f t="shared" si="16"/>
        <v>-102</v>
      </c>
      <c r="O159" s="75">
        <f t="shared" si="17"/>
        <v>-9.4444444444444446</v>
      </c>
      <c r="P159" s="75">
        <f>VLOOKUP($A159,'Data Vlaue (Cr)'!$C:$FB,119)</f>
        <v>0.64</v>
      </c>
      <c r="Q159" s="75">
        <f>VLOOKUP($A159,'Data Vlaue (Cr)'!$C:$FB,122)*100</f>
        <v>-15.790000000000001</v>
      </c>
      <c r="R159" s="75">
        <f>VLOOKUP($A159,'Data Vlaue (Cr)'!$C:$FB,125)</f>
        <v>0.56000000000000005</v>
      </c>
      <c r="S159" s="75">
        <f>VLOOKUP($A159,'Data Vlaue (Cr)'!$C:$FB,128)*100</f>
        <v>-46.150000000000006</v>
      </c>
    </row>
    <row r="160" spans="1:19" x14ac:dyDescent="0.25">
      <c r="A160" s="96" t="str">
        <f>'Data Vlaue (Cr)'!C151</f>
        <v>OIL</v>
      </c>
      <c r="B160" s="75">
        <f>VLOOKUP($A160,'Data Vlaue (Cr)'!$C:$FB,2)</f>
        <v>1400</v>
      </c>
      <c r="C160" s="75">
        <f>VLOOKUP($A160,'Data Vlaue (Cr)'!$C:$FB,8)</f>
        <v>398.15</v>
      </c>
      <c r="D160" s="75">
        <f>VLOOKUP($A160,'Data Vlaue (Cr)'!$C:$FB,4)</f>
        <v>398.25</v>
      </c>
      <c r="E160" s="75">
        <f>VLOOKUP($A160,'Data Vlaue (Cr)'!$C:$FB,5)</f>
        <v>402.05</v>
      </c>
      <c r="F160" s="75">
        <f t="shared" si="12"/>
        <v>0.10000000000002274</v>
      </c>
      <c r="G160" s="75">
        <f t="shared" si="13"/>
        <v>-0.95417451349655036</v>
      </c>
      <c r="H160" s="75">
        <f>VLOOKUP($A160,'Data Vlaue (Cr)'!$C:$FB,99)</f>
        <v>888</v>
      </c>
      <c r="I160" s="75">
        <f>VLOOKUP($A160,'Data Vlaue (Cr)'!$C:$FB,100)</f>
        <v>855</v>
      </c>
      <c r="J160" s="75">
        <f t="shared" si="14"/>
        <v>33</v>
      </c>
      <c r="K160" s="75">
        <f t="shared" si="15"/>
        <v>3.7162162162162162</v>
      </c>
      <c r="L160" s="75">
        <f>VLOOKUP($A160,'Data Vlaue (Cr)'!$C:$FB,67)</f>
        <v>248</v>
      </c>
      <c r="M160" s="75">
        <f>VLOOKUP($A160,'Data Vlaue (Cr)'!$C:$FB,68)</f>
        <v>157</v>
      </c>
      <c r="N160" s="75">
        <f t="shared" si="16"/>
        <v>91</v>
      </c>
      <c r="O160" s="75">
        <f t="shared" si="17"/>
        <v>36.693548387096776</v>
      </c>
      <c r="P160" s="75">
        <f>VLOOKUP($A160,'Data Vlaue (Cr)'!$C:$FB,119)</f>
        <v>0.53</v>
      </c>
      <c r="Q160" s="75">
        <f>VLOOKUP($A160,'Data Vlaue (Cr)'!$C:$FB,122)*100</f>
        <v>-5.36</v>
      </c>
      <c r="R160" s="75">
        <f>VLOOKUP($A160,'Data Vlaue (Cr)'!$C:$FB,125)</f>
        <v>0.34</v>
      </c>
      <c r="S160" s="75">
        <f>VLOOKUP($A160,'Data Vlaue (Cr)'!$C:$FB,128)*100</f>
        <v>-17.07</v>
      </c>
    </row>
    <row r="161" spans="1:19" x14ac:dyDescent="0.25">
      <c r="A161" s="96" t="str">
        <f>'Data Vlaue (Cr)'!C152</f>
        <v>ONGC</v>
      </c>
      <c r="B161" s="75">
        <f>VLOOKUP($A161,'Data Vlaue (Cr)'!$C:$FB,2)</f>
        <v>2250</v>
      </c>
      <c r="C161" s="75">
        <f>VLOOKUP($A161,'Data Vlaue (Cr)'!$C:$FB,8)</f>
        <v>232.91</v>
      </c>
      <c r="D161" s="75">
        <f>VLOOKUP($A161,'Data Vlaue (Cr)'!$C:$FB,4)</f>
        <v>233.14</v>
      </c>
      <c r="E161" s="75">
        <f>VLOOKUP($A161,'Data Vlaue (Cr)'!$C:$FB,5)</f>
        <v>232.75</v>
      </c>
      <c r="F161" s="75">
        <f t="shared" si="12"/>
        <v>0.22999999999998977</v>
      </c>
      <c r="G161" s="75">
        <f t="shared" si="13"/>
        <v>0.16728146178261405</v>
      </c>
      <c r="H161" s="75">
        <f>VLOOKUP($A161,'Data Vlaue (Cr)'!$C:$FB,99)</f>
        <v>4457</v>
      </c>
      <c r="I161" s="75">
        <f>VLOOKUP($A161,'Data Vlaue (Cr)'!$C:$FB,100)</f>
        <v>4362</v>
      </c>
      <c r="J161" s="75">
        <f t="shared" si="14"/>
        <v>95</v>
      </c>
      <c r="K161" s="75">
        <f t="shared" si="15"/>
        <v>2.1314785730311869</v>
      </c>
      <c r="L161" s="75">
        <f>VLOOKUP($A161,'Data Vlaue (Cr)'!$C:$FB,67)</f>
        <v>1606</v>
      </c>
      <c r="M161" s="75">
        <f>VLOOKUP($A161,'Data Vlaue (Cr)'!$C:$FB,68)</f>
        <v>1452</v>
      </c>
      <c r="N161" s="75">
        <f t="shared" si="16"/>
        <v>154</v>
      </c>
      <c r="O161" s="75">
        <f t="shared" si="17"/>
        <v>9.5890410958904102</v>
      </c>
      <c r="P161" s="75">
        <f>VLOOKUP($A161,'Data Vlaue (Cr)'!$C:$FB,119)</f>
        <v>0.41</v>
      </c>
      <c r="Q161" s="75">
        <f>VLOOKUP($A161,'Data Vlaue (Cr)'!$C:$FB,122)*100</f>
        <v>-2.3800000000000003</v>
      </c>
      <c r="R161" s="75">
        <f>VLOOKUP($A161,'Data Vlaue (Cr)'!$C:$FB,125)</f>
        <v>0.67</v>
      </c>
      <c r="S161" s="75">
        <f>VLOOKUP($A161,'Data Vlaue (Cr)'!$C:$FB,128)*100</f>
        <v>6.35</v>
      </c>
    </row>
    <row r="162" spans="1:19" x14ac:dyDescent="0.25">
      <c r="A162" s="96" t="str">
        <f>'Data Vlaue (Cr)'!C153</f>
        <v>PAGEIND</v>
      </c>
      <c r="B162" s="75">
        <f>VLOOKUP($A162,'Data Vlaue (Cr)'!$C:$FB,2)</f>
        <v>15</v>
      </c>
      <c r="C162" s="75">
        <f>VLOOKUP($A162,'Data Vlaue (Cr)'!$C:$FB,8)</f>
        <v>36055</v>
      </c>
      <c r="D162" s="75">
        <f>VLOOKUP($A162,'Data Vlaue (Cr)'!$C:$FB,4)</f>
        <v>36085</v>
      </c>
      <c r="E162" s="75">
        <f>VLOOKUP($A162,'Data Vlaue (Cr)'!$C:$FB,5)</f>
        <v>36495</v>
      </c>
      <c r="F162" s="75">
        <f t="shared" si="12"/>
        <v>30</v>
      </c>
      <c r="G162" s="75">
        <f t="shared" si="13"/>
        <v>-1.1362061798531247</v>
      </c>
      <c r="H162" s="75">
        <f>VLOOKUP($A162,'Data Vlaue (Cr)'!$C:$FB,99)</f>
        <v>1643</v>
      </c>
      <c r="I162" s="75">
        <f>VLOOKUP($A162,'Data Vlaue (Cr)'!$C:$FB,100)</f>
        <v>1576</v>
      </c>
      <c r="J162" s="75">
        <f t="shared" si="14"/>
        <v>67</v>
      </c>
      <c r="K162" s="75">
        <f t="shared" si="15"/>
        <v>4.0779062690200849</v>
      </c>
      <c r="L162" s="75">
        <f>VLOOKUP($A162,'Data Vlaue (Cr)'!$C:$FB,67)</f>
        <v>780</v>
      </c>
      <c r="M162" s="75">
        <f>VLOOKUP($A162,'Data Vlaue (Cr)'!$C:$FB,68)</f>
        <v>537</v>
      </c>
      <c r="N162" s="75">
        <f t="shared" si="16"/>
        <v>243</v>
      </c>
      <c r="O162" s="75">
        <f t="shared" si="17"/>
        <v>31.153846153846153</v>
      </c>
      <c r="P162" s="75">
        <f>VLOOKUP($A162,'Data Vlaue (Cr)'!$C:$FB,119)</f>
        <v>0.41</v>
      </c>
      <c r="Q162" s="75">
        <f>VLOOKUP($A162,'Data Vlaue (Cr)'!$C:$FB,122)*100</f>
        <v>-4.6500000000000004</v>
      </c>
      <c r="R162" s="75">
        <f>VLOOKUP($A162,'Data Vlaue (Cr)'!$C:$FB,125)</f>
        <v>0.24</v>
      </c>
      <c r="S162" s="75">
        <f>VLOOKUP($A162,'Data Vlaue (Cr)'!$C:$FB,128)*100</f>
        <v>-4</v>
      </c>
    </row>
    <row r="163" spans="1:19" x14ac:dyDescent="0.25">
      <c r="A163" s="96" t="str">
        <f>'Data Vlaue (Cr)'!C154</f>
        <v>PATANJALI</v>
      </c>
      <c r="B163" s="75">
        <f>VLOOKUP($A163,'Data Vlaue (Cr)'!$C:$FB,2)</f>
        <v>900</v>
      </c>
      <c r="C163" s="75">
        <f>VLOOKUP($A163,'Data Vlaue (Cr)'!$C:$FB,8)</f>
        <v>543.9</v>
      </c>
      <c r="D163" s="75">
        <f>VLOOKUP($A163,'Data Vlaue (Cr)'!$C:$FB,4)</f>
        <v>544.6</v>
      </c>
      <c r="E163" s="75">
        <f>VLOOKUP($A163,'Data Vlaue (Cr)'!$C:$FB,5)</f>
        <v>539.5</v>
      </c>
      <c r="F163" s="75">
        <f t="shared" si="12"/>
        <v>0.70000000000004547</v>
      </c>
      <c r="G163" s="75">
        <f t="shared" si="13"/>
        <v>0.93646713183988661</v>
      </c>
      <c r="H163" s="75">
        <f>VLOOKUP($A163,'Data Vlaue (Cr)'!$C:$FB,99)</f>
        <v>2671</v>
      </c>
      <c r="I163" s="75">
        <f>VLOOKUP($A163,'Data Vlaue (Cr)'!$C:$FB,100)</f>
        <v>2583</v>
      </c>
      <c r="J163" s="75">
        <f t="shared" si="14"/>
        <v>88</v>
      </c>
      <c r="K163" s="75">
        <f t="shared" si="15"/>
        <v>3.294646199925122</v>
      </c>
      <c r="L163" s="75">
        <f>VLOOKUP($A163,'Data Vlaue (Cr)'!$C:$FB,67)</f>
        <v>1333</v>
      </c>
      <c r="M163" s="75">
        <f>VLOOKUP($A163,'Data Vlaue (Cr)'!$C:$FB,68)</f>
        <v>900</v>
      </c>
      <c r="N163" s="75">
        <f t="shared" si="16"/>
        <v>433</v>
      </c>
      <c r="O163" s="75">
        <f t="shared" si="17"/>
        <v>32.483120780195044</v>
      </c>
      <c r="P163" s="75">
        <f>VLOOKUP($A163,'Data Vlaue (Cr)'!$C:$FB,119)</f>
        <v>0.48</v>
      </c>
      <c r="Q163" s="75">
        <f>VLOOKUP($A163,'Data Vlaue (Cr)'!$C:$FB,122)*100</f>
        <v>6.67</v>
      </c>
      <c r="R163" s="75">
        <f>VLOOKUP($A163,'Data Vlaue (Cr)'!$C:$FB,125)</f>
        <v>0.32</v>
      </c>
      <c r="S163" s="75">
        <f>VLOOKUP($A163,'Data Vlaue (Cr)'!$C:$FB,128)*100</f>
        <v>-3.0300000000000002</v>
      </c>
    </row>
    <row r="164" spans="1:19" x14ac:dyDescent="0.25">
      <c r="A164" s="96" t="str">
        <f>'Data Vlaue (Cr)'!C155</f>
        <v>PAYTM</v>
      </c>
      <c r="B164" s="75">
        <f>VLOOKUP($A164,'Data Vlaue (Cr)'!$C:$FB,2)</f>
        <v>725</v>
      </c>
      <c r="C164" s="75">
        <f>VLOOKUP($A164,'Data Vlaue (Cr)'!$C:$FB,8)</f>
        <v>1268.5999999999999</v>
      </c>
      <c r="D164" s="75">
        <f>VLOOKUP($A164,'Data Vlaue (Cr)'!$C:$FB,4)</f>
        <v>1272.7</v>
      </c>
      <c r="E164" s="75">
        <f>VLOOKUP($A164,'Data Vlaue (Cr)'!$C:$FB,5)</f>
        <v>1282.0999999999999</v>
      </c>
      <c r="F164" s="75">
        <f t="shared" si="12"/>
        <v>4.1000000000001364</v>
      </c>
      <c r="G164" s="75">
        <f t="shared" si="13"/>
        <v>-0.7385872554411772</v>
      </c>
      <c r="H164" s="75">
        <f>VLOOKUP($A164,'Data Vlaue (Cr)'!$C:$FB,99)</f>
        <v>4528</v>
      </c>
      <c r="I164" s="75">
        <f>VLOOKUP($A164,'Data Vlaue (Cr)'!$C:$FB,100)</f>
        <v>4337</v>
      </c>
      <c r="J164" s="75">
        <f t="shared" si="14"/>
        <v>191</v>
      </c>
      <c r="K164" s="75">
        <f t="shared" si="15"/>
        <v>4.218197879858657</v>
      </c>
      <c r="L164" s="75">
        <f>VLOOKUP($A164,'Data Vlaue (Cr)'!$C:$FB,67)</f>
        <v>1981</v>
      </c>
      <c r="M164" s="75">
        <f>VLOOKUP($A164,'Data Vlaue (Cr)'!$C:$FB,68)</f>
        <v>2170</v>
      </c>
      <c r="N164" s="75">
        <f t="shared" si="16"/>
        <v>-189</v>
      </c>
      <c r="O164" s="75">
        <f t="shared" si="17"/>
        <v>-9.5406360424028271</v>
      </c>
      <c r="P164" s="75">
        <f>VLOOKUP($A164,'Data Vlaue (Cr)'!$C:$FB,119)</f>
        <v>0.54</v>
      </c>
      <c r="Q164" s="75">
        <f>VLOOKUP($A164,'Data Vlaue (Cr)'!$C:$FB,122)*100</f>
        <v>-8.4699999999999989</v>
      </c>
      <c r="R164" s="75">
        <f>VLOOKUP($A164,'Data Vlaue (Cr)'!$C:$FB,125)</f>
        <v>0.44</v>
      </c>
      <c r="S164" s="75">
        <f>VLOOKUP($A164,'Data Vlaue (Cr)'!$C:$FB,128)*100</f>
        <v>-15.379999999999999</v>
      </c>
    </row>
    <row r="165" spans="1:19" x14ac:dyDescent="0.25">
      <c r="A165" s="96" t="str">
        <f>'Data Vlaue (Cr)'!C156</f>
        <v>PERSISTENT</v>
      </c>
      <c r="B165" s="75">
        <f>VLOOKUP($A165,'Data Vlaue (Cr)'!$C:$FB,2)</f>
        <v>100</v>
      </c>
      <c r="C165" s="75">
        <f>VLOOKUP($A165,'Data Vlaue (Cr)'!$C:$FB,8)</f>
        <v>6282.5</v>
      </c>
      <c r="D165" s="75">
        <f>VLOOKUP($A165,'Data Vlaue (Cr)'!$C:$FB,4)</f>
        <v>6289</v>
      </c>
      <c r="E165" s="75">
        <f>VLOOKUP($A165,'Data Vlaue (Cr)'!$C:$FB,5)</f>
        <v>6266.5</v>
      </c>
      <c r="F165" s="75">
        <f t="shared" si="12"/>
        <v>6.5</v>
      </c>
      <c r="G165" s="75">
        <f t="shared" si="13"/>
        <v>0.35776753060899985</v>
      </c>
      <c r="H165" s="75">
        <f>VLOOKUP($A165,'Data Vlaue (Cr)'!$C:$FB,99)</f>
        <v>2549</v>
      </c>
      <c r="I165" s="75">
        <f>VLOOKUP($A165,'Data Vlaue (Cr)'!$C:$FB,100)</f>
        <v>2474</v>
      </c>
      <c r="J165" s="75">
        <f t="shared" si="14"/>
        <v>75</v>
      </c>
      <c r="K165" s="75">
        <f t="shared" si="15"/>
        <v>2.9423303256178897</v>
      </c>
      <c r="L165" s="75">
        <f>VLOOKUP($A165,'Data Vlaue (Cr)'!$C:$FB,67)</f>
        <v>1457</v>
      </c>
      <c r="M165" s="75">
        <f>VLOOKUP($A165,'Data Vlaue (Cr)'!$C:$FB,68)</f>
        <v>1502</v>
      </c>
      <c r="N165" s="75">
        <f t="shared" si="16"/>
        <v>-45</v>
      </c>
      <c r="O165" s="75">
        <f t="shared" si="17"/>
        <v>-3.0885380919698009</v>
      </c>
      <c r="P165" s="75">
        <f>VLOOKUP($A165,'Data Vlaue (Cr)'!$C:$FB,119)</f>
        <v>0.57999999999999996</v>
      </c>
      <c r="Q165" s="75">
        <f>VLOOKUP($A165,'Data Vlaue (Cr)'!$C:$FB,122)*100</f>
        <v>-3.3300000000000005</v>
      </c>
      <c r="R165" s="75">
        <f>VLOOKUP($A165,'Data Vlaue (Cr)'!$C:$FB,125)</f>
        <v>0.47</v>
      </c>
      <c r="S165" s="75">
        <f>VLOOKUP($A165,'Data Vlaue (Cr)'!$C:$FB,128)*100</f>
        <v>-35.620000000000005</v>
      </c>
    </row>
    <row r="166" spans="1:19" x14ac:dyDescent="0.25">
      <c r="A166" s="96" t="str">
        <f>'Data Vlaue (Cr)'!C157</f>
        <v>PETRONET</v>
      </c>
      <c r="B166" s="75">
        <f>VLOOKUP($A166,'Data Vlaue (Cr)'!$C:$FB,2)</f>
        <v>1800</v>
      </c>
      <c r="C166" s="75">
        <f>VLOOKUP($A166,'Data Vlaue (Cr)'!$C:$FB,8)</f>
        <v>268.64999999999998</v>
      </c>
      <c r="D166" s="75">
        <f>VLOOKUP($A166,'Data Vlaue (Cr)'!$C:$FB,4)</f>
        <v>269.45</v>
      </c>
      <c r="E166" s="75">
        <f>VLOOKUP($A166,'Data Vlaue (Cr)'!$C:$FB,5)</f>
        <v>265.39999999999998</v>
      </c>
      <c r="F166" s="75">
        <f t="shared" si="12"/>
        <v>0.80000000000001137</v>
      </c>
      <c r="G166" s="75">
        <f t="shared" si="13"/>
        <v>1.5030617925403642</v>
      </c>
      <c r="H166" s="75">
        <f>VLOOKUP($A166,'Data Vlaue (Cr)'!$C:$FB,99)</f>
        <v>2208</v>
      </c>
      <c r="I166" s="75">
        <f>VLOOKUP($A166,'Data Vlaue (Cr)'!$C:$FB,100)</f>
        <v>2234</v>
      </c>
      <c r="J166" s="75">
        <f t="shared" si="14"/>
        <v>-26</v>
      </c>
      <c r="K166" s="75">
        <f t="shared" si="15"/>
        <v>-1.1775362318840581</v>
      </c>
      <c r="L166" s="75">
        <f>VLOOKUP($A166,'Data Vlaue (Cr)'!$C:$FB,67)</f>
        <v>351</v>
      </c>
      <c r="M166" s="75">
        <f>VLOOKUP($A166,'Data Vlaue (Cr)'!$C:$FB,68)</f>
        <v>447</v>
      </c>
      <c r="N166" s="75">
        <f t="shared" si="16"/>
        <v>-96</v>
      </c>
      <c r="O166" s="75">
        <f t="shared" si="17"/>
        <v>-27.350427350427353</v>
      </c>
      <c r="P166" s="75">
        <f>VLOOKUP($A166,'Data Vlaue (Cr)'!$C:$FB,119)</f>
        <v>1.01</v>
      </c>
      <c r="Q166" s="75">
        <f>VLOOKUP($A166,'Data Vlaue (Cr)'!$C:$FB,122)*100</f>
        <v>2.02</v>
      </c>
      <c r="R166" s="75">
        <f>VLOOKUP($A166,'Data Vlaue (Cr)'!$C:$FB,125)</f>
        <v>0.7</v>
      </c>
      <c r="S166" s="75">
        <f>VLOOKUP($A166,'Data Vlaue (Cr)'!$C:$FB,128)*100</f>
        <v>7.6899999999999995</v>
      </c>
    </row>
    <row r="167" spans="1:19" x14ac:dyDescent="0.25">
      <c r="A167" s="96" t="str">
        <f>'Data Vlaue (Cr)'!C158</f>
        <v>PFC</v>
      </c>
      <c r="B167" s="75">
        <f>VLOOKUP($A167,'Data Vlaue (Cr)'!$C:$FB,2)</f>
        <v>1300</v>
      </c>
      <c r="C167" s="75">
        <f>VLOOKUP($A167,'Data Vlaue (Cr)'!$C:$FB,8)</f>
        <v>335.65</v>
      </c>
      <c r="D167" s="75">
        <f>VLOOKUP($A167,'Data Vlaue (Cr)'!$C:$FB,4)</f>
        <v>336.75</v>
      </c>
      <c r="E167" s="75">
        <f>VLOOKUP($A167,'Data Vlaue (Cr)'!$C:$FB,5)</f>
        <v>337.15</v>
      </c>
      <c r="F167" s="75">
        <f t="shared" si="12"/>
        <v>1.1000000000000227</v>
      </c>
      <c r="G167" s="75">
        <f t="shared" si="13"/>
        <v>-0.11878247958425456</v>
      </c>
      <c r="H167" s="75">
        <f>VLOOKUP($A167,'Data Vlaue (Cr)'!$C:$FB,99)</f>
        <v>5589</v>
      </c>
      <c r="I167" s="75">
        <f>VLOOKUP($A167,'Data Vlaue (Cr)'!$C:$FB,100)</f>
        <v>5627</v>
      </c>
      <c r="J167" s="75">
        <f t="shared" si="14"/>
        <v>-38</v>
      </c>
      <c r="K167" s="75">
        <f t="shared" si="15"/>
        <v>-0.6799069601001968</v>
      </c>
      <c r="L167" s="75">
        <f>VLOOKUP($A167,'Data Vlaue (Cr)'!$C:$FB,67)</f>
        <v>1398</v>
      </c>
      <c r="M167" s="75">
        <f>VLOOKUP($A167,'Data Vlaue (Cr)'!$C:$FB,68)</f>
        <v>1599</v>
      </c>
      <c r="N167" s="75">
        <f t="shared" si="16"/>
        <v>-201</v>
      </c>
      <c r="O167" s="75">
        <f t="shared" si="17"/>
        <v>-14.377682403433475</v>
      </c>
      <c r="P167" s="75">
        <f>VLOOKUP($A167,'Data Vlaue (Cr)'!$C:$FB,119)</f>
        <v>0.59</v>
      </c>
      <c r="Q167" s="75">
        <f>VLOOKUP($A167,'Data Vlaue (Cr)'!$C:$FB,122)*100</f>
        <v>5.36</v>
      </c>
      <c r="R167" s="75">
        <f>VLOOKUP($A167,'Data Vlaue (Cr)'!$C:$FB,125)</f>
        <v>0.38</v>
      </c>
      <c r="S167" s="75">
        <f>VLOOKUP($A167,'Data Vlaue (Cr)'!$C:$FB,128)*100</f>
        <v>5.56</v>
      </c>
    </row>
    <row r="168" spans="1:19" x14ac:dyDescent="0.25">
      <c r="A168" s="96" t="str">
        <f>'Data Vlaue (Cr)'!C159</f>
        <v>PGEL</v>
      </c>
      <c r="B168" s="75">
        <f>VLOOKUP($A168,'Data Vlaue (Cr)'!$C:$FB,2)</f>
        <v>700</v>
      </c>
      <c r="C168" s="75">
        <f>VLOOKUP($A168,'Data Vlaue (Cr)'!$C:$FB,8)</f>
        <v>563.75</v>
      </c>
      <c r="D168" s="75">
        <f>VLOOKUP($A168,'Data Vlaue (Cr)'!$C:$FB,4)</f>
        <v>563.65</v>
      </c>
      <c r="E168" s="75">
        <f>VLOOKUP($A168,'Data Vlaue (Cr)'!$C:$FB,5)</f>
        <v>570.54999999999995</v>
      </c>
      <c r="F168" s="75">
        <f t="shared" si="12"/>
        <v>-0.10000000000002274</v>
      </c>
      <c r="G168" s="75">
        <f t="shared" si="13"/>
        <v>-1.2241639315177819</v>
      </c>
      <c r="H168" s="75">
        <f>VLOOKUP($A168,'Data Vlaue (Cr)'!$C:$FB,99)</f>
        <v>1385</v>
      </c>
      <c r="I168" s="75">
        <f>VLOOKUP($A168,'Data Vlaue (Cr)'!$C:$FB,100)</f>
        <v>1371</v>
      </c>
      <c r="J168" s="75">
        <f t="shared" si="14"/>
        <v>14</v>
      </c>
      <c r="K168" s="75">
        <f t="shared" si="15"/>
        <v>1.0108303249097472</v>
      </c>
      <c r="L168" s="75">
        <f>VLOOKUP($A168,'Data Vlaue (Cr)'!$C:$FB,67)</f>
        <v>675</v>
      </c>
      <c r="M168" s="75">
        <f>VLOOKUP($A168,'Data Vlaue (Cr)'!$C:$FB,68)</f>
        <v>1008</v>
      </c>
      <c r="N168" s="75">
        <f t="shared" si="16"/>
        <v>-333</v>
      </c>
      <c r="O168" s="75">
        <f t="shared" si="17"/>
        <v>-49.333333333333336</v>
      </c>
      <c r="P168" s="75">
        <f>VLOOKUP($A168,'Data Vlaue (Cr)'!$C:$FB,119)</f>
        <v>0.63</v>
      </c>
      <c r="Q168" s="75">
        <f>VLOOKUP($A168,'Data Vlaue (Cr)'!$C:$FB,122)*100</f>
        <v>-1.5599999999999998</v>
      </c>
      <c r="R168" s="75">
        <f>VLOOKUP($A168,'Data Vlaue (Cr)'!$C:$FB,125)</f>
        <v>0.41</v>
      </c>
      <c r="S168" s="75">
        <f>VLOOKUP($A168,'Data Vlaue (Cr)'!$C:$FB,128)*100</f>
        <v>10.81</v>
      </c>
    </row>
    <row r="169" spans="1:19" x14ac:dyDescent="0.25">
      <c r="A169" s="96" t="str">
        <f>'Data Vlaue (Cr)'!C160</f>
        <v>PHOENIXLTD</v>
      </c>
      <c r="B169" s="75">
        <f>VLOOKUP($A169,'Data Vlaue (Cr)'!$C:$FB,2)</f>
        <v>350</v>
      </c>
      <c r="C169" s="75">
        <f>VLOOKUP($A169,'Data Vlaue (Cr)'!$C:$FB,8)</f>
        <v>1781.5</v>
      </c>
      <c r="D169" s="75">
        <f>VLOOKUP($A169,'Data Vlaue (Cr)'!$C:$FB,4)</f>
        <v>1782.5</v>
      </c>
      <c r="E169" s="75">
        <f>VLOOKUP($A169,'Data Vlaue (Cr)'!$C:$FB,5)</f>
        <v>1782.8</v>
      </c>
      <c r="F169" s="75">
        <f t="shared" si="12"/>
        <v>1</v>
      </c>
      <c r="G169" s="75">
        <f t="shared" si="13"/>
        <v>-1.6830294530151727E-2</v>
      </c>
      <c r="H169" s="75">
        <f>VLOOKUP($A169,'Data Vlaue (Cr)'!$C:$FB,99)</f>
        <v>955</v>
      </c>
      <c r="I169" s="75">
        <f>VLOOKUP($A169,'Data Vlaue (Cr)'!$C:$FB,100)</f>
        <v>942</v>
      </c>
      <c r="J169" s="75">
        <f t="shared" si="14"/>
        <v>13</v>
      </c>
      <c r="K169" s="75">
        <f t="shared" si="15"/>
        <v>1.3612565445026177</v>
      </c>
      <c r="L169" s="75">
        <f>VLOOKUP($A169,'Data Vlaue (Cr)'!$C:$FB,67)</f>
        <v>221</v>
      </c>
      <c r="M169" s="75">
        <f>VLOOKUP($A169,'Data Vlaue (Cr)'!$C:$FB,68)</f>
        <v>263</v>
      </c>
      <c r="N169" s="75">
        <f t="shared" si="16"/>
        <v>-42</v>
      </c>
      <c r="O169" s="75">
        <f t="shared" si="17"/>
        <v>-19.004524886877828</v>
      </c>
      <c r="P169" s="75">
        <f>VLOOKUP($A169,'Data Vlaue (Cr)'!$C:$FB,119)</f>
        <v>0.51</v>
      </c>
      <c r="Q169" s="75">
        <f>VLOOKUP($A169,'Data Vlaue (Cr)'!$C:$FB,122)*100</f>
        <v>0</v>
      </c>
      <c r="R169" s="75">
        <f>VLOOKUP($A169,'Data Vlaue (Cr)'!$C:$FB,125)</f>
        <v>0.42</v>
      </c>
      <c r="S169" s="75">
        <f>VLOOKUP($A169,'Data Vlaue (Cr)'!$C:$FB,128)*100</f>
        <v>-10.639999999999999</v>
      </c>
    </row>
    <row r="170" spans="1:19" x14ac:dyDescent="0.25">
      <c r="A170" s="96" t="str">
        <f>'Data Vlaue (Cr)'!C161</f>
        <v>PIDILITIND</v>
      </c>
      <c r="B170" s="75">
        <f>VLOOKUP($A170,'Data Vlaue (Cr)'!$C:$FB,2)</f>
        <v>500</v>
      </c>
      <c r="C170" s="75">
        <f>VLOOKUP($A170,'Data Vlaue (Cr)'!$C:$FB,8)</f>
        <v>1450.7</v>
      </c>
      <c r="D170" s="75">
        <f>VLOOKUP($A170,'Data Vlaue (Cr)'!$C:$FB,4)</f>
        <v>1452.6</v>
      </c>
      <c r="E170" s="75">
        <f>VLOOKUP($A170,'Data Vlaue (Cr)'!$C:$FB,5)</f>
        <v>1473.8</v>
      </c>
      <c r="F170" s="75">
        <f t="shared" si="12"/>
        <v>1.8999999999998636</v>
      </c>
      <c r="G170" s="75">
        <f t="shared" si="13"/>
        <v>-1.459452017072838</v>
      </c>
      <c r="H170" s="75">
        <f>VLOOKUP($A170,'Data Vlaue (Cr)'!$C:$FB,99)</f>
        <v>1407</v>
      </c>
      <c r="I170" s="75">
        <f>VLOOKUP($A170,'Data Vlaue (Cr)'!$C:$FB,100)</f>
        <v>1373</v>
      </c>
      <c r="J170" s="75">
        <f t="shared" si="14"/>
        <v>34</v>
      </c>
      <c r="K170" s="75">
        <f t="shared" si="15"/>
        <v>2.4164889836531627</v>
      </c>
      <c r="L170" s="75">
        <f>VLOOKUP($A170,'Data Vlaue (Cr)'!$C:$FB,67)</f>
        <v>517</v>
      </c>
      <c r="M170" s="75">
        <f>VLOOKUP($A170,'Data Vlaue (Cr)'!$C:$FB,68)</f>
        <v>458</v>
      </c>
      <c r="N170" s="75">
        <f t="shared" si="16"/>
        <v>59</v>
      </c>
      <c r="O170" s="75">
        <f t="shared" si="17"/>
        <v>11.411992263056092</v>
      </c>
      <c r="P170" s="75">
        <f>VLOOKUP($A170,'Data Vlaue (Cr)'!$C:$FB,119)</f>
        <v>0.74</v>
      </c>
      <c r="Q170" s="75">
        <f>VLOOKUP($A170,'Data Vlaue (Cr)'!$C:$FB,122)*100</f>
        <v>-6.3299999999999992</v>
      </c>
      <c r="R170" s="75">
        <f>VLOOKUP($A170,'Data Vlaue (Cr)'!$C:$FB,125)</f>
        <v>0.75</v>
      </c>
      <c r="S170" s="75">
        <f>VLOOKUP($A170,'Data Vlaue (Cr)'!$C:$FB,128)*100</f>
        <v>114.29</v>
      </c>
    </row>
    <row r="171" spans="1:19" x14ac:dyDescent="0.25">
      <c r="A171" s="96" t="str">
        <f>'Data Vlaue (Cr)'!C162</f>
        <v>PIIND</v>
      </c>
      <c r="B171" s="75">
        <f>VLOOKUP($A171,'Data Vlaue (Cr)'!$C:$FB,2)</f>
        <v>175</v>
      </c>
      <c r="C171" s="75">
        <f>VLOOKUP($A171,'Data Vlaue (Cr)'!$C:$FB,8)</f>
        <v>3206.2</v>
      </c>
      <c r="D171" s="75">
        <f>VLOOKUP($A171,'Data Vlaue (Cr)'!$C:$FB,4)</f>
        <v>3216.6</v>
      </c>
      <c r="E171" s="75">
        <f>VLOOKUP($A171,'Data Vlaue (Cr)'!$C:$FB,5)</f>
        <v>3270</v>
      </c>
      <c r="F171" s="75">
        <f t="shared" si="12"/>
        <v>10.400000000000091</v>
      </c>
      <c r="G171" s="75">
        <f t="shared" si="13"/>
        <v>-1.6601380339488929</v>
      </c>
      <c r="H171" s="75">
        <f>VLOOKUP($A171,'Data Vlaue (Cr)'!$C:$FB,99)</f>
        <v>1442</v>
      </c>
      <c r="I171" s="75">
        <f>VLOOKUP($A171,'Data Vlaue (Cr)'!$C:$FB,100)</f>
        <v>1439</v>
      </c>
      <c r="J171" s="75">
        <f t="shared" si="14"/>
        <v>3</v>
      </c>
      <c r="K171" s="75">
        <f t="shared" si="15"/>
        <v>0.20804438280166435</v>
      </c>
      <c r="L171" s="75">
        <f>VLOOKUP($A171,'Data Vlaue (Cr)'!$C:$FB,67)</f>
        <v>572</v>
      </c>
      <c r="M171" s="75">
        <f>VLOOKUP($A171,'Data Vlaue (Cr)'!$C:$FB,68)</f>
        <v>579</v>
      </c>
      <c r="N171" s="75">
        <f t="shared" si="16"/>
        <v>-7</v>
      </c>
      <c r="O171" s="75">
        <f t="shared" si="17"/>
        <v>-1.2237762237762237</v>
      </c>
      <c r="P171" s="75">
        <f>VLOOKUP($A171,'Data Vlaue (Cr)'!$C:$FB,119)</f>
        <v>0.63</v>
      </c>
      <c r="Q171" s="75">
        <f>VLOOKUP($A171,'Data Vlaue (Cr)'!$C:$FB,122)*100</f>
        <v>-4.55</v>
      </c>
      <c r="R171" s="75">
        <f>VLOOKUP($A171,'Data Vlaue (Cr)'!$C:$FB,125)</f>
        <v>0.66</v>
      </c>
      <c r="S171" s="75">
        <f>VLOOKUP($A171,'Data Vlaue (Cr)'!$C:$FB,128)*100</f>
        <v>32</v>
      </c>
    </row>
    <row r="172" spans="1:19" x14ac:dyDescent="0.25">
      <c r="A172" s="96" t="str">
        <f>'Data Vlaue (Cr)'!C163</f>
        <v>PNB</v>
      </c>
      <c r="B172" s="75">
        <f>VLOOKUP($A172,'Data Vlaue (Cr)'!$C:$FB,2)</f>
        <v>8000</v>
      </c>
      <c r="C172" s="75">
        <f>VLOOKUP($A172,'Data Vlaue (Cr)'!$C:$FB,8)</f>
        <v>119.33</v>
      </c>
      <c r="D172" s="75">
        <f>VLOOKUP($A172,'Data Vlaue (Cr)'!$C:$FB,4)</f>
        <v>119.75</v>
      </c>
      <c r="E172" s="75">
        <f>VLOOKUP($A172,'Data Vlaue (Cr)'!$C:$FB,5)</f>
        <v>117.4</v>
      </c>
      <c r="F172" s="75">
        <f t="shared" si="12"/>
        <v>0.42000000000000171</v>
      </c>
      <c r="G172" s="75">
        <f t="shared" si="13"/>
        <v>1.9624217118997866</v>
      </c>
      <c r="H172" s="75">
        <f>VLOOKUP($A172,'Data Vlaue (Cr)'!$C:$FB,99)</f>
        <v>6341</v>
      </c>
      <c r="I172" s="75">
        <f>VLOOKUP($A172,'Data Vlaue (Cr)'!$C:$FB,100)</f>
        <v>6393</v>
      </c>
      <c r="J172" s="75">
        <f t="shared" si="14"/>
        <v>-52</v>
      </c>
      <c r="K172" s="75">
        <f t="shared" si="15"/>
        <v>-0.82005992745623724</v>
      </c>
      <c r="L172" s="75">
        <f>VLOOKUP($A172,'Data Vlaue (Cr)'!$C:$FB,67)</f>
        <v>4040</v>
      </c>
      <c r="M172" s="75">
        <f>VLOOKUP($A172,'Data Vlaue (Cr)'!$C:$FB,68)</f>
        <v>1931</v>
      </c>
      <c r="N172" s="75">
        <f t="shared" si="16"/>
        <v>2109</v>
      </c>
      <c r="O172" s="75">
        <f t="shared" si="17"/>
        <v>52.202970297029708</v>
      </c>
      <c r="P172" s="75">
        <f>VLOOKUP($A172,'Data Vlaue (Cr)'!$C:$FB,119)</f>
        <v>0.55000000000000004</v>
      </c>
      <c r="Q172" s="75">
        <f>VLOOKUP($A172,'Data Vlaue (Cr)'!$C:$FB,122)*100</f>
        <v>5.7700000000000005</v>
      </c>
      <c r="R172" s="75">
        <f>VLOOKUP($A172,'Data Vlaue (Cr)'!$C:$FB,125)</f>
        <v>0.42</v>
      </c>
      <c r="S172" s="75">
        <f>VLOOKUP($A172,'Data Vlaue (Cr)'!$C:$FB,128)*100</f>
        <v>-17.649999999999999</v>
      </c>
    </row>
    <row r="173" spans="1:19" x14ac:dyDescent="0.25">
      <c r="A173" s="96" t="str">
        <f>'Data Vlaue (Cr)'!C164</f>
        <v>PNBHOUSING</v>
      </c>
      <c r="B173" s="75">
        <f>VLOOKUP($A173,'Data Vlaue (Cr)'!$C:$FB,2)</f>
        <v>650</v>
      </c>
      <c r="C173" s="75">
        <f>VLOOKUP($A173,'Data Vlaue (Cr)'!$C:$FB,8)</f>
        <v>894.85</v>
      </c>
      <c r="D173" s="75">
        <f>VLOOKUP($A173,'Data Vlaue (Cr)'!$C:$FB,4)</f>
        <v>897.8</v>
      </c>
      <c r="E173" s="75">
        <f>VLOOKUP($A173,'Data Vlaue (Cr)'!$C:$FB,5)</f>
        <v>913.5</v>
      </c>
      <c r="F173" s="75">
        <f t="shared" si="12"/>
        <v>2.9499999999999318</v>
      </c>
      <c r="G173" s="75">
        <f t="shared" si="13"/>
        <v>-1.7487190911116113</v>
      </c>
      <c r="H173" s="75">
        <f>VLOOKUP($A173,'Data Vlaue (Cr)'!$C:$FB,99)</f>
        <v>2575</v>
      </c>
      <c r="I173" s="75">
        <f>VLOOKUP($A173,'Data Vlaue (Cr)'!$C:$FB,100)</f>
        <v>2610</v>
      </c>
      <c r="J173" s="75">
        <f t="shared" si="14"/>
        <v>-35</v>
      </c>
      <c r="K173" s="75">
        <f t="shared" si="15"/>
        <v>-1.3592233009708738</v>
      </c>
      <c r="L173" s="75">
        <f>VLOOKUP($A173,'Data Vlaue (Cr)'!$C:$FB,67)</f>
        <v>959</v>
      </c>
      <c r="M173" s="75">
        <f>VLOOKUP($A173,'Data Vlaue (Cr)'!$C:$FB,68)</f>
        <v>653</v>
      </c>
      <c r="N173" s="75">
        <f t="shared" si="16"/>
        <v>306</v>
      </c>
      <c r="O173" s="75">
        <f t="shared" si="17"/>
        <v>31.908237747653807</v>
      </c>
      <c r="P173" s="75">
        <f>VLOOKUP($A173,'Data Vlaue (Cr)'!$C:$FB,119)</f>
        <v>0.62</v>
      </c>
      <c r="Q173" s="75">
        <f>VLOOKUP($A173,'Data Vlaue (Cr)'!$C:$FB,122)*100</f>
        <v>1.6400000000000001</v>
      </c>
      <c r="R173" s="75">
        <f>VLOOKUP($A173,'Data Vlaue (Cr)'!$C:$FB,125)</f>
        <v>0.49</v>
      </c>
      <c r="S173" s="75">
        <f>VLOOKUP($A173,'Data Vlaue (Cr)'!$C:$FB,128)*100</f>
        <v>-5.7700000000000005</v>
      </c>
    </row>
    <row r="174" spans="1:19" x14ac:dyDescent="0.25">
      <c r="A174" s="96" t="str">
        <f>'Data Vlaue (Cr)'!C165</f>
        <v>POLICYBZR</v>
      </c>
      <c r="B174" s="75">
        <f>VLOOKUP($A174,'Data Vlaue (Cr)'!$C:$FB,2)</f>
        <v>350</v>
      </c>
      <c r="C174" s="75">
        <f>VLOOKUP($A174,'Data Vlaue (Cr)'!$C:$FB,8)</f>
        <v>1765</v>
      </c>
      <c r="D174" s="75">
        <f>VLOOKUP($A174,'Data Vlaue (Cr)'!$C:$FB,4)</f>
        <v>1770.4</v>
      </c>
      <c r="E174" s="75">
        <f>VLOOKUP($A174,'Data Vlaue (Cr)'!$C:$FB,5)</f>
        <v>1823.3</v>
      </c>
      <c r="F174" s="75">
        <f t="shared" si="12"/>
        <v>5.4000000000000909</v>
      </c>
      <c r="G174" s="75">
        <f t="shared" si="13"/>
        <v>-2.9880253050158077</v>
      </c>
      <c r="H174" s="75">
        <f>VLOOKUP($A174,'Data Vlaue (Cr)'!$C:$FB,99)</f>
        <v>2172</v>
      </c>
      <c r="I174" s="75">
        <f>VLOOKUP($A174,'Data Vlaue (Cr)'!$C:$FB,100)</f>
        <v>2174</v>
      </c>
      <c r="J174" s="75">
        <f t="shared" si="14"/>
        <v>-2</v>
      </c>
      <c r="K174" s="75">
        <f t="shared" si="15"/>
        <v>-9.2081031307550645E-2</v>
      </c>
      <c r="L174" s="75">
        <f>VLOOKUP($A174,'Data Vlaue (Cr)'!$C:$FB,67)</f>
        <v>4284</v>
      </c>
      <c r="M174" s="75">
        <f>VLOOKUP($A174,'Data Vlaue (Cr)'!$C:$FB,68)</f>
        <v>6404</v>
      </c>
      <c r="N174" s="75">
        <f t="shared" si="16"/>
        <v>-2120</v>
      </c>
      <c r="O174" s="75">
        <f t="shared" si="17"/>
        <v>-49.486461251167135</v>
      </c>
      <c r="P174" s="75">
        <f>VLOOKUP($A174,'Data Vlaue (Cr)'!$C:$FB,119)</f>
        <v>0.62</v>
      </c>
      <c r="Q174" s="75">
        <f>VLOOKUP($A174,'Data Vlaue (Cr)'!$C:$FB,122)*100</f>
        <v>-13.889999999999999</v>
      </c>
      <c r="R174" s="75">
        <f>VLOOKUP($A174,'Data Vlaue (Cr)'!$C:$FB,125)</f>
        <v>1.1100000000000001</v>
      </c>
      <c r="S174" s="75">
        <f>VLOOKUP($A174,'Data Vlaue (Cr)'!$C:$FB,128)*100</f>
        <v>-17.16</v>
      </c>
    </row>
    <row r="175" spans="1:19" x14ac:dyDescent="0.25">
      <c r="A175" s="96" t="str">
        <f>'Data Vlaue (Cr)'!C166</f>
        <v>POLYCAB</v>
      </c>
      <c r="B175" s="75">
        <f>VLOOKUP($A175,'Data Vlaue (Cr)'!$C:$FB,2)</f>
        <v>125</v>
      </c>
      <c r="C175" s="75">
        <f>VLOOKUP($A175,'Data Vlaue (Cr)'!$C:$FB,8)</f>
        <v>7079.5</v>
      </c>
      <c r="D175" s="75">
        <f>VLOOKUP($A175,'Data Vlaue (Cr)'!$C:$FB,4)</f>
        <v>7103</v>
      </c>
      <c r="E175" s="75">
        <f>VLOOKUP($A175,'Data Vlaue (Cr)'!$C:$FB,5)</f>
        <v>7367</v>
      </c>
      <c r="F175" s="75">
        <f t="shared" si="12"/>
        <v>23.5</v>
      </c>
      <c r="G175" s="75">
        <f t="shared" si="13"/>
        <v>-3.7167394058848378</v>
      </c>
      <c r="H175" s="75">
        <f>VLOOKUP($A175,'Data Vlaue (Cr)'!$C:$FB,99)</f>
        <v>2852</v>
      </c>
      <c r="I175" s="75">
        <f>VLOOKUP($A175,'Data Vlaue (Cr)'!$C:$FB,100)</f>
        <v>2262</v>
      </c>
      <c r="J175" s="75">
        <f t="shared" si="14"/>
        <v>590</v>
      </c>
      <c r="K175" s="75">
        <f t="shared" si="15"/>
        <v>20.687237026647967</v>
      </c>
      <c r="L175" s="75">
        <f>VLOOKUP($A175,'Data Vlaue (Cr)'!$C:$FB,67)</f>
        <v>7950</v>
      </c>
      <c r="M175" s="75">
        <f>VLOOKUP($A175,'Data Vlaue (Cr)'!$C:$FB,68)</f>
        <v>1137</v>
      </c>
      <c r="N175" s="75">
        <f t="shared" si="16"/>
        <v>6813</v>
      </c>
      <c r="O175" s="75">
        <f t="shared" si="17"/>
        <v>85.698113207547166</v>
      </c>
      <c r="P175" s="75">
        <f>VLOOKUP($A175,'Data Vlaue (Cr)'!$C:$FB,119)</f>
        <v>0.66</v>
      </c>
      <c r="Q175" s="75">
        <f>VLOOKUP($A175,'Data Vlaue (Cr)'!$C:$FB,122)*100</f>
        <v>-1.49</v>
      </c>
      <c r="R175" s="75">
        <f>VLOOKUP($A175,'Data Vlaue (Cr)'!$C:$FB,125)</f>
        <v>1.21</v>
      </c>
      <c r="S175" s="75">
        <f>VLOOKUP($A175,'Data Vlaue (Cr)'!$C:$FB,128)*100</f>
        <v>175</v>
      </c>
    </row>
    <row r="176" spans="1:19" x14ac:dyDescent="0.25">
      <c r="A176" s="96" t="str">
        <f>'Data Vlaue (Cr)'!C167</f>
        <v>POWERGRID</v>
      </c>
      <c r="B176" s="75">
        <f>VLOOKUP($A176,'Data Vlaue (Cr)'!$C:$FB,2)</f>
        <v>1900</v>
      </c>
      <c r="C176" s="75">
        <f>VLOOKUP($A176,'Data Vlaue (Cr)'!$C:$FB,8)</f>
        <v>261.10000000000002</v>
      </c>
      <c r="D176" s="75">
        <f>VLOOKUP($A176,'Data Vlaue (Cr)'!$C:$FB,4)</f>
        <v>261.89999999999998</v>
      </c>
      <c r="E176" s="75">
        <f>VLOOKUP($A176,'Data Vlaue (Cr)'!$C:$FB,5)</f>
        <v>261.39999999999998</v>
      </c>
      <c r="F176" s="75">
        <f t="shared" si="12"/>
        <v>0.79999999999995453</v>
      </c>
      <c r="G176" s="75">
        <f t="shared" si="13"/>
        <v>0.19091256204658266</v>
      </c>
      <c r="H176" s="75">
        <f>VLOOKUP($A176,'Data Vlaue (Cr)'!$C:$FB,99)</f>
        <v>3632</v>
      </c>
      <c r="I176" s="75">
        <f>VLOOKUP($A176,'Data Vlaue (Cr)'!$C:$FB,100)</f>
        <v>3607</v>
      </c>
      <c r="J176" s="75">
        <f t="shared" si="14"/>
        <v>25</v>
      </c>
      <c r="K176" s="75">
        <f t="shared" si="15"/>
        <v>0.68832599118942728</v>
      </c>
      <c r="L176" s="75">
        <f>VLOOKUP($A176,'Data Vlaue (Cr)'!$C:$FB,67)</f>
        <v>755</v>
      </c>
      <c r="M176" s="75">
        <f>VLOOKUP($A176,'Data Vlaue (Cr)'!$C:$FB,68)</f>
        <v>831</v>
      </c>
      <c r="N176" s="75">
        <f t="shared" si="16"/>
        <v>-76</v>
      </c>
      <c r="O176" s="75">
        <f t="shared" si="17"/>
        <v>-10.066225165562914</v>
      </c>
      <c r="P176" s="75">
        <f>VLOOKUP($A176,'Data Vlaue (Cr)'!$C:$FB,119)</f>
        <v>0.61</v>
      </c>
      <c r="Q176" s="75">
        <f>VLOOKUP($A176,'Data Vlaue (Cr)'!$C:$FB,122)*100</f>
        <v>1.67</v>
      </c>
      <c r="R176" s="75">
        <f>VLOOKUP($A176,'Data Vlaue (Cr)'!$C:$FB,125)</f>
        <v>0.35</v>
      </c>
      <c r="S176" s="75">
        <f>VLOOKUP($A176,'Data Vlaue (Cr)'!$C:$FB,128)*100</f>
        <v>16.669999999999998</v>
      </c>
    </row>
    <row r="177" spans="1:19" x14ac:dyDescent="0.25">
      <c r="A177" s="96" t="str">
        <f>'Data Vlaue (Cr)'!C168</f>
        <v>POWERINDIA</v>
      </c>
      <c r="B177" s="75">
        <f>VLOOKUP($A177,'Data Vlaue (Cr)'!$C:$FB,2)</f>
        <v>50</v>
      </c>
      <c r="C177" s="75">
        <f>VLOOKUP($A177,'Data Vlaue (Cr)'!$C:$FB,8)</f>
        <v>19150</v>
      </c>
      <c r="D177" s="75">
        <f>VLOOKUP($A177,'Data Vlaue (Cr)'!$C:$FB,4)</f>
        <v>19215</v>
      </c>
      <c r="E177" s="75">
        <f>VLOOKUP($A177,'Data Vlaue (Cr)'!$C:$FB,5)</f>
        <v>19340</v>
      </c>
      <c r="F177" s="75">
        <f t="shared" ref="F177:F185" si="18">D177-C177</f>
        <v>65</v>
      </c>
      <c r="G177" s="75">
        <f t="shared" ref="G177:G185" si="19">(D177-E177)/D177*100</f>
        <v>-0.6505334374186833</v>
      </c>
      <c r="H177" s="75">
        <f>VLOOKUP($A177,'Data Vlaue (Cr)'!$C:$FB,99)</f>
        <v>1900</v>
      </c>
      <c r="I177" s="75">
        <f>VLOOKUP($A177,'Data Vlaue (Cr)'!$C:$FB,100)</f>
        <v>1990</v>
      </c>
      <c r="J177" s="75">
        <f t="shared" ref="J177:J185" si="20">H177-I177</f>
        <v>-90</v>
      </c>
      <c r="K177" s="75">
        <f t="shared" ref="K177:K185" si="21">J177/H177*100</f>
        <v>-4.7368421052631584</v>
      </c>
      <c r="L177" s="75">
        <f>VLOOKUP($A177,'Data Vlaue (Cr)'!$C:$FB,67)</f>
        <v>1178</v>
      </c>
      <c r="M177" s="75">
        <f>VLOOKUP($A177,'Data Vlaue (Cr)'!$C:$FB,68)</f>
        <v>689</v>
      </c>
      <c r="N177" s="75">
        <f t="shared" ref="N177:N185" si="22">L177-M177</f>
        <v>489</v>
      </c>
      <c r="O177" s="75">
        <f t="shared" ref="O177:O185" si="23">N177/L177*100</f>
        <v>41.511035653650254</v>
      </c>
      <c r="P177" s="75">
        <f>VLOOKUP($A177,'Data Vlaue (Cr)'!$C:$FB,119)</f>
        <v>0.38</v>
      </c>
      <c r="Q177" s="75">
        <f>VLOOKUP($A177,'Data Vlaue (Cr)'!$C:$FB,122)*100</f>
        <v>2.7</v>
      </c>
      <c r="R177" s="75">
        <f>VLOOKUP($A177,'Data Vlaue (Cr)'!$C:$FB,125)</f>
        <v>0.28000000000000003</v>
      </c>
      <c r="S177" s="75">
        <f>VLOOKUP($A177,'Data Vlaue (Cr)'!$C:$FB,128)*100</f>
        <v>-24.32</v>
      </c>
    </row>
    <row r="178" spans="1:19" x14ac:dyDescent="0.25">
      <c r="A178" s="96" t="str">
        <f>'Data Vlaue (Cr)'!C169</f>
        <v>PPLPHARMA</v>
      </c>
      <c r="B178" s="75">
        <f>VLOOKUP($A178,'Data Vlaue (Cr)'!$C:$FB,2)</f>
        <v>2500</v>
      </c>
      <c r="C178" s="75">
        <f>VLOOKUP($A178,'Data Vlaue (Cr)'!$C:$FB,8)</f>
        <v>167.9</v>
      </c>
      <c r="D178" s="75">
        <f>VLOOKUP($A178,'Data Vlaue (Cr)'!$C:$FB,4)</f>
        <v>168.2</v>
      </c>
      <c r="E178" s="75">
        <f>VLOOKUP($A178,'Data Vlaue (Cr)'!$C:$FB,5)</f>
        <v>168.86</v>
      </c>
      <c r="F178" s="75">
        <f t="shared" si="18"/>
        <v>0.29999999999998295</v>
      </c>
      <c r="G178" s="75">
        <f t="shared" si="19"/>
        <v>-0.39239001189062134</v>
      </c>
      <c r="H178" s="75">
        <f>VLOOKUP($A178,'Data Vlaue (Cr)'!$C:$FB,99)</f>
        <v>912</v>
      </c>
      <c r="I178" s="75">
        <f>VLOOKUP($A178,'Data Vlaue (Cr)'!$C:$FB,100)</f>
        <v>913</v>
      </c>
      <c r="J178" s="75">
        <f t="shared" si="20"/>
        <v>-1</v>
      </c>
      <c r="K178" s="75">
        <f t="shared" si="21"/>
        <v>-0.10964912280701754</v>
      </c>
      <c r="L178" s="75">
        <f>VLOOKUP($A178,'Data Vlaue (Cr)'!$C:$FB,67)</f>
        <v>259</v>
      </c>
      <c r="M178" s="75">
        <f>VLOOKUP($A178,'Data Vlaue (Cr)'!$C:$FB,68)</f>
        <v>365</v>
      </c>
      <c r="N178" s="75">
        <f t="shared" si="22"/>
        <v>-106</v>
      </c>
      <c r="O178" s="75">
        <f t="shared" si="23"/>
        <v>-40.926640926640928</v>
      </c>
      <c r="P178" s="75">
        <f>VLOOKUP($A178,'Data Vlaue (Cr)'!$C:$FB,119)</f>
        <v>0.43</v>
      </c>
      <c r="Q178" s="75">
        <f>VLOOKUP($A178,'Data Vlaue (Cr)'!$C:$FB,122)*100</f>
        <v>7.5</v>
      </c>
      <c r="R178" s="75">
        <f>VLOOKUP($A178,'Data Vlaue (Cr)'!$C:$FB,125)</f>
        <v>0.4</v>
      </c>
      <c r="S178" s="75">
        <f>VLOOKUP($A178,'Data Vlaue (Cr)'!$C:$FB,128)*100</f>
        <v>8.1100000000000012</v>
      </c>
    </row>
    <row r="179" spans="1:19" x14ac:dyDescent="0.25">
      <c r="A179" s="96" t="str">
        <f>'Data Vlaue (Cr)'!C170</f>
        <v>PRESTIGE</v>
      </c>
      <c r="B179" s="75">
        <f>VLOOKUP($A179,'Data Vlaue (Cr)'!$C:$FB,2)</f>
        <v>450</v>
      </c>
      <c r="C179" s="75">
        <f>VLOOKUP($A179,'Data Vlaue (Cr)'!$C:$FB,8)</f>
        <v>1607.4</v>
      </c>
      <c r="D179" s="75">
        <f>VLOOKUP($A179,'Data Vlaue (Cr)'!$C:$FB,4)</f>
        <v>1613.2</v>
      </c>
      <c r="E179" s="75">
        <f>VLOOKUP($A179,'Data Vlaue (Cr)'!$C:$FB,5)</f>
        <v>1628</v>
      </c>
      <c r="F179" s="75">
        <f t="shared" si="18"/>
        <v>5.7999999999999545</v>
      </c>
      <c r="G179" s="75">
        <f t="shared" si="19"/>
        <v>-0.91743119266054751</v>
      </c>
      <c r="H179" s="75">
        <f>VLOOKUP($A179,'Data Vlaue (Cr)'!$C:$FB,99)</f>
        <v>1204</v>
      </c>
      <c r="I179" s="75">
        <f>VLOOKUP($A179,'Data Vlaue (Cr)'!$C:$FB,100)</f>
        <v>1188</v>
      </c>
      <c r="J179" s="75">
        <f t="shared" si="20"/>
        <v>16</v>
      </c>
      <c r="K179" s="75">
        <f t="shared" si="21"/>
        <v>1.3289036544850499</v>
      </c>
      <c r="L179" s="75">
        <f>VLOOKUP($A179,'Data Vlaue (Cr)'!$C:$FB,67)</f>
        <v>285</v>
      </c>
      <c r="M179" s="75">
        <f>VLOOKUP($A179,'Data Vlaue (Cr)'!$C:$FB,68)</f>
        <v>478</v>
      </c>
      <c r="N179" s="75">
        <f t="shared" si="22"/>
        <v>-193</v>
      </c>
      <c r="O179" s="75">
        <f t="shared" si="23"/>
        <v>-67.719298245614041</v>
      </c>
      <c r="P179" s="75">
        <f>VLOOKUP($A179,'Data Vlaue (Cr)'!$C:$FB,119)</f>
        <v>0.65</v>
      </c>
      <c r="Q179" s="75">
        <f>VLOOKUP($A179,'Data Vlaue (Cr)'!$C:$FB,122)*100</f>
        <v>-2.9899999999999998</v>
      </c>
      <c r="R179" s="75">
        <f>VLOOKUP($A179,'Data Vlaue (Cr)'!$C:$FB,125)</f>
        <v>0.51</v>
      </c>
      <c r="S179" s="75">
        <f>VLOOKUP($A179,'Data Vlaue (Cr)'!$C:$FB,128)*100</f>
        <v>-3.7699999999999996</v>
      </c>
    </row>
    <row r="180" spans="1:19" x14ac:dyDescent="0.25">
      <c r="A180" s="96" t="str">
        <f>'Data Vlaue (Cr)'!C171</f>
        <v>RBLBANK</v>
      </c>
      <c r="B180" s="75">
        <f>VLOOKUP($A180,'Data Vlaue (Cr)'!$C:$FB,2)</f>
        <v>3175</v>
      </c>
      <c r="C180" s="75">
        <f>VLOOKUP($A180,'Data Vlaue (Cr)'!$C:$FB,8)</f>
        <v>296.95</v>
      </c>
      <c r="D180" s="75">
        <f>VLOOKUP($A180,'Data Vlaue (Cr)'!$C:$FB,4)</f>
        <v>298</v>
      </c>
      <c r="E180" s="75">
        <f>VLOOKUP($A180,'Data Vlaue (Cr)'!$C:$FB,5)</f>
        <v>301.75</v>
      </c>
      <c r="F180" s="75">
        <f t="shared" si="18"/>
        <v>1.0500000000000114</v>
      </c>
      <c r="G180" s="75">
        <f t="shared" si="19"/>
        <v>-1.2583892617449663</v>
      </c>
      <c r="H180" s="75">
        <f>VLOOKUP($A180,'Data Vlaue (Cr)'!$C:$FB,99)</f>
        <v>3639</v>
      </c>
      <c r="I180" s="75">
        <f>VLOOKUP($A180,'Data Vlaue (Cr)'!$C:$FB,100)</f>
        <v>3474</v>
      </c>
      <c r="J180" s="75">
        <f t="shared" si="20"/>
        <v>165</v>
      </c>
      <c r="K180" s="75">
        <f t="shared" si="21"/>
        <v>4.5342126957955484</v>
      </c>
      <c r="L180" s="75">
        <f>VLOOKUP($A180,'Data Vlaue (Cr)'!$C:$FB,67)</f>
        <v>1356</v>
      </c>
      <c r="M180" s="75">
        <f>VLOOKUP($A180,'Data Vlaue (Cr)'!$C:$FB,68)</f>
        <v>1148</v>
      </c>
      <c r="N180" s="75">
        <f t="shared" si="22"/>
        <v>208</v>
      </c>
      <c r="O180" s="75">
        <f t="shared" si="23"/>
        <v>15.339233038348082</v>
      </c>
      <c r="P180" s="75">
        <f>VLOOKUP($A180,'Data Vlaue (Cr)'!$C:$FB,119)</f>
        <v>0.63</v>
      </c>
      <c r="Q180" s="75">
        <f>VLOOKUP($A180,'Data Vlaue (Cr)'!$C:$FB,122)*100</f>
        <v>0</v>
      </c>
      <c r="R180" s="75">
        <f>VLOOKUP($A180,'Data Vlaue (Cr)'!$C:$FB,125)</f>
        <v>0.97</v>
      </c>
      <c r="S180" s="75">
        <f>VLOOKUP($A180,'Data Vlaue (Cr)'!$C:$FB,128)*100</f>
        <v>34.72</v>
      </c>
    </row>
    <row r="181" spans="1:19" x14ac:dyDescent="0.25">
      <c r="A181" s="96" t="str">
        <f>'Data Vlaue (Cr)'!C172</f>
        <v>RECLTD</v>
      </c>
      <c r="B181" s="75">
        <f>VLOOKUP($A181,'Data Vlaue (Cr)'!$C:$FB,2)</f>
        <v>1275</v>
      </c>
      <c r="C181" s="75">
        <f>VLOOKUP($A181,'Data Vlaue (Cr)'!$C:$FB,8)</f>
        <v>333.95</v>
      </c>
      <c r="D181" s="75">
        <f>VLOOKUP($A181,'Data Vlaue (Cr)'!$C:$FB,4)</f>
        <v>334.5</v>
      </c>
      <c r="E181" s="75">
        <f>VLOOKUP($A181,'Data Vlaue (Cr)'!$C:$FB,5)</f>
        <v>335.95</v>
      </c>
      <c r="F181" s="75">
        <f t="shared" si="18"/>
        <v>0.55000000000001137</v>
      </c>
      <c r="G181" s="75">
        <f t="shared" si="19"/>
        <v>-0.43348281016442108</v>
      </c>
      <c r="H181" s="75">
        <f>VLOOKUP($A181,'Data Vlaue (Cr)'!$C:$FB,99)</f>
        <v>6189</v>
      </c>
      <c r="I181" s="75">
        <f>VLOOKUP($A181,'Data Vlaue (Cr)'!$C:$FB,100)</f>
        <v>6093</v>
      </c>
      <c r="J181" s="75">
        <f t="shared" si="20"/>
        <v>96</v>
      </c>
      <c r="K181" s="75">
        <f t="shared" si="21"/>
        <v>1.5511391177896268</v>
      </c>
      <c r="L181" s="75">
        <f>VLOOKUP($A181,'Data Vlaue (Cr)'!$C:$FB,67)</f>
        <v>1753</v>
      </c>
      <c r="M181" s="75">
        <f>VLOOKUP($A181,'Data Vlaue (Cr)'!$C:$FB,68)</f>
        <v>1801</v>
      </c>
      <c r="N181" s="75">
        <f t="shared" si="22"/>
        <v>-48</v>
      </c>
      <c r="O181" s="75">
        <f t="shared" si="23"/>
        <v>-2.7381631488876215</v>
      </c>
      <c r="P181" s="75">
        <f>VLOOKUP($A181,'Data Vlaue (Cr)'!$C:$FB,119)</f>
        <v>0.61</v>
      </c>
      <c r="Q181" s="75">
        <f>VLOOKUP($A181,'Data Vlaue (Cr)'!$C:$FB,122)*100</f>
        <v>0</v>
      </c>
      <c r="R181" s="75">
        <f>VLOOKUP($A181,'Data Vlaue (Cr)'!$C:$FB,125)</f>
        <v>0.45</v>
      </c>
      <c r="S181" s="75">
        <f>VLOOKUP($A181,'Data Vlaue (Cr)'!$C:$FB,128)*100</f>
        <v>2.27</v>
      </c>
    </row>
    <row r="182" spans="1:19" x14ac:dyDescent="0.25">
      <c r="A182" s="96" t="str">
        <f>'Data Vlaue (Cr)'!C173</f>
        <v>RELIANCE</v>
      </c>
      <c r="B182" s="75">
        <f>VLOOKUP($A182,'Data Vlaue (Cr)'!$C:$FB,2)</f>
        <v>500</v>
      </c>
      <c r="C182" s="75">
        <f>VLOOKUP($A182,'Data Vlaue (Cr)'!$C:$FB,8)</f>
        <v>1544.4</v>
      </c>
      <c r="D182" s="75">
        <f>VLOOKUP($A182,'Data Vlaue (Cr)'!$C:$FB,4)</f>
        <v>1548.8</v>
      </c>
      <c r="E182" s="75">
        <f>VLOOKUP($A182,'Data Vlaue (Cr)'!$C:$FB,5)</f>
        <v>1546.5</v>
      </c>
      <c r="F182" s="75">
        <f t="shared" si="18"/>
        <v>4.3999999999998636</v>
      </c>
      <c r="G182" s="75">
        <f t="shared" si="19"/>
        <v>0.14850206611569955</v>
      </c>
      <c r="H182" s="75">
        <f>VLOOKUP($A182,'Data Vlaue (Cr)'!$C:$FB,99)</f>
        <v>27660</v>
      </c>
      <c r="I182" s="75">
        <f>VLOOKUP($A182,'Data Vlaue (Cr)'!$C:$FB,100)</f>
        <v>27573</v>
      </c>
      <c r="J182" s="75">
        <f t="shared" si="20"/>
        <v>87</v>
      </c>
      <c r="K182" s="75">
        <f t="shared" si="21"/>
        <v>0.31453362255965289</v>
      </c>
      <c r="L182" s="75">
        <f>VLOOKUP($A182,'Data Vlaue (Cr)'!$C:$FB,67)</f>
        <v>9463</v>
      </c>
      <c r="M182" s="75">
        <f>VLOOKUP($A182,'Data Vlaue (Cr)'!$C:$FB,68)</f>
        <v>11493</v>
      </c>
      <c r="N182" s="75">
        <f t="shared" si="22"/>
        <v>-2030</v>
      </c>
      <c r="O182" s="75">
        <f t="shared" si="23"/>
        <v>-21.451970833773647</v>
      </c>
      <c r="P182" s="75">
        <f>VLOOKUP($A182,'Data Vlaue (Cr)'!$C:$FB,119)</f>
        <v>0.53</v>
      </c>
      <c r="Q182" s="75">
        <f>VLOOKUP($A182,'Data Vlaue (Cr)'!$C:$FB,122)*100</f>
        <v>1.92</v>
      </c>
      <c r="R182" s="75">
        <f>VLOOKUP($A182,'Data Vlaue (Cr)'!$C:$FB,125)</f>
        <v>0.61</v>
      </c>
      <c r="S182" s="75">
        <f>VLOOKUP($A182,'Data Vlaue (Cr)'!$C:$FB,128)*100</f>
        <v>-10.290000000000001</v>
      </c>
    </row>
    <row r="183" spans="1:19" x14ac:dyDescent="0.25">
      <c r="A183" s="96" t="str">
        <f>'Data Vlaue (Cr)'!C174</f>
        <v>RVNL</v>
      </c>
      <c r="B183" s="75">
        <f>VLOOKUP($A183,'Data Vlaue (Cr)'!$C:$FB,2)</f>
        <v>1375</v>
      </c>
      <c r="C183" s="75">
        <f>VLOOKUP($A183,'Data Vlaue (Cr)'!$C:$FB,8)</f>
        <v>307.25</v>
      </c>
      <c r="D183" s="75">
        <f>VLOOKUP($A183,'Data Vlaue (Cr)'!$C:$FB,4)</f>
        <v>305.39999999999998</v>
      </c>
      <c r="E183" s="75">
        <f>VLOOKUP($A183,'Data Vlaue (Cr)'!$C:$FB,5)</f>
        <v>308.05</v>
      </c>
      <c r="F183" s="75">
        <f t="shared" si="18"/>
        <v>-1.8500000000000227</v>
      </c>
      <c r="G183" s="75">
        <f t="shared" si="19"/>
        <v>-0.86771447282253911</v>
      </c>
      <c r="H183" s="75">
        <f>VLOOKUP($A183,'Data Vlaue (Cr)'!$C:$FB,99)</f>
        <v>2426</v>
      </c>
      <c r="I183" s="75">
        <f>VLOOKUP($A183,'Data Vlaue (Cr)'!$C:$FB,100)</f>
        <v>2365</v>
      </c>
      <c r="J183" s="75">
        <f t="shared" si="20"/>
        <v>61</v>
      </c>
      <c r="K183" s="75">
        <f t="shared" si="21"/>
        <v>2.514427040395713</v>
      </c>
      <c r="L183" s="75">
        <f>VLOOKUP($A183,'Data Vlaue (Cr)'!$C:$FB,67)</f>
        <v>474</v>
      </c>
      <c r="M183" s="75">
        <f>VLOOKUP($A183,'Data Vlaue (Cr)'!$C:$FB,68)</f>
        <v>424</v>
      </c>
      <c r="N183" s="75">
        <f t="shared" si="22"/>
        <v>50</v>
      </c>
      <c r="O183" s="75">
        <f t="shared" si="23"/>
        <v>10.548523206751055</v>
      </c>
      <c r="P183" s="75">
        <f>VLOOKUP($A183,'Data Vlaue (Cr)'!$C:$FB,119)</f>
        <v>0.46</v>
      </c>
      <c r="Q183" s="75">
        <f>VLOOKUP($A183,'Data Vlaue (Cr)'!$C:$FB,122)*100</f>
        <v>-6.12</v>
      </c>
      <c r="R183" s="75">
        <f>VLOOKUP($A183,'Data Vlaue (Cr)'!$C:$FB,125)</f>
        <v>0.22</v>
      </c>
      <c r="S183" s="75">
        <f>VLOOKUP($A183,'Data Vlaue (Cr)'!$C:$FB,128)*100</f>
        <v>-43.59</v>
      </c>
    </row>
    <row r="184" spans="1:19" x14ac:dyDescent="0.25">
      <c r="A184" s="96" t="str">
        <f>'Data Vlaue (Cr)'!C175</f>
        <v>SAIL</v>
      </c>
      <c r="B184" s="75">
        <f>VLOOKUP($A184,'Data Vlaue (Cr)'!$C:$FB,2)</f>
        <v>4700</v>
      </c>
      <c r="C184" s="75">
        <f>VLOOKUP($A184,'Data Vlaue (Cr)'!$C:$FB,8)</f>
        <v>130.19999999999999</v>
      </c>
      <c r="D184" s="75">
        <f>VLOOKUP($A184,'Data Vlaue (Cr)'!$C:$FB,4)</f>
        <v>130.31</v>
      </c>
      <c r="E184" s="75">
        <f>VLOOKUP($A184,'Data Vlaue (Cr)'!$C:$FB,5)</f>
        <v>129.81</v>
      </c>
      <c r="F184" s="75">
        <f t="shared" si="18"/>
        <v>0.11000000000001364</v>
      </c>
      <c r="G184" s="75">
        <f t="shared" si="19"/>
        <v>0.38370040672243116</v>
      </c>
      <c r="H184" s="75">
        <f>VLOOKUP($A184,'Data Vlaue (Cr)'!$C:$FB,99)</f>
        <v>3368</v>
      </c>
      <c r="I184" s="75">
        <f>VLOOKUP($A184,'Data Vlaue (Cr)'!$C:$FB,100)</f>
        <v>3397</v>
      </c>
      <c r="J184" s="75">
        <f t="shared" si="20"/>
        <v>-29</v>
      </c>
      <c r="K184" s="75">
        <f t="shared" si="21"/>
        <v>-0.86104513064133004</v>
      </c>
      <c r="L184" s="75">
        <f>VLOOKUP($A184,'Data Vlaue (Cr)'!$C:$FB,67)</f>
        <v>555</v>
      </c>
      <c r="M184" s="75">
        <f>VLOOKUP($A184,'Data Vlaue (Cr)'!$C:$FB,68)</f>
        <v>921</v>
      </c>
      <c r="N184" s="75">
        <f t="shared" si="22"/>
        <v>-366</v>
      </c>
      <c r="O184" s="75">
        <f t="shared" si="23"/>
        <v>-65.945945945945951</v>
      </c>
      <c r="P184" s="75">
        <f>VLOOKUP($A184,'Data Vlaue (Cr)'!$C:$FB,119)</f>
        <v>0.56000000000000005</v>
      </c>
      <c r="Q184" s="75">
        <f>VLOOKUP($A184,'Data Vlaue (Cr)'!$C:$FB,122)*100</f>
        <v>0</v>
      </c>
      <c r="R184" s="75">
        <f>VLOOKUP($A184,'Data Vlaue (Cr)'!$C:$FB,125)</f>
        <v>0.31</v>
      </c>
      <c r="S184" s="75">
        <f>VLOOKUP($A184,'Data Vlaue (Cr)'!$C:$FB,128)*100</f>
        <v>-22.5</v>
      </c>
    </row>
    <row r="185" spans="1:19" x14ac:dyDescent="0.25">
      <c r="A185" s="96" t="str">
        <f>'Data Vlaue (Cr)'!C176</f>
        <v>SAMMAANCAP</v>
      </c>
      <c r="B185" s="75">
        <f>VLOOKUP($A185,'Data Vlaue (Cr)'!$C:$FB,2)</f>
        <v>4300</v>
      </c>
      <c r="C185" s="75">
        <f>VLOOKUP($A185,'Data Vlaue (Cr)'!$C:$FB,8)</f>
        <v>145.78</v>
      </c>
      <c r="D185" s="75">
        <f>VLOOKUP($A185,'Data Vlaue (Cr)'!$C:$FB,4)</f>
        <v>146.19</v>
      </c>
      <c r="E185" s="75">
        <f>VLOOKUP($A185,'Data Vlaue (Cr)'!$C:$FB,5)</f>
        <v>147.51</v>
      </c>
      <c r="F185" s="75">
        <f t="shared" si="18"/>
        <v>0.40999999999999659</v>
      </c>
      <c r="G185" s="75">
        <f t="shared" si="19"/>
        <v>-0.90293453724604511</v>
      </c>
      <c r="H185" s="75">
        <f>VLOOKUP($A185,'Data Vlaue (Cr)'!$C:$FB,99)</f>
        <v>3224</v>
      </c>
      <c r="I185" s="75">
        <f>VLOOKUP($A185,'Data Vlaue (Cr)'!$C:$FB,100)</f>
        <v>2764</v>
      </c>
      <c r="J185" s="75">
        <f t="shared" si="20"/>
        <v>460</v>
      </c>
      <c r="K185" s="75">
        <f t="shared" si="21"/>
        <v>14.267990074441686</v>
      </c>
      <c r="L185" s="75">
        <f>VLOOKUP($A185,'Data Vlaue (Cr)'!$C:$FB,67)</f>
        <v>6127</v>
      </c>
      <c r="M185" s="75">
        <f>VLOOKUP($A185,'Data Vlaue (Cr)'!$C:$FB,68)</f>
        <v>932</v>
      </c>
      <c r="N185" s="75">
        <f t="shared" si="22"/>
        <v>5195</v>
      </c>
      <c r="O185" s="75">
        <f t="shared" si="23"/>
        <v>84.788640443936671</v>
      </c>
      <c r="P185" s="75">
        <f>VLOOKUP($A185,'Data Vlaue (Cr)'!$C:$FB,119)</f>
        <v>0.63</v>
      </c>
      <c r="Q185" s="75">
        <f>VLOOKUP($A185,'Data Vlaue (Cr)'!$C:$FB,122)*100</f>
        <v>16.669999999999998</v>
      </c>
      <c r="R185" s="75">
        <f>VLOOKUP($A185,'Data Vlaue (Cr)'!$C:$FB,125)</f>
        <v>0.56999999999999995</v>
      </c>
      <c r="S185" s="75">
        <f>VLOOKUP($A185,'Data Vlaue (Cr)'!$C:$FB,128)*100</f>
        <v>78.12</v>
      </c>
    </row>
    <row r="186" spans="1:19" x14ac:dyDescent="0.25">
      <c r="A186" s="96" t="str">
        <f>'Data Vlaue (Cr)'!C177</f>
        <v>SBICARD</v>
      </c>
      <c r="B186" s="75">
        <f>VLOOKUP($A186,'Data Vlaue (Cr)'!$C:$FB,2)</f>
        <v>800</v>
      </c>
      <c r="C186" s="75">
        <f>VLOOKUP($A186,'Data Vlaue (Cr)'!$C:$FB,8)</f>
        <v>834.4</v>
      </c>
      <c r="D186" s="75">
        <f>VLOOKUP($A186,'Data Vlaue (Cr)'!$C:$FB,4)</f>
        <v>836.55</v>
      </c>
      <c r="E186" s="75">
        <f>VLOOKUP($A186,'Data Vlaue (Cr)'!$C:$FB,5)</f>
        <v>847.6</v>
      </c>
      <c r="F186" s="75">
        <f t="shared" ref="F186:F193" si="24">D186-C186</f>
        <v>2.1499999999999773</v>
      </c>
      <c r="G186" s="75">
        <f t="shared" ref="G186:G193" si="25">(D186-E186)/D186*100</f>
        <v>-1.3209013209013292</v>
      </c>
      <c r="H186" s="75">
        <f>VLOOKUP($A186,'Data Vlaue (Cr)'!$C:$FB,99)</f>
        <v>2329</v>
      </c>
      <c r="I186" s="75">
        <f>VLOOKUP($A186,'Data Vlaue (Cr)'!$C:$FB,100)</f>
        <v>2266</v>
      </c>
      <c r="J186" s="75">
        <f t="shared" ref="J186:J193" si="26">H186-I186</f>
        <v>63</v>
      </c>
      <c r="K186" s="75">
        <f t="shared" ref="K186:K193" si="27">J186/H186*100</f>
        <v>2.7050236152855303</v>
      </c>
      <c r="L186" s="75">
        <f>VLOOKUP($A186,'Data Vlaue (Cr)'!$C:$FB,67)</f>
        <v>1353</v>
      </c>
      <c r="M186" s="75">
        <f>VLOOKUP($A186,'Data Vlaue (Cr)'!$C:$FB,68)</f>
        <v>1073</v>
      </c>
      <c r="N186" s="75">
        <f t="shared" ref="N186:N193" si="28">L186-M186</f>
        <v>280</v>
      </c>
      <c r="O186" s="75">
        <f t="shared" ref="O186:O193" si="29">N186/L186*100</f>
        <v>20.694752402069476</v>
      </c>
      <c r="P186" s="75">
        <f>VLOOKUP($A186,'Data Vlaue (Cr)'!$C:$FB,119)</f>
        <v>0.66</v>
      </c>
      <c r="Q186" s="75">
        <f>VLOOKUP($A186,'Data Vlaue (Cr)'!$C:$FB,122)*100</f>
        <v>-5.71</v>
      </c>
      <c r="R186" s="75">
        <f>VLOOKUP($A186,'Data Vlaue (Cr)'!$C:$FB,125)</f>
        <v>0.89</v>
      </c>
      <c r="S186" s="75">
        <f>VLOOKUP($A186,'Data Vlaue (Cr)'!$C:$FB,128)*100</f>
        <v>61.82</v>
      </c>
    </row>
    <row r="187" spans="1:19" x14ac:dyDescent="0.25">
      <c r="A187" s="96" t="str">
        <f>'Data Vlaue (Cr)'!C178</f>
        <v>SBILIFE</v>
      </c>
      <c r="B187" s="75">
        <f>VLOOKUP($A187,'Data Vlaue (Cr)'!$C:$FB,2)</f>
        <v>375</v>
      </c>
      <c r="C187" s="75">
        <f>VLOOKUP($A187,'Data Vlaue (Cr)'!$C:$FB,8)</f>
        <v>2010.2</v>
      </c>
      <c r="D187" s="75">
        <f>VLOOKUP($A187,'Data Vlaue (Cr)'!$C:$FB,4)</f>
        <v>2016.3</v>
      </c>
      <c r="E187" s="75">
        <f>VLOOKUP($A187,'Data Vlaue (Cr)'!$C:$FB,5)</f>
        <v>2035.8</v>
      </c>
      <c r="F187" s="75">
        <f t="shared" si="24"/>
        <v>6.0999999999999091</v>
      </c>
      <c r="G187" s="75">
        <f t="shared" si="25"/>
        <v>-0.96711798839458418</v>
      </c>
      <c r="H187" s="75">
        <f>VLOOKUP($A187,'Data Vlaue (Cr)'!$C:$FB,99)</f>
        <v>2913</v>
      </c>
      <c r="I187" s="75">
        <f>VLOOKUP($A187,'Data Vlaue (Cr)'!$C:$FB,100)</f>
        <v>3041</v>
      </c>
      <c r="J187" s="75">
        <f t="shared" si="26"/>
        <v>-128</v>
      </c>
      <c r="K187" s="75">
        <f t="shared" si="27"/>
        <v>-4.3940954342602128</v>
      </c>
      <c r="L187" s="75">
        <f>VLOOKUP($A187,'Data Vlaue (Cr)'!$C:$FB,67)</f>
        <v>2691</v>
      </c>
      <c r="M187" s="75">
        <f>VLOOKUP($A187,'Data Vlaue (Cr)'!$C:$FB,68)</f>
        <v>2190</v>
      </c>
      <c r="N187" s="75">
        <f t="shared" si="28"/>
        <v>501</v>
      </c>
      <c r="O187" s="75">
        <f t="shared" si="29"/>
        <v>18.617614269788181</v>
      </c>
      <c r="P187" s="75">
        <f>VLOOKUP($A187,'Data Vlaue (Cr)'!$C:$FB,119)</f>
        <v>0.48</v>
      </c>
      <c r="Q187" s="75">
        <f>VLOOKUP($A187,'Data Vlaue (Cr)'!$C:$FB,122)*100</f>
        <v>-9.43</v>
      </c>
      <c r="R187" s="75">
        <f>VLOOKUP($A187,'Data Vlaue (Cr)'!$C:$FB,125)</f>
        <v>1.02</v>
      </c>
      <c r="S187" s="75">
        <f>VLOOKUP($A187,'Data Vlaue (Cr)'!$C:$FB,128)*100</f>
        <v>209.09</v>
      </c>
    </row>
    <row r="188" spans="1:19" x14ac:dyDescent="0.25">
      <c r="A188" s="96" t="str">
        <f>'Data Vlaue (Cr)'!C179</f>
        <v>SBIN</v>
      </c>
      <c r="B188" s="75">
        <f>VLOOKUP($A188,'Data Vlaue (Cr)'!$C:$FB,2)</f>
        <v>750</v>
      </c>
      <c r="C188" s="75">
        <f>VLOOKUP($A188,'Data Vlaue (Cr)'!$C:$FB,8)</f>
        <v>975.85</v>
      </c>
      <c r="D188" s="75">
        <f>VLOOKUP($A188,'Data Vlaue (Cr)'!$C:$FB,4)</f>
        <v>977.5</v>
      </c>
      <c r="E188" s="75">
        <f>VLOOKUP($A188,'Data Vlaue (Cr)'!$C:$FB,5)</f>
        <v>962.9</v>
      </c>
      <c r="F188" s="75">
        <f t="shared" si="24"/>
        <v>1.6499999999999773</v>
      </c>
      <c r="G188" s="75">
        <f t="shared" si="25"/>
        <v>1.4936061381074193</v>
      </c>
      <c r="H188" s="75">
        <f>VLOOKUP($A188,'Data Vlaue (Cr)'!$C:$FB,99)</f>
        <v>15274</v>
      </c>
      <c r="I188" s="75">
        <f>VLOOKUP($A188,'Data Vlaue (Cr)'!$C:$FB,100)</f>
        <v>15764</v>
      </c>
      <c r="J188" s="75">
        <f t="shared" si="26"/>
        <v>-490</v>
      </c>
      <c r="K188" s="75">
        <f t="shared" si="27"/>
        <v>-3.2080659945004584</v>
      </c>
      <c r="L188" s="75">
        <f>VLOOKUP($A188,'Data Vlaue (Cr)'!$C:$FB,67)</f>
        <v>17960</v>
      </c>
      <c r="M188" s="75">
        <f>VLOOKUP($A188,'Data Vlaue (Cr)'!$C:$FB,68)</f>
        <v>7273</v>
      </c>
      <c r="N188" s="75">
        <f t="shared" si="28"/>
        <v>10687</v>
      </c>
      <c r="O188" s="75">
        <f t="shared" si="29"/>
        <v>59.504454342984417</v>
      </c>
      <c r="P188" s="75">
        <f>VLOOKUP($A188,'Data Vlaue (Cr)'!$C:$FB,119)</f>
        <v>0.71</v>
      </c>
      <c r="Q188" s="75">
        <f>VLOOKUP($A188,'Data Vlaue (Cr)'!$C:$FB,122)*100</f>
        <v>16.39</v>
      </c>
      <c r="R188" s="75">
        <f>VLOOKUP($A188,'Data Vlaue (Cr)'!$C:$FB,125)</f>
        <v>0.59</v>
      </c>
      <c r="S188" s="75">
        <f>VLOOKUP($A188,'Data Vlaue (Cr)'!$C:$FB,128)*100</f>
        <v>-9.2299999999999986</v>
      </c>
    </row>
    <row r="189" spans="1:19" x14ac:dyDescent="0.25">
      <c r="A189" s="96" t="str">
        <f>'Data Vlaue (Cr)'!C180</f>
        <v>SHREECEM</v>
      </c>
      <c r="B189" s="75">
        <f>VLOOKUP($A189,'Data Vlaue (Cr)'!$C:$FB,2)</f>
        <v>25</v>
      </c>
      <c r="C189" s="75">
        <f>VLOOKUP($A189,'Data Vlaue (Cr)'!$C:$FB,8)</f>
        <v>26045</v>
      </c>
      <c r="D189" s="75">
        <f>VLOOKUP($A189,'Data Vlaue (Cr)'!$C:$FB,4)</f>
        <v>26080</v>
      </c>
      <c r="E189" s="75">
        <f>VLOOKUP($A189,'Data Vlaue (Cr)'!$C:$FB,5)</f>
        <v>26110</v>
      </c>
      <c r="F189" s="75">
        <f t="shared" si="24"/>
        <v>35</v>
      </c>
      <c r="G189" s="75">
        <f t="shared" si="25"/>
        <v>-0.11503067484662577</v>
      </c>
      <c r="H189" s="75">
        <f>VLOOKUP($A189,'Data Vlaue (Cr)'!$C:$FB,99)</f>
        <v>1370</v>
      </c>
      <c r="I189" s="75">
        <f>VLOOKUP($A189,'Data Vlaue (Cr)'!$C:$FB,100)</f>
        <v>1388</v>
      </c>
      <c r="J189" s="75">
        <f t="shared" si="26"/>
        <v>-18</v>
      </c>
      <c r="K189" s="75">
        <f t="shared" si="27"/>
        <v>-1.3138686131386861</v>
      </c>
      <c r="L189" s="75">
        <f>VLOOKUP($A189,'Data Vlaue (Cr)'!$C:$FB,67)</f>
        <v>440</v>
      </c>
      <c r="M189" s="75">
        <f>VLOOKUP($A189,'Data Vlaue (Cr)'!$C:$FB,68)</f>
        <v>1391</v>
      </c>
      <c r="N189" s="75">
        <f t="shared" si="28"/>
        <v>-951</v>
      </c>
      <c r="O189" s="75">
        <f t="shared" si="29"/>
        <v>-216.13636363636363</v>
      </c>
      <c r="P189" s="75">
        <f>VLOOKUP($A189,'Data Vlaue (Cr)'!$C:$FB,119)</f>
        <v>0.44</v>
      </c>
      <c r="Q189" s="75">
        <f>VLOOKUP($A189,'Data Vlaue (Cr)'!$C:$FB,122)*100</f>
        <v>7.32</v>
      </c>
      <c r="R189" s="75">
        <f>VLOOKUP($A189,'Data Vlaue (Cr)'!$C:$FB,125)</f>
        <v>0.18</v>
      </c>
      <c r="S189" s="75">
        <f>VLOOKUP($A189,'Data Vlaue (Cr)'!$C:$FB,128)*100</f>
        <v>-66.67</v>
      </c>
    </row>
    <row r="190" spans="1:19" x14ac:dyDescent="0.25">
      <c r="A190" s="96" t="str">
        <f>'Data Vlaue (Cr)'!C181</f>
        <v>SHRIRAMFIN</v>
      </c>
      <c r="B190" s="75">
        <f>VLOOKUP($A190,'Data Vlaue (Cr)'!$C:$FB,2)</f>
        <v>825</v>
      </c>
      <c r="C190" s="75">
        <f>VLOOKUP($A190,'Data Vlaue (Cr)'!$C:$FB,8)</f>
        <v>864.2</v>
      </c>
      <c r="D190" s="75">
        <f>VLOOKUP($A190,'Data Vlaue (Cr)'!$C:$FB,4)</f>
        <v>867.95</v>
      </c>
      <c r="E190" s="75">
        <f>VLOOKUP($A190,'Data Vlaue (Cr)'!$C:$FB,5)</f>
        <v>850</v>
      </c>
      <c r="F190" s="75">
        <f t="shared" si="24"/>
        <v>3.75</v>
      </c>
      <c r="G190" s="75">
        <f t="shared" si="25"/>
        <v>2.0680914799239636</v>
      </c>
      <c r="H190" s="75">
        <f>VLOOKUP($A190,'Data Vlaue (Cr)'!$C:$FB,99)</f>
        <v>8936</v>
      </c>
      <c r="I190" s="75">
        <f>VLOOKUP($A190,'Data Vlaue (Cr)'!$C:$FB,100)</f>
        <v>8401</v>
      </c>
      <c r="J190" s="75">
        <f t="shared" si="26"/>
        <v>535</v>
      </c>
      <c r="K190" s="75">
        <f t="shared" si="27"/>
        <v>5.9870188003581024</v>
      </c>
      <c r="L190" s="75">
        <f>VLOOKUP($A190,'Data Vlaue (Cr)'!$C:$FB,67)</f>
        <v>10436</v>
      </c>
      <c r="M190" s="75">
        <f>VLOOKUP($A190,'Data Vlaue (Cr)'!$C:$FB,68)</f>
        <v>2826</v>
      </c>
      <c r="N190" s="75">
        <f t="shared" si="28"/>
        <v>7610</v>
      </c>
      <c r="O190" s="75">
        <f t="shared" si="29"/>
        <v>72.92065925642008</v>
      </c>
      <c r="P190" s="75">
        <f>VLOOKUP($A190,'Data Vlaue (Cr)'!$C:$FB,119)</f>
        <v>0.56999999999999995</v>
      </c>
      <c r="Q190" s="75">
        <f>VLOOKUP($A190,'Data Vlaue (Cr)'!$C:$FB,122)*100</f>
        <v>-5</v>
      </c>
      <c r="R190" s="75">
        <f>VLOOKUP($A190,'Data Vlaue (Cr)'!$C:$FB,125)</f>
        <v>0.35</v>
      </c>
      <c r="S190" s="75">
        <f>VLOOKUP($A190,'Data Vlaue (Cr)'!$C:$FB,128)*100</f>
        <v>-31.369999999999997</v>
      </c>
    </row>
    <row r="191" spans="1:19" x14ac:dyDescent="0.25">
      <c r="A191" s="96" t="str">
        <f>'Data Vlaue (Cr)'!C182</f>
        <v>SIEMENS</v>
      </c>
      <c r="B191" s="75">
        <f>VLOOKUP($A191,'Data Vlaue (Cr)'!$C:$FB,2)</f>
        <v>125</v>
      </c>
      <c r="C191" s="75">
        <f>VLOOKUP($A191,'Data Vlaue (Cr)'!$C:$FB,8)</f>
        <v>3140.1</v>
      </c>
      <c r="D191" s="75">
        <f>VLOOKUP($A191,'Data Vlaue (Cr)'!$C:$FB,4)</f>
        <v>3152.3</v>
      </c>
      <c r="E191" s="75">
        <f>VLOOKUP($A191,'Data Vlaue (Cr)'!$C:$FB,5)</f>
        <v>3165.7</v>
      </c>
      <c r="F191" s="75">
        <f t="shared" si="24"/>
        <v>12.200000000000273</v>
      </c>
      <c r="G191" s="75">
        <f t="shared" si="25"/>
        <v>-0.4250864448180578</v>
      </c>
      <c r="H191" s="75">
        <f>VLOOKUP($A191,'Data Vlaue (Cr)'!$C:$FB,99)</f>
        <v>2069</v>
      </c>
      <c r="I191" s="75">
        <f>VLOOKUP($A191,'Data Vlaue (Cr)'!$C:$FB,100)</f>
        <v>2092</v>
      </c>
      <c r="J191" s="75">
        <f t="shared" si="26"/>
        <v>-23</v>
      </c>
      <c r="K191" s="75">
        <f t="shared" si="27"/>
        <v>-1.11164813919768</v>
      </c>
      <c r="L191" s="75">
        <f>VLOOKUP($A191,'Data Vlaue (Cr)'!$C:$FB,67)</f>
        <v>741</v>
      </c>
      <c r="M191" s="75">
        <f>VLOOKUP($A191,'Data Vlaue (Cr)'!$C:$FB,68)</f>
        <v>949</v>
      </c>
      <c r="N191" s="75">
        <f t="shared" si="28"/>
        <v>-208</v>
      </c>
      <c r="O191" s="75">
        <f t="shared" si="29"/>
        <v>-28.07017543859649</v>
      </c>
      <c r="P191" s="75">
        <f>VLOOKUP($A191,'Data Vlaue (Cr)'!$C:$FB,119)</f>
        <v>0.52</v>
      </c>
      <c r="Q191" s="75">
        <f>VLOOKUP($A191,'Data Vlaue (Cr)'!$C:$FB,122)*100</f>
        <v>1.96</v>
      </c>
      <c r="R191" s="75">
        <f>VLOOKUP($A191,'Data Vlaue (Cr)'!$C:$FB,125)</f>
        <v>0.4</v>
      </c>
      <c r="S191" s="75">
        <f>VLOOKUP($A191,'Data Vlaue (Cr)'!$C:$FB,128)*100</f>
        <v>-23.080000000000002</v>
      </c>
    </row>
    <row r="192" spans="1:19" x14ac:dyDescent="0.25">
      <c r="A192" s="96" t="str">
        <f>'Data Vlaue (Cr)'!C183</f>
        <v>SOLARINDS</v>
      </c>
      <c r="B192" s="75">
        <f>VLOOKUP($A192,'Data Vlaue (Cr)'!$C:$FB,2)</f>
        <v>75</v>
      </c>
      <c r="C192" s="75">
        <f>VLOOKUP($A192,'Data Vlaue (Cr)'!$C:$FB,8)</f>
        <v>11815</v>
      </c>
      <c r="D192" s="75">
        <f>VLOOKUP($A192,'Data Vlaue (Cr)'!$C:$FB,4)</f>
        <v>11824</v>
      </c>
      <c r="E192" s="75">
        <f>VLOOKUP($A192,'Data Vlaue (Cr)'!$C:$FB,5)</f>
        <v>11930</v>
      </c>
      <c r="F192" s="75">
        <f t="shared" si="24"/>
        <v>9</v>
      </c>
      <c r="G192" s="75">
        <f t="shared" si="25"/>
        <v>-0.8964817320703653</v>
      </c>
      <c r="H192" s="75">
        <f>VLOOKUP($A192,'Data Vlaue (Cr)'!$C:$FB,99)</f>
        <v>2563</v>
      </c>
      <c r="I192" s="75">
        <f>VLOOKUP($A192,'Data Vlaue (Cr)'!$C:$FB,100)</f>
        <v>2493</v>
      </c>
      <c r="J192" s="75">
        <f t="shared" si="26"/>
        <v>70</v>
      </c>
      <c r="K192" s="75">
        <f t="shared" si="27"/>
        <v>2.7311744049941473</v>
      </c>
      <c r="L192" s="75">
        <f>VLOOKUP($A192,'Data Vlaue (Cr)'!$C:$FB,67)</f>
        <v>1385</v>
      </c>
      <c r="M192" s="75">
        <f>VLOOKUP($A192,'Data Vlaue (Cr)'!$C:$FB,68)</f>
        <v>1799</v>
      </c>
      <c r="N192" s="75">
        <f t="shared" si="28"/>
        <v>-414</v>
      </c>
      <c r="O192" s="75">
        <f t="shared" si="29"/>
        <v>-29.891696750902526</v>
      </c>
      <c r="P192" s="75">
        <f>VLOOKUP($A192,'Data Vlaue (Cr)'!$C:$FB,119)</f>
        <v>0.38</v>
      </c>
      <c r="Q192" s="75">
        <f>VLOOKUP($A192,'Data Vlaue (Cr)'!$C:$FB,122)*100</f>
        <v>2.7</v>
      </c>
      <c r="R192" s="75">
        <f>VLOOKUP($A192,'Data Vlaue (Cr)'!$C:$FB,125)</f>
        <v>0.63</v>
      </c>
      <c r="S192" s="75">
        <f>VLOOKUP($A192,'Data Vlaue (Cr)'!$C:$FB,128)*100</f>
        <v>43.18</v>
      </c>
    </row>
    <row r="193" spans="1:19" x14ac:dyDescent="0.25">
      <c r="A193" s="96" t="str">
        <f>'Data Vlaue (Cr)'!C215</f>
        <v>ZYDUSLIFE</v>
      </c>
      <c r="B193" s="75">
        <f>VLOOKUP($A193,'Data Vlaue (Cr)'!$C:$FB,2)</f>
        <v>900</v>
      </c>
      <c r="C193" s="75">
        <f>VLOOKUP($A193,'Data Vlaue (Cr)'!$C:$FB,8)</f>
        <v>918.1</v>
      </c>
      <c r="D193" s="75">
        <f>VLOOKUP($A193,'Data Vlaue (Cr)'!$C:$FB,4)</f>
        <v>919.1</v>
      </c>
      <c r="E193" s="75">
        <f>VLOOKUP($A193,'Data Vlaue (Cr)'!$C:$FB,5)</f>
        <v>917.7</v>
      </c>
      <c r="F193" s="75">
        <f t="shared" si="24"/>
        <v>1</v>
      </c>
      <c r="G193" s="75">
        <f t="shared" si="25"/>
        <v>0.15232292460014984</v>
      </c>
      <c r="H193" s="75">
        <f>VLOOKUP($A193,'Data Vlaue (Cr)'!$C:$FB,99)</f>
        <v>1738</v>
      </c>
      <c r="I193" s="75">
        <f>VLOOKUP($A193,'Data Vlaue (Cr)'!$C:$FB,100)</f>
        <v>1747</v>
      </c>
      <c r="J193" s="75">
        <f t="shared" si="26"/>
        <v>-9</v>
      </c>
      <c r="K193" s="75">
        <f t="shared" si="27"/>
        <v>-0.51783659378596081</v>
      </c>
      <c r="L193" s="75">
        <f>VLOOKUP($A193,'Data Vlaue (Cr)'!$C:$FB,67)</f>
        <v>290</v>
      </c>
      <c r="M193" s="75">
        <f>VLOOKUP($A193,'Data Vlaue (Cr)'!$C:$FB,68)</f>
        <v>571</v>
      </c>
      <c r="N193" s="75">
        <f t="shared" si="28"/>
        <v>-281</v>
      </c>
      <c r="O193" s="75">
        <f t="shared" si="29"/>
        <v>-96.896551724137936</v>
      </c>
      <c r="P193" s="75">
        <f>VLOOKUP($A193,'Data Vlaue (Cr)'!$C:$FB,119)</f>
        <v>0.74</v>
      </c>
      <c r="Q193" s="75">
        <f>VLOOKUP($A193,'Data Vlaue (Cr)'!$C:$FB,122)*100</f>
        <v>5.71</v>
      </c>
      <c r="R193" s="75">
        <f>VLOOKUP($A193,'Data Vlaue (Cr)'!$C:$FB,125)</f>
        <v>0.3</v>
      </c>
      <c r="S193" s="75">
        <f>VLOOKUP($A193,'Data Vlaue (Cr)'!$C:$FB,128)*100</f>
        <v>15.379999999999999</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2248096</v>
      </c>
      <c r="I225" s="18">
        <f>SUM(I11:I223)</f>
        <v>2727371</v>
      </c>
      <c r="J225" s="18">
        <f>H225-I225</f>
        <v>-479275</v>
      </c>
      <c r="K225" s="19">
        <f>J225/I225</f>
        <v>-0.17572783460702632</v>
      </c>
      <c r="L225" s="18">
        <f>SUM(L11:L223)</f>
        <v>10251077</v>
      </c>
      <c r="M225" s="18">
        <f>SUM(M11:M223)</f>
        <v>52462575</v>
      </c>
      <c r="N225" s="18">
        <f>L225-M225</f>
        <v>-42211498</v>
      </c>
      <c r="O225" s="19">
        <f>N225/M225</f>
        <v>-0.80460209968725327</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12400</v>
      </c>
      <c r="C231" s="146">
        <f>VLOOKUP(B230,'OI(Value)'!A7:G209,7,0)</f>
        <v>-4.5999999999999999E-3</v>
      </c>
      <c r="D231" s="9">
        <f>VLOOKUP(D230,'OI(Value)'!A7:E209,5,0)</f>
        <v>48090</v>
      </c>
      <c r="E231" s="147">
        <f>VLOOKUP(D230,'OI(Value)'!A7:G209,7,0)</f>
        <v>2.0899999999999998E-2</v>
      </c>
      <c r="F231" s="9">
        <f>G231-D231-B231</f>
        <v>448381</v>
      </c>
      <c r="G231" s="10">
        <f>'OI(Value)'!E210</f>
        <v>508871</v>
      </c>
      <c r="H231" s="147">
        <f>'OI(Value)'!D217</f>
        <v>8.0275747684580186E-3</v>
      </c>
    </row>
    <row r="232" spans="1:19" x14ac:dyDescent="0.25">
      <c r="A232" s="26" t="s">
        <v>389</v>
      </c>
      <c r="B232" s="9">
        <f>VLOOKUP(B230,'OI(Value)'!A7:H209,8,0)</f>
        <v>134280</v>
      </c>
      <c r="C232" s="146">
        <f>VLOOKUP(B230,'OI(Value)'!A7:J209,10,0)</f>
        <v>3.73E-2</v>
      </c>
      <c r="D232" s="9">
        <f>VLOOKUP(D230,'OI(Value)'!A1:O210,8,0)</f>
        <v>636345</v>
      </c>
      <c r="E232" s="147">
        <f>VLOOKUP(D230,'OI(Value)'!A1:J209,10,0)</f>
        <v>0.4259</v>
      </c>
      <c r="F232" s="9">
        <f>G232-D232-B232</f>
        <v>236724</v>
      </c>
      <c r="G232" s="9">
        <f>'OI(Value)'!H210</f>
        <v>1007349</v>
      </c>
      <c r="H232" s="147">
        <f>'OI(Value)'!D218</f>
        <v>0.20099885938239875</v>
      </c>
    </row>
    <row r="233" spans="1:19" x14ac:dyDescent="0.25">
      <c r="A233" s="26" t="s">
        <v>390</v>
      </c>
      <c r="B233" s="9">
        <f>VLOOKUP(B230,'OI(Value)'!A7:K209,11,0)</f>
        <v>100829</v>
      </c>
      <c r="C233" s="146">
        <f>VLOOKUP(B230,'OI(Value)'!A7:M209,13,0)</f>
        <v>8.6999999999999994E-3</v>
      </c>
      <c r="D233" s="9">
        <f>VLOOKUP(D230,'OI(Value)'!A2:O211,11,0)</f>
        <v>488873</v>
      </c>
      <c r="E233" s="147">
        <f>VLOOKUP(D230,'OI(Value)'!A7:M209,13,0)</f>
        <v>0.21659999999999999</v>
      </c>
      <c r="F233" s="9">
        <f>G233-D233-B233</f>
        <v>142181</v>
      </c>
      <c r="G233" s="9">
        <f>'OI(Value)'!K210</f>
        <v>731883</v>
      </c>
      <c r="H233" s="147">
        <f>'OI(Volume)'!D229</f>
        <v>2.0220667379815749E-2</v>
      </c>
    </row>
    <row r="234" spans="1:19" x14ac:dyDescent="0.25">
      <c r="A234" s="22" t="s">
        <v>391</v>
      </c>
      <c r="B234" s="62">
        <f>SUM(B231:B233)</f>
        <v>247509</v>
      </c>
      <c r="C234" s="148">
        <f>VLOOKUP(B230,'OI(Value)'!A7:D148,4,0)</f>
        <v>2.3300000000000001E-2</v>
      </c>
      <c r="D234" s="62">
        <f>SUM(D231:D233)</f>
        <v>1173308</v>
      </c>
      <c r="E234" s="148">
        <f>VLOOKUP(D230,'OI(Value)'!A1:D210,4,0)</f>
        <v>-0.29799999999999999</v>
      </c>
      <c r="F234" s="62">
        <f>SUM(F231:F233)</f>
        <v>827286</v>
      </c>
      <c r="G234" s="62">
        <f>SUM(G231:G233)</f>
        <v>2248103</v>
      </c>
      <c r="H234" s="151">
        <f>'OI(Value)'!D220</f>
        <v>0.13210604674252024</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46008</v>
      </c>
      <c r="D240" s="31" t="s">
        <v>397</v>
      </c>
      <c r="E240" s="32" t="s">
        <v>321</v>
      </c>
      <c r="F240" s="31">
        <f>C240</f>
        <v>46008</v>
      </c>
      <c r="G240" s="31" t="str">
        <f>D240</f>
        <v>Preious</v>
      </c>
      <c r="H240" s="32" t="s">
        <v>386</v>
      </c>
    </row>
    <row r="241" spans="1:8" x14ac:dyDescent="0.25">
      <c r="A241" s="29" t="s">
        <v>393</v>
      </c>
      <c r="B241" s="30"/>
      <c r="C241" s="13">
        <f>FII!N3</f>
        <v>5434</v>
      </c>
      <c r="D241" s="13">
        <f>FII!J3</f>
        <v>5696</v>
      </c>
      <c r="E241" s="14">
        <f>(C241-D241)/C241</f>
        <v>-4.8214942951785057E-2</v>
      </c>
      <c r="F241" s="13">
        <f>FII!M3</f>
        <v>26525</v>
      </c>
      <c r="G241" s="13">
        <f>FII!I3</f>
        <v>27734</v>
      </c>
      <c r="H241" s="14">
        <f>(F241-G241)/F241</f>
        <v>-4.5579641847313855E-2</v>
      </c>
    </row>
    <row r="242" spans="1:8" x14ac:dyDescent="0.25">
      <c r="A242" s="247" t="s">
        <v>394</v>
      </c>
      <c r="B242" s="248"/>
      <c r="C242" s="13">
        <f>FII!N4</f>
        <v>74786</v>
      </c>
      <c r="D242" s="13">
        <f>FII!J4</f>
        <v>73245</v>
      </c>
      <c r="E242" s="14">
        <f>(C242-D242)/C242</f>
        <v>2.0605460915144546E-2</v>
      </c>
      <c r="F242" s="13">
        <f>FII!M4</f>
        <v>370401</v>
      </c>
      <c r="G242" s="13">
        <f>FII!I4</f>
        <v>362264</v>
      </c>
      <c r="H242" s="14">
        <f>(F242-G242)/F242</f>
        <v>2.196808323951609E-2</v>
      </c>
    </row>
    <row r="243" spans="1:8" x14ac:dyDescent="0.25">
      <c r="A243" s="247" t="s">
        <v>395</v>
      </c>
      <c r="B243" s="248"/>
      <c r="C243" s="13">
        <f>FII!N15</f>
        <v>396604</v>
      </c>
      <c r="D243" s="13">
        <f>FII!J15</f>
        <v>395893</v>
      </c>
      <c r="E243" s="14">
        <f>(C243-D243)/C243</f>
        <v>1.7927201944508879E-3</v>
      </c>
      <c r="F243" s="13">
        <f>FII!M15</f>
        <v>5934387</v>
      </c>
      <c r="G243" s="13">
        <f>FII!I15</f>
        <v>5901225</v>
      </c>
      <c r="H243" s="14">
        <f>(F243-G243)/F243</f>
        <v>5.5881087633819632E-3</v>
      </c>
    </row>
    <row r="244" spans="1:8" x14ac:dyDescent="0.25">
      <c r="A244" s="247" t="s">
        <v>396</v>
      </c>
      <c r="B244" s="248"/>
      <c r="C244" s="13">
        <f>FII!N16</f>
        <v>38060</v>
      </c>
      <c r="D244" s="13">
        <f>FII!J16</f>
        <v>36024</v>
      </c>
      <c r="E244" s="14">
        <f>(C244-D244)/C244</f>
        <v>5.34944823962165E-2</v>
      </c>
      <c r="F244" s="13">
        <f>FII!M16</f>
        <v>562667</v>
      </c>
      <c r="G244" s="13">
        <f>FII!I16</f>
        <v>532217</v>
      </c>
      <c r="H244" s="14">
        <f>(F244-G244)/F244</f>
        <v>5.4117266518207037E-2</v>
      </c>
    </row>
    <row r="245" spans="1:8" x14ac:dyDescent="0.25">
      <c r="A245" s="247" t="s">
        <v>391</v>
      </c>
      <c r="B245" s="248"/>
      <c r="C245" s="155">
        <f>SUM(C241:C244)</f>
        <v>514884</v>
      </c>
      <c r="D245" s="155">
        <f>SUM(D241:D244)</f>
        <v>510858</v>
      </c>
      <c r="E245" s="156">
        <f>(C245-D245)/C245</f>
        <v>7.8192369543431135E-3</v>
      </c>
      <c r="F245" s="157">
        <f>SUM(F241:F244)</f>
        <v>6893980</v>
      </c>
      <c r="G245" s="158">
        <f>SUM(G241:G244)</f>
        <v>6823440</v>
      </c>
      <c r="H245" s="156">
        <f>(F245-G245)/F245</f>
        <v>1.0232115555890792E-2</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46008</v>
      </c>
      <c r="C5" s="3">
        <f>B5</f>
        <v>46008</v>
      </c>
      <c r="D5" s="76" t="s">
        <v>367</v>
      </c>
      <c r="E5" s="76" t="s">
        <v>321</v>
      </c>
      <c r="F5" s="76" t="s">
        <v>368</v>
      </c>
      <c r="G5" s="76" t="s">
        <v>369</v>
      </c>
      <c r="H5" s="48"/>
    </row>
    <row r="6" spans="1:8" x14ac:dyDescent="0.25">
      <c r="A6" s="101" t="str">
        <f>'Data shares'!C2</f>
        <v>360ONE</v>
      </c>
      <c r="B6" s="144">
        <f>VLOOKUP($A6,'Data shares'!$C:$FA,7)</f>
        <v>1126.0999999999999</v>
      </c>
      <c r="C6" s="144">
        <f>VLOOKUP($A6,'Data shares'!$C:$FA,3)</f>
        <v>1130.0999999999999</v>
      </c>
      <c r="D6" s="144">
        <f>VLOOKUP($A6,'Data shares'!$C:$FA,23)</f>
        <v>4</v>
      </c>
      <c r="E6" s="145">
        <f>VLOOKUP($A6,'Data shares'!$C:$FA,26)*100</f>
        <v>0.36</v>
      </c>
      <c r="F6" s="144">
        <f>VLOOKUP($A6,'Data shares'!$C:$FA,24)</f>
        <v>-0.2</v>
      </c>
      <c r="G6" s="144">
        <f>VLOOKUP($A6,'Data shares'!$C:$FA,25)</f>
        <v>4.2</v>
      </c>
    </row>
    <row r="7" spans="1:8" x14ac:dyDescent="0.25">
      <c r="A7" s="101" t="str">
        <f>'Data shares'!C3</f>
        <v>ABB</v>
      </c>
      <c r="B7" s="144">
        <f>VLOOKUP($A7,'Data shares'!$C:$FA,7)</f>
        <v>5171</v>
      </c>
      <c r="C7" s="144">
        <f>VLOOKUP($A7,'Data shares'!$C:$FA,3)</f>
        <v>5190</v>
      </c>
      <c r="D7" s="144">
        <f>VLOOKUP($A7,'Data shares'!$C:$FA,23)</f>
        <v>19</v>
      </c>
      <c r="E7" s="145">
        <f>VLOOKUP($A7,'Data shares'!$C:$FA,26)*100</f>
        <v>0.37</v>
      </c>
      <c r="F7" s="144">
        <f>VLOOKUP($A7,'Data shares'!$C:$FA,24)</f>
        <v>20</v>
      </c>
      <c r="G7" s="144">
        <f>VLOOKUP($A7,'Data shares'!$C:$FA,25)</f>
        <v>-1</v>
      </c>
    </row>
    <row r="8" spans="1:8" x14ac:dyDescent="0.25">
      <c r="A8" s="101" t="str">
        <f>'Data shares'!C4</f>
        <v>ABCAPITAL</v>
      </c>
      <c r="B8" s="144">
        <f>VLOOKUP($A8,'Data shares'!$C:$FA,7)</f>
        <v>346.8</v>
      </c>
      <c r="C8" s="144">
        <f>VLOOKUP($A8,'Data shares'!$C:$FA,3)</f>
        <v>347.7</v>
      </c>
      <c r="D8" s="144">
        <f>VLOOKUP($A8,'Data shares'!$C:$FA,23)</f>
        <v>0.9</v>
      </c>
      <c r="E8" s="145">
        <f>VLOOKUP($A8,'Data shares'!$C:$FA,26)*100</f>
        <v>0.26</v>
      </c>
      <c r="F8" s="144">
        <f>VLOOKUP($A8,'Data shares'!$C:$FA,24)</f>
        <v>0.7</v>
      </c>
      <c r="G8" s="144">
        <f>VLOOKUP($A8,'Data shares'!$C:$FA,25)</f>
        <v>0.2</v>
      </c>
    </row>
    <row r="9" spans="1:8" x14ac:dyDescent="0.25">
      <c r="A9" s="101" t="str">
        <f>'Data shares'!C5</f>
        <v>ADANIENSOL</v>
      </c>
      <c r="B9" s="144">
        <f>VLOOKUP($A9,'Data shares'!$C:$FA,7)</f>
        <v>977.55</v>
      </c>
      <c r="C9" s="144">
        <f>VLOOKUP($A9,'Data shares'!$C:$FA,3)</f>
        <v>981.3</v>
      </c>
      <c r="D9" s="144">
        <f>VLOOKUP($A9,'Data shares'!$C:$FA,23)</f>
        <v>3.75</v>
      </c>
      <c r="E9" s="145">
        <f>VLOOKUP($A9,'Data shares'!$C:$FA,26)*100</f>
        <v>0.38</v>
      </c>
      <c r="F9" s="144">
        <f>VLOOKUP($A9,'Data shares'!$C:$FA,24)</f>
        <v>1.65</v>
      </c>
      <c r="G9" s="144">
        <f>VLOOKUP($A9,'Data shares'!$C:$FA,25)</f>
        <v>2.1</v>
      </c>
    </row>
    <row r="10" spans="1:8" x14ac:dyDescent="0.25">
      <c r="A10" s="101" t="str">
        <f>'Data shares'!C6</f>
        <v>ADANIENT</v>
      </c>
      <c r="B10" s="144">
        <f>VLOOKUP($A10,'Data shares'!$C:$FA,7)</f>
        <v>2232.5</v>
      </c>
      <c r="C10" s="144">
        <f>VLOOKUP($A10,'Data shares'!$C:$FA,3)</f>
        <v>2241.8000000000002</v>
      </c>
      <c r="D10" s="144">
        <f>VLOOKUP($A10,'Data shares'!$C:$FA,23)</f>
        <v>9.3000000000000007</v>
      </c>
      <c r="E10" s="145">
        <f>VLOOKUP($A10,'Data shares'!$C:$FA,26)*100</f>
        <v>0.42</v>
      </c>
      <c r="F10" s="144">
        <f>VLOOKUP($A10,'Data shares'!$C:$FA,24)</f>
        <v>8.3000000000000007</v>
      </c>
      <c r="G10" s="144">
        <f>VLOOKUP($A10,'Data shares'!$C:$FA,25)</f>
        <v>1</v>
      </c>
    </row>
    <row r="11" spans="1:8" x14ac:dyDescent="0.25">
      <c r="A11" s="101" t="str">
        <f>'Data shares'!C7</f>
        <v>ADANIGREEN</v>
      </c>
      <c r="B11" s="144">
        <f>VLOOKUP($A11,'Data shares'!$C:$FA,7)</f>
        <v>1020.7</v>
      </c>
      <c r="C11" s="144">
        <f>VLOOKUP($A11,'Data shares'!$C:$FA,3)</f>
        <v>1023.6</v>
      </c>
      <c r="D11" s="144">
        <f>VLOOKUP($A11,'Data shares'!$C:$FA,23)</f>
        <v>2.9</v>
      </c>
      <c r="E11" s="145">
        <f>VLOOKUP($A11,'Data shares'!$C:$FA,26)*100</f>
        <v>0.27999999999999997</v>
      </c>
      <c r="F11" s="144">
        <f>VLOOKUP($A11,'Data shares'!$C:$FA,24)</f>
        <v>2.6</v>
      </c>
      <c r="G11" s="144">
        <f>VLOOKUP($A11,'Data shares'!$C:$FA,25)</f>
        <v>0.3</v>
      </c>
    </row>
    <row r="12" spans="1:8" x14ac:dyDescent="0.25">
      <c r="A12" s="101" t="str">
        <f>'Data shares'!C8</f>
        <v>ADANIPORTS</v>
      </c>
      <c r="B12" s="144">
        <f>VLOOKUP($A12,'Data shares'!$C:$FA,7)</f>
        <v>1486.3</v>
      </c>
      <c r="C12" s="144">
        <f>VLOOKUP($A12,'Data shares'!$C:$FA,3)</f>
        <v>1491.8</v>
      </c>
      <c r="D12" s="144">
        <f>VLOOKUP($A12,'Data shares'!$C:$FA,23)</f>
        <v>5.5</v>
      </c>
      <c r="E12" s="145">
        <f>VLOOKUP($A12,'Data shares'!$C:$FA,26)*100</f>
        <v>0.37</v>
      </c>
      <c r="F12" s="144">
        <f>VLOOKUP($A12,'Data shares'!$C:$FA,24)</f>
        <v>4.9000000000000004</v>
      </c>
      <c r="G12" s="144">
        <f>VLOOKUP($A12,'Data shares'!$C:$FA,25)</f>
        <v>0.6</v>
      </c>
    </row>
    <row r="13" spans="1:8" x14ac:dyDescent="0.25">
      <c r="A13" s="101" t="str">
        <f>'Data shares'!C9</f>
        <v>ALKEM</v>
      </c>
      <c r="B13" s="144">
        <f>VLOOKUP($A13,'Data shares'!$C:$FA,7)</f>
        <v>5628.5</v>
      </c>
      <c r="C13" s="144">
        <f>VLOOKUP($A13,'Data shares'!$C:$FA,3)</f>
        <v>5635.5</v>
      </c>
      <c r="D13" s="144">
        <f>VLOOKUP($A13,'Data shares'!$C:$FA,23)</f>
        <v>7</v>
      </c>
      <c r="E13" s="145">
        <f>VLOOKUP($A13,'Data shares'!$C:$FA,26)*100</f>
        <v>0.12</v>
      </c>
      <c r="F13" s="144">
        <f>VLOOKUP($A13,'Data shares'!$C:$FA,24)</f>
        <v>8</v>
      </c>
      <c r="G13" s="144">
        <f>VLOOKUP($A13,'Data shares'!$C:$FA,25)</f>
        <v>-1</v>
      </c>
    </row>
    <row r="14" spans="1:8" x14ac:dyDescent="0.25">
      <c r="A14" s="101" t="str">
        <f>'Data shares'!C10</f>
        <v>AMBER</v>
      </c>
      <c r="B14" s="144">
        <f>VLOOKUP($A14,'Data shares'!$C:$FA,7)</f>
        <v>6580.5</v>
      </c>
      <c r="C14" s="144">
        <f>VLOOKUP($A14,'Data shares'!$C:$FA,3)</f>
        <v>6600</v>
      </c>
      <c r="D14" s="144">
        <f>VLOOKUP($A14,'Data shares'!$C:$FA,23)</f>
        <v>19.5</v>
      </c>
      <c r="E14" s="145">
        <f>VLOOKUP($A14,'Data shares'!$C:$FA,26)*100</f>
        <v>0.3</v>
      </c>
      <c r="F14" s="144">
        <f>VLOOKUP($A14,'Data shares'!$C:$FA,24)</f>
        <v>14</v>
      </c>
      <c r="G14" s="144">
        <f>VLOOKUP($A14,'Data shares'!$C:$FA,25)</f>
        <v>5.5</v>
      </c>
    </row>
    <row r="15" spans="1:8" x14ac:dyDescent="0.25">
      <c r="A15" s="101" t="str">
        <f>'Data shares'!C11</f>
        <v>AMBUJACEM</v>
      </c>
      <c r="B15" s="144">
        <f>VLOOKUP($A15,'Data shares'!$C:$FA,7)</f>
        <v>541.29999999999995</v>
      </c>
      <c r="C15" s="144">
        <f>VLOOKUP($A15,'Data shares'!$C:$FA,3)</f>
        <v>541.9</v>
      </c>
      <c r="D15" s="144">
        <f>VLOOKUP($A15,'Data shares'!$C:$FA,23)</f>
        <v>0.6</v>
      </c>
      <c r="E15" s="145">
        <f>VLOOKUP($A15,'Data shares'!$C:$FA,26)*100</f>
        <v>0.11</v>
      </c>
      <c r="F15" s="144">
        <f>VLOOKUP($A15,'Data shares'!$C:$FA,24)</f>
        <v>0.8</v>
      </c>
      <c r="G15" s="144">
        <f>VLOOKUP($A15,'Data shares'!$C:$FA,25)</f>
        <v>-0.2</v>
      </c>
    </row>
    <row r="16" spans="1:8" x14ac:dyDescent="0.25">
      <c r="A16" s="101" t="str">
        <f>'Data shares'!C12</f>
        <v>ANGELONE</v>
      </c>
      <c r="B16" s="144">
        <f>VLOOKUP($A16,'Data shares'!$C:$FA,7)</f>
        <v>2504.6</v>
      </c>
      <c r="C16" s="144">
        <f>VLOOKUP($A16,'Data shares'!$C:$FA,3)</f>
        <v>2478.9</v>
      </c>
      <c r="D16" s="144">
        <f>VLOOKUP($A16,'Data shares'!$C:$FA,23)</f>
        <v>-25.7</v>
      </c>
      <c r="E16" s="145">
        <f>VLOOKUP($A16,'Data shares'!$C:$FA,26)*100</f>
        <v>-1.03</v>
      </c>
      <c r="F16" s="144">
        <f>VLOOKUP($A16,'Data shares'!$C:$FA,24)</f>
        <v>-24.8</v>
      </c>
      <c r="G16" s="144">
        <f>VLOOKUP($A16,'Data shares'!$C:$FA,25)</f>
        <v>-0.9</v>
      </c>
    </row>
    <row r="17" spans="1:7" x14ac:dyDescent="0.25">
      <c r="A17" s="101" t="str">
        <f>'Data shares'!C13</f>
        <v>APLAPOLLO</v>
      </c>
      <c r="B17" s="144">
        <f>VLOOKUP($A17,'Data shares'!$C:$FA,7)</f>
        <v>1764.5</v>
      </c>
      <c r="C17" s="144">
        <f>VLOOKUP($A17,'Data shares'!$C:$FA,3)</f>
        <v>1769.5</v>
      </c>
      <c r="D17" s="144">
        <f>VLOOKUP($A17,'Data shares'!$C:$FA,23)</f>
        <v>5</v>
      </c>
      <c r="E17" s="145">
        <f>VLOOKUP($A17,'Data shares'!$C:$FA,26)*100</f>
        <v>0.27999999999999997</v>
      </c>
      <c r="F17" s="144">
        <f>VLOOKUP($A17,'Data shares'!$C:$FA,24)</f>
        <v>4.2</v>
      </c>
      <c r="G17" s="144">
        <f>VLOOKUP($A17,'Data shares'!$C:$FA,25)</f>
        <v>0.8</v>
      </c>
    </row>
    <row r="18" spans="1:7" x14ac:dyDescent="0.25">
      <c r="A18" s="101" t="str">
        <f>'Data shares'!C14</f>
        <v>APOLLOHOSP</v>
      </c>
      <c r="B18" s="144">
        <f>VLOOKUP($A18,'Data shares'!$C:$FA,7)</f>
        <v>6921.5</v>
      </c>
      <c r="C18" s="144">
        <f>VLOOKUP($A18,'Data shares'!$C:$FA,3)</f>
        <v>6927.5</v>
      </c>
      <c r="D18" s="144">
        <f>VLOOKUP($A18,'Data shares'!$C:$FA,23)</f>
        <v>6</v>
      </c>
      <c r="E18" s="145">
        <f>VLOOKUP($A18,'Data shares'!$C:$FA,26)*100</f>
        <v>0.09</v>
      </c>
      <c r="F18" s="144">
        <f>VLOOKUP($A18,'Data shares'!$C:$FA,24)</f>
        <v>16</v>
      </c>
      <c r="G18" s="144">
        <f>VLOOKUP($A18,'Data shares'!$C:$FA,25)</f>
        <v>-10</v>
      </c>
    </row>
    <row r="19" spans="1:7" x14ac:dyDescent="0.25">
      <c r="A19" s="101" t="str">
        <f>'Data shares'!C15</f>
        <v>ASHOKLEY</v>
      </c>
      <c r="B19" s="144">
        <f>VLOOKUP($A19,'Data shares'!$C:$FA,7)</f>
        <v>166.14</v>
      </c>
      <c r="C19" s="144">
        <f>VLOOKUP($A19,'Data shares'!$C:$FA,3)</f>
        <v>166.15</v>
      </c>
      <c r="D19" s="144">
        <f>VLOOKUP($A19,'Data shares'!$C:$FA,23)</f>
        <v>0.01</v>
      </c>
      <c r="E19" s="145">
        <f>VLOOKUP($A19,'Data shares'!$C:$FA,26)*100</f>
        <v>0.01</v>
      </c>
      <c r="F19" s="144">
        <f>VLOOKUP($A19,'Data shares'!$C:$FA,24)</f>
        <v>-1.5</v>
      </c>
      <c r="G19" s="144">
        <f>VLOOKUP($A19,'Data shares'!$C:$FA,25)</f>
        <v>1.51</v>
      </c>
    </row>
    <row r="20" spans="1:7" x14ac:dyDescent="0.25">
      <c r="A20" s="101" t="str">
        <f>'Data shares'!C16</f>
        <v>ASIANPAINT</v>
      </c>
      <c r="B20" s="144">
        <f>VLOOKUP($A20,'Data shares'!$C:$FA,7)</f>
        <v>2785.7</v>
      </c>
      <c r="C20" s="144">
        <f>VLOOKUP($A20,'Data shares'!$C:$FA,3)</f>
        <v>2785.6</v>
      </c>
      <c r="D20" s="144">
        <f>VLOOKUP($A20,'Data shares'!$C:$FA,23)</f>
        <v>-0.1</v>
      </c>
      <c r="E20" s="145">
        <f>VLOOKUP($A20,'Data shares'!$C:$FA,26)*100</f>
        <v>0</v>
      </c>
      <c r="F20" s="144">
        <f>VLOOKUP($A20,'Data shares'!$C:$FA,24)</f>
        <v>1.5</v>
      </c>
      <c r="G20" s="144">
        <f>VLOOKUP($A20,'Data shares'!$C:$FA,25)</f>
        <v>-1.6</v>
      </c>
    </row>
    <row r="21" spans="1:7" x14ac:dyDescent="0.25">
      <c r="A21" s="101" t="str">
        <f>'Data shares'!C17</f>
        <v>ASTRAL</v>
      </c>
      <c r="B21" s="144">
        <f>VLOOKUP($A21,'Data shares'!$C:$FA,7)</f>
        <v>1428.9</v>
      </c>
      <c r="C21" s="144">
        <f>VLOOKUP($A21,'Data shares'!$C:$FA,3)</f>
        <v>1430.9</v>
      </c>
      <c r="D21" s="144">
        <f>VLOOKUP($A21,'Data shares'!$C:$FA,23)</f>
        <v>2</v>
      </c>
      <c r="E21" s="145">
        <f>VLOOKUP($A21,'Data shares'!$C:$FA,26)*100</f>
        <v>0.13999999999999999</v>
      </c>
      <c r="F21" s="144">
        <f>VLOOKUP($A21,'Data shares'!$C:$FA,24)</f>
        <v>3.7</v>
      </c>
      <c r="G21" s="144">
        <f>VLOOKUP($A21,'Data shares'!$C:$FA,25)</f>
        <v>-1.7</v>
      </c>
    </row>
    <row r="22" spans="1:7" x14ac:dyDescent="0.25">
      <c r="A22" s="101" t="str">
        <f>'Data shares'!C18</f>
        <v>AUBANK</v>
      </c>
      <c r="B22" s="144">
        <f>VLOOKUP($A22,'Data shares'!$C:$FA,7)</f>
        <v>990.3</v>
      </c>
      <c r="C22" s="144">
        <f>VLOOKUP($A22,'Data shares'!$C:$FA,3)</f>
        <v>988.7</v>
      </c>
      <c r="D22" s="144">
        <f>VLOOKUP($A22,'Data shares'!$C:$FA,23)</f>
        <v>-1.6</v>
      </c>
      <c r="E22" s="145">
        <f>VLOOKUP($A22,'Data shares'!$C:$FA,26)*100</f>
        <v>-0.16</v>
      </c>
      <c r="F22" s="144">
        <f>VLOOKUP($A22,'Data shares'!$C:$FA,24)</f>
        <v>2.35</v>
      </c>
      <c r="G22" s="144">
        <f>VLOOKUP($A22,'Data shares'!$C:$FA,25)</f>
        <v>-3.95</v>
      </c>
    </row>
    <row r="23" spans="1:7" x14ac:dyDescent="0.25">
      <c r="A23" s="101" t="str">
        <f>'Data shares'!C19</f>
        <v>AUROPHARMA</v>
      </c>
      <c r="B23" s="144">
        <f>VLOOKUP($A23,'Data shares'!$C:$FA,7)</f>
        <v>1193</v>
      </c>
      <c r="C23" s="144">
        <f>VLOOKUP($A23,'Data shares'!$C:$FA,3)</f>
        <v>1195.3</v>
      </c>
      <c r="D23" s="144">
        <f>VLOOKUP($A23,'Data shares'!$C:$FA,23)</f>
        <v>2.2999999999999998</v>
      </c>
      <c r="E23" s="145">
        <f>VLOOKUP($A23,'Data shares'!$C:$FA,26)*100</f>
        <v>0.19</v>
      </c>
      <c r="F23" s="144">
        <f>VLOOKUP($A23,'Data shares'!$C:$FA,24)</f>
        <v>2.1</v>
      </c>
      <c r="G23" s="144">
        <f>VLOOKUP($A23,'Data shares'!$C:$FA,25)</f>
        <v>0.2</v>
      </c>
    </row>
    <row r="24" spans="1:7" x14ac:dyDescent="0.25">
      <c r="A24" s="101" t="str">
        <f>'Data shares'!C20</f>
        <v>AXISBANK</v>
      </c>
      <c r="B24" s="144">
        <f>VLOOKUP($A24,'Data shares'!$C:$FA,7)</f>
        <v>1224.7</v>
      </c>
      <c r="C24" s="144">
        <f>VLOOKUP($A24,'Data shares'!$C:$FA,3)</f>
        <v>1228.5999999999999</v>
      </c>
      <c r="D24" s="144">
        <f>VLOOKUP($A24,'Data shares'!$C:$FA,23)</f>
        <v>3.9</v>
      </c>
      <c r="E24" s="145">
        <f>VLOOKUP($A24,'Data shares'!$C:$FA,26)*100</f>
        <v>0.32</v>
      </c>
      <c r="F24" s="144">
        <f>VLOOKUP($A24,'Data shares'!$C:$FA,24)</f>
        <v>4.8</v>
      </c>
      <c r="G24" s="144">
        <f>VLOOKUP($A24,'Data shares'!$C:$FA,25)</f>
        <v>-0.9</v>
      </c>
    </row>
    <row r="25" spans="1:7" x14ac:dyDescent="0.25">
      <c r="A25" s="101" t="str">
        <f>'Data shares'!C21</f>
        <v>BAJAJ-AUTO</v>
      </c>
      <c r="B25" s="144">
        <f>VLOOKUP($A25,'Data shares'!$C:$FA,7)</f>
        <v>8895</v>
      </c>
      <c r="C25" s="144">
        <f>VLOOKUP($A25,'Data shares'!$C:$FA,3)</f>
        <v>8924.5</v>
      </c>
      <c r="D25" s="144">
        <f>VLOOKUP($A25,'Data shares'!$C:$FA,23)</f>
        <v>29.5</v>
      </c>
      <c r="E25" s="145">
        <f>VLOOKUP($A25,'Data shares'!$C:$FA,26)*100</f>
        <v>0.33</v>
      </c>
      <c r="F25" s="144">
        <f>VLOOKUP($A25,'Data shares'!$C:$FA,24)</f>
        <v>18</v>
      </c>
      <c r="G25" s="144">
        <f>VLOOKUP($A25,'Data shares'!$C:$FA,25)</f>
        <v>11.5</v>
      </c>
    </row>
    <row r="26" spans="1:7" x14ac:dyDescent="0.25">
      <c r="A26" s="101" t="str">
        <f>'Data shares'!C22</f>
        <v>BAJAJFINSV</v>
      </c>
      <c r="B26" s="144">
        <f>VLOOKUP($A26,'Data shares'!$C:$FA,7)</f>
        <v>2021.2</v>
      </c>
      <c r="C26" s="144">
        <f>VLOOKUP($A26,'Data shares'!$C:$FA,3)</f>
        <v>2025.9</v>
      </c>
      <c r="D26" s="144">
        <f>VLOOKUP($A26,'Data shares'!$C:$FA,23)</f>
        <v>4.7</v>
      </c>
      <c r="E26" s="145">
        <f>VLOOKUP($A26,'Data shares'!$C:$FA,26)*100</f>
        <v>0.22999999999999998</v>
      </c>
      <c r="F26" s="144">
        <f>VLOOKUP($A26,'Data shares'!$C:$FA,24)</f>
        <v>4.5999999999999996</v>
      </c>
      <c r="G26" s="144">
        <f>VLOOKUP($A26,'Data shares'!$C:$FA,25)</f>
        <v>0.1</v>
      </c>
    </row>
    <row r="27" spans="1:7" x14ac:dyDescent="0.25">
      <c r="A27" s="101" t="str">
        <f>'Data shares'!C23</f>
        <v>BAJFINANCE</v>
      </c>
      <c r="B27" s="144">
        <f>VLOOKUP($A27,'Data shares'!$C:$FA,7)</f>
        <v>999.6</v>
      </c>
      <c r="C27" s="144">
        <f>VLOOKUP($A27,'Data shares'!$C:$FA,3)</f>
        <v>1003.1</v>
      </c>
      <c r="D27" s="144">
        <f>VLOOKUP($A27,'Data shares'!$C:$FA,23)</f>
        <v>3.5</v>
      </c>
      <c r="E27" s="145">
        <f>VLOOKUP($A27,'Data shares'!$C:$FA,26)*100</f>
        <v>0.35000000000000003</v>
      </c>
      <c r="F27" s="144">
        <f>VLOOKUP($A27,'Data shares'!$C:$FA,24)</f>
        <v>2.7</v>
      </c>
      <c r="G27" s="144">
        <f>VLOOKUP($A27,'Data shares'!$C:$FA,25)</f>
        <v>0.8</v>
      </c>
    </row>
    <row r="28" spans="1:7" x14ac:dyDescent="0.25">
      <c r="A28" s="101" t="str">
        <f>'Data shares'!C24</f>
        <v>BANDHANBNK</v>
      </c>
      <c r="B28" s="144">
        <f>VLOOKUP($A28,'Data shares'!$C:$FA,7)</f>
        <v>147.84</v>
      </c>
      <c r="C28" s="144">
        <f>VLOOKUP($A28,'Data shares'!$C:$FA,3)</f>
        <v>148.63</v>
      </c>
      <c r="D28" s="144">
        <f>VLOOKUP($A28,'Data shares'!$C:$FA,23)</f>
        <v>0.79</v>
      </c>
      <c r="E28" s="145">
        <f>VLOOKUP($A28,'Data shares'!$C:$FA,26)*100</f>
        <v>0.53</v>
      </c>
      <c r="F28" s="144">
        <f>VLOOKUP($A28,'Data shares'!$C:$FA,24)</f>
        <v>0.35</v>
      </c>
      <c r="G28" s="144">
        <f>VLOOKUP($A28,'Data shares'!$C:$FA,25)</f>
        <v>0.44</v>
      </c>
    </row>
    <row r="29" spans="1:7" x14ac:dyDescent="0.25">
      <c r="A29" s="101" t="str">
        <f>'Data shares'!C25</f>
        <v>BANKBARODA</v>
      </c>
      <c r="B29" s="144">
        <f>VLOOKUP($A29,'Data shares'!$C:$FA,7)</f>
        <v>287.60000000000002</v>
      </c>
      <c r="C29" s="144">
        <f>VLOOKUP($A29,'Data shares'!$C:$FA,3)</f>
        <v>288.14999999999998</v>
      </c>
      <c r="D29" s="144">
        <f>VLOOKUP($A29,'Data shares'!$C:$FA,23)</f>
        <v>0.55000000000000004</v>
      </c>
      <c r="E29" s="145">
        <f>VLOOKUP($A29,'Data shares'!$C:$FA,26)*100</f>
        <v>0.19</v>
      </c>
      <c r="F29" s="144">
        <f>VLOOKUP($A29,'Data shares'!$C:$FA,24)</f>
        <v>0.55000000000000004</v>
      </c>
      <c r="G29" s="144">
        <f>VLOOKUP($A29,'Data shares'!$C:$FA,25)</f>
        <v>0</v>
      </c>
    </row>
    <row r="30" spans="1:7" x14ac:dyDescent="0.25">
      <c r="A30" s="101" t="str">
        <f>'Data shares'!C26</f>
        <v>BANKINDIA</v>
      </c>
      <c r="B30" s="144">
        <f>VLOOKUP($A30,'Data shares'!$C:$FA,7)</f>
        <v>141.96</v>
      </c>
      <c r="C30" s="144">
        <f>VLOOKUP($A30,'Data shares'!$C:$FA,3)</f>
        <v>142.44</v>
      </c>
      <c r="D30" s="144">
        <f>VLOOKUP($A30,'Data shares'!$C:$FA,23)</f>
        <v>0.48</v>
      </c>
      <c r="E30" s="145">
        <f>VLOOKUP($A30,'Data shares'!$C:$FA,26)*100</f>
        <v>0.33999999999999997</v>
      </c>
      <c r="F30" s="144">
        <f>VLOOKUP($A30,'Data shares'!$C:$FA,24)</f>
        <v>0.63</v>
      </c>
      <c r="G30" s="144">
        <f>VLOOKUP($A30,'Data shares'!$C:$FA,25)</f>
        <v>-0.15</v>
      </c>
    </row>
    <row r="31" spans="1:7" x14ac:dyDescent="0.25">
      <c r="A31" s="101" t="str">
        <f>'Data shares'!C27</f>
        <v>BANKNIFTY</v>
      </c>
      <c r="B31" s="144">
        <f>VLOOKUP($A31,'Data shares'!$C:$FA,7)</f>
        <v>58926.75</v>
      </c>
      <c r="C31" s="144">
        <f>VLOOKUP($A31,'Data shares'!$C:$FA,3)</f>
        <v>59146.8</v>
      </c>
      <c r="D31" s="144">
        <f>VLOOKUP($A31,'Data shares'!$C:$FA,23)</f>
        <v>220.05</v>
      </c>
      <c r="E31" s="145">
        <f>VLOOKUP($A31,'Data shares'!$C:$FA,26)*100</f>
        <v>0.37</v>
      </c>
      <c r="F31" s="144">
        <f>VLOOKUP($A31,'Data shares'!$C:$FA,24)</f>
        <v>253.2</v>
      </c>
      <c r="G31" s="144">
        <f>VLOOKUP($A31,'Data shares'!$C:$FA,25)</f>
        <v>-33.15</v>
      </c>
    </row>
    <row r="32" spans="1:7" x14ac:dyDescent="0.25">
      <c r="A32" s="101" t="str">
        <f>'Data shares'!C28</f>
        <v>BDL</v>
      </c>
      <c r="B32" s="144">
        <f>VLOOKUP($A32,'Data shares'!$C:$FA,7)</f>
        <v>1324.3</v>
      </c>
      <c r="C32" s="144">
        <f>VLOOKUP($A32,'Data shares'!$C:$FA,3)</f>
        <v>1328</v>
      </c>
      <c r="D32" s="144">
        <f>VLOOKUP($A32,'Data shares'!$C:$FA,23)</f>
        <v>3.7</v>
      </c>
      <c r="E32" s="145">
        <f>VLOOKUP($A32,'Data shares'!$C:$FA,26)*100</f>
        <v>0.27999999999999997</v>
      </c>
      <c r="F32" s="144">
        <f>VLOOKUP($A32,'Data shares'!$C:$FA,24)</f>
        <v>0.4</v>
      </c>
      <c r="G32" s="144">
        <f>VLOOKUP($A32,'Data shares'!$C:$FA,25)</f>
        <v>3.3</v>
      </c>
    </row>
    <row r="33" spans="1:7" x14ac:dyDescent="0.25">
      <c r="A33" s="101" t="str">
        <f>'Data shares'!C29</f>
        <v>BEL</v>
      </c>
      <c r="B33" s="144">
        <f>VLOOKUP($A33,'Data shares'!$C:$FA,7)</f>
        <v>385.6</v>
      </c>
      <c r="C33" s="144">
        <f>VLOOKUP($A33,'Data shares'!$C:$FA,3)</f>
        <v>386.85</v>
      </c>
      <c r="D33" s="144">
        <f>VLOOKUP($A33,'Data shares'!$C:$FA,23)</f>
        <v>1.25</v>
      </c>
      <c r="E33" s="145">
        <f>VLOOKUP($A33,'Data shares'!$C:$FA,26)*100</f>
        <v>0.32</v>
      </c>
      <c r="F33" s="144">
        <f>VLOOKUP($A33,'Data shares'!$C:$FA,24)</f>
        <v>0.7</v>
      </c>
      <c r="G33" s="144">
        <f>VLOOKUP($A33,'Data shares'!$C:$FA,25)</f>
        <v>0.55000000000000004</v>
      </c>
    </row>
    <row r="34" spans="1:7" x14ac:dyDescent="0.25">
      <c r="A34" s="101" t="str">
        <f>'Data shares'!C30</f>
        <v>BHARATFORG</v>
      </c>
      <c r="B34" s="144">
        <f>VLOOKUP($A34,'Data shares'!$C:$FA,7)</f>
        <v>1413.3</v>
      </c>
      <c r="C34" s="144">
        <f>VLOOKUP($A34,'Data shares'!$C:$FA,3)</f>
        <v>1417.3</v>
      </c>
      <c r="D34" s="144">
        <f>VLOOKUP($A34,'Data shares'!$C:$FA,23)</f>
        <v>4</v>
      </c>
      <c r="E34" s="145">
        <f>VLOOKUP($A34,'Data shares'!$C:$FA,26)*100</f>
        <v>0.27999999999999997</v>
      </c>
      <c r="F34" s="144">
        <f>VLOOKUP($A34,'Data shares'!$C:$FA,24)</f>
        <v>2</v>
      </c>
      <c r="G34" s="144">
        <f>VLOOKUP($A34,'Data shares'!$C:$FA,25)</f>
        <v>2</v>
      </c>
    </row>
    <row r="35" spans="1:7" x14ac:dyDescent="0.25">
      <c r="A35" s="101" t="str">
        <f>'Data shares'!C31</f>
        <v>BHARTIARTL</v>
      </c>
      <c r="B35" s="144">
        <f>VLOOKUP($A35,'Data shares'!$C:$FA,7)</f>
        <v>2108</v>
      </c>
      <c r="C35" s="144">
        <f>VLOOKUP($A35,'Data shares'!$C:$FA,3)</f>
        <v>2109.1</v>
      </c>
      <c r="D35" s="144">
        <f>VLOOKUP($A35,'Data shares'!$C:$FA,23)</f>
        <v>1.1000000000000001</v>
      </c>
      <c r="E35" s="145">
        <f>VLOOKUP($A35,'Data shares'!$C:$FA,26)*100</f>
        <v>0.05</v>
      </c>
      <c r="F35" s="144">
        <f>VLOOKUP($A35,'Data shares'!$C:$FA,24)</f>
        <v>3</v>
      </c>
      <c r="G35" s="144">
        <f>VLOOKUP($A35,'Data shares'!$C:$FA,25)</f>
        <v>-1.9</v>
      </c>
    </row>
    <row r="36" spans="1:7" x14ac:dyDescent="0.25">
      <c r="A36" s="101" t="str">
        <f>'Data shares'!C32</f>
        <v>BHEL</v>
      </c>
      <c r="B36" s="144">
        <f>VLOOKUP($A36,'Data shares'!$C:$FA,7)</f>
        <v>277.85000000000002</v>
      </c>
      <c r="C36" s="144">
        <f>VLOOKUP($A36,'Data shares'!$C:$FA,3)</f>
        <v>278.75</v>
      </c>
      <c r="D36" s="144">
        <f>VLOOKUP($A36,'Data shares'!$C:$FA,23)</f>
        <v>0.9</v>
      </c>
      <c r="E36" s="145">
        <f>VLOOKUP($A36,'Data shares'!$C:$FA,26)*100</f>
        <v>0.32</v>
      </c>
      <c r="F36" s="144">
        <f>VLOOKUP($A36,'Data shares'!$C:$FA,24)</f>
        <v>0.8</v>
      </c>
      <c r="G36" s="144">
        <f>VLOOKUP($A36,'Data shares'!$C:$FA,25)</f>
        <v>0.1</v>
      </c>
    </row>
    <row r="37" spans="1:7" x14ac:dyDescent="0.25">
      <c r="A37" s="101" t="str">
        <f>'Data shares'!C33</f>
        <v>BIOCON</v>
      </c>
      <c r="B37" s="144">
        <f>VLOOKUP($A37,'Data shares'!$C:$FA,7)</f>
        <v>386.1</v>
      </c>
      <c r="C37" s="144">
        <f>VLOOKUP($A37,'Data shares'!$C:$FA,3)</f>
        <v>386.85</v>
      </c>
      <c r="D37" s="144">
        <f>VLOOKUP($A37,'Data shares'!$C:$FA,23)</f>
        <v>0.75</v>
      </c>
      <c r="E37" s="145">
        <f>VLOOKUP($A37,'Data shares'!$C:$FA,26)*100</f>
        <v>0.19</v>
      </c>
      <c r="F37" s="144">
        <f>VLOOKUP($A37,'Data shares'!$C:$FA,24)</f>
        <v>1.5</v>
      </c>
      <c r="G37" s="144">
        <f>VLOOKUP($A37,'Data shares'!$C:$FA,25)</f>
        <v>-0.75</v>
      </c>
    </row>
    <row r="38" spans="1:7" x14ac:dyDescent="0.25">
      <c r="A38" s="101" t="str">
        <f>'Data shares'!C34</f>
        <v>BLUESTARCO</v>
      </c>
      <c r="B38" s="144">
        <f>VLOOKUP($A38,'Data shares'!$C:$FA,7)</f>
        <v>1826.8</v>
      </c>
      <c r="C38" s="144">
        <f>VLOOKUP($A38,'Data shares'!$C:$FA,3)</f>
        <v>1825.9</v>
      </c>
      <c r="D38" s="144">
        <f>VLOOKUP($A38,'Data shares'!$C:$FA,23)</f>
        <v>-0.9</v>
      </c>
      <c r="E38" s="145">
        <f>VLOOKUP($A38,'Data shares'!$C:$FA,26)*100</f>
        <v>-0.05</v>
      </c>
      <c r="F38" s="144">
        <f>VLOOKUP($A38,'Data shares'!$C:$FA,24)</f>
        <v>6.4</v>
      </c>
      <c r="G38" s="144">
        <f>VLOOKUP($A38,'Data shares'!$C:$FA,25)</f>
        <v>-7.3</v>
      </c>
    </row>
    <row r="39" spans="1:7" x14ac:dyDescent="0.25">
      <c r="A39" s="101" t="str">
        <f>'Data shares'!C35</f>
        <v>BOSCHLTD</v>
      </c>
      <c r="B39" s="144">
        <f>VLOOKUP($A39,'Data shares'!$C:$FA,7)</f>
        <v>35975</v>
      </c>
      <c r="C39" s="144">
        <f>VLOOKUP($A39,'Data shares'!$C:$FA,3)</f>
        <v>36045</v>
      </c>
      <c r="D39" s="144">
        <f>VLOOKUP($A39,'Data shares'!$C:$FA,23)</f>
        <v>70</v>
      </c>
      <c r="E39" s="145">
        <f>VLOOKUP($A39,'Data shares'!$C:$FA,26)*100</f>
        <v>0.19</v>
      </c>
      <c r="F39" s="144">
        <f>VLOOKUP($A39,'Data shares'!$C:$FA,24)</f>
        <v>65</v>
      </c>
      <c r="G39" s="144">
        <f>VLOOKUP($A39,'Data shares'!$C:$FA,25)</f>
        <v>5</v>
      </c>
    </row>
    <row r="40" spans="1:7" x14ac:dyDescent="0.25">
      <c r="A40" s="101" t="str">
        <f>'Data shares'!C36</f>
        <v>BPCL</v>
      </c>
      <c r="B40" s="144">
        <f>VLOOKUP($A40,'Data shares'!$C:$FA,7)</f>
        <v>368.35</v>
      </c>
      <c r="C40" s="144">
        <f>VLOOKUP($A40,'Data shares'!$C:$FA,3)</f>
        <v>368.65</v>
      </c>
      <c r="D40" s="144">
        <f>VLOOKUP($A40,'Data shares'!$C:$FA,23)</f>
        <v>0.3</v>
      </c>
      <c r="E40" s="145">
        <f>VLOOKUP($A40,'Data shares'!$C:$FA,26)*100</f>
        <v>0.08</v>
      </c>
      <c r="F40" s="144">
        <f>VLOOKUP($A40,'Data shares'!$C:$FA,24)</f>
        <v>0.45</v>
      </c>
      <c r="G40" s="144">
        <f>VLOOKUP($A40,'Data shares'!$C:$FA,25)</f>
        <v>-0.15</v>
      </c>
    </row>
    <row r="41" spans="1:7" x14ac:dyDescent="0.25">
      <c r="A41" s="101" t="str">
        <f>'Data shares'!C37</f>
        <v>BRITANNIA</v>
      </c>
      <c r="B41" s="144">
        <f>VLOOKUP($A41,'Data shares'!$C:$FA,7)</f>
        <v>6096</v>
      </c>
      <c r="C41" s="144">
        <f>VLOOKUP($A41,'Data shares'!$C:$FA,3)</f>
        <v>6100.5</v>
      </c>
      <c r="D41" s="144">
        <f>VLOOKUP($A41,'Data shares'!$C:$FA,23)</f>
        <v>4.5</v>
      </c>
      <c r="E41" s="145">
        <f>VLOOKUP($A41,'Data shares'!$C:$FA,26)*100</f>
        <v>6.9999999999999993E-2</v>
      </c>
      <c r="F41" s="144">
        <f>VLOOKUP($A41,'Data shares'!$C:$FA,24)</f>
        <v>11</v>
      </c>
      <c r="G41" s="144">
        <f>VLOOKUP($A41,'Data shares'!$C:$FA,25)</f>
        <v>-6.5</v>
      </c>
    </row>
    <row r="42" spans="1:7" x14ac:dyDescent="0.25">
      <c r="A42" s="101" t="str">
        <f>'Data shares'!C38</f>
        <v>BSE</v>
      </c>
      <c r="B42" s="144">
        <f>VLOOKUP($A42,'Data shares'!$C:$FA,7)</f>
        <v>2630.5</v>
      </c>
      <c r="C42" s="144">
        <f>VLOOKUP($A42,'Data shares'!$C:$FA,3)</f>
        <v>2633.5</v>
      </c>
      <c r="D42" s="144">
        <f>VLOOKUP($A42,'Data shares'!$C:$FA,23)</f>
        <v>3</v>
      </c>
      <c r="E42" s="145">
        <f>VLOOKUP($A42,'Data shares'!$C:$FA,26)*100</f>
        <v>0.11</v>
      </c>
      <c r="F42" s="144">
        <f>VLOOKUP($A42,'Data shares'!$C:$FA,24)</f>
        <v>12</v>
      </c>
      <c r="G42" s="144">
        <f>VLOOKUP($A42,'Data shares'!$C:$FA,25)</f>
        <v>-9</v>
      </c>
    </row>
    <row r="43" spans="1:7" x14ac:dyDescent="0.25">
      <c r="A43" s="101" t="str">
        <f>'Data shares'!C39</f>
        <v>CAMS</v>
      </c>
      <c r="B43" s="144">
        <f>VLOOKUP($A43,'Data shares'!$C:$FA,7)</f>
        <v>733.8</v>
      </c>
      <c r="C43" s="144">
        <f>VLOOKUP($A43,'Data shares'!$C:$FA,3)</f>
        <v>735.2</v>
      </c>
      <c r="D43" s="144">
        <f>VLOOKUP($A43,'Data shares'!$C:$FA,23)</f>
        <v>1.4</v>
      </c>
      <c r="E43" s="145">
        <f>VLOOKUP($A43,'Data shares'!$C:$FA,26)*100</f>
        <v>0.19</v>
      </c>
      <c r="F43" s="144">
        <f>VLOOKUP($A43,'Data shares'!$C:$FA,24)</f>
        <v>0.6</v>
      </c>
      <c r="G43" s="144">
        <f>VLOOKUP($A43,'Data shares'!$C:$FA,25)</f>
        <v>0.8</v>
      </c>
    </row>
    <row r="44" spans="1:7" x14ac:dyDescent="0.25">
      <c r="A44" s="101" t="str">
        <f>'Data shares'!C40</f>
        <v>CANBK</v>
      </c>
      <c r="B44" s="144">
        <f>VLOOKUP($A44,'Data shares'!$C:$FA,7)</f>
        <v>150.21</v>
      </c>
      <c r="C44" s="144">
        <f>VLOOKUP($A44,'Data shares'!$C:$FA,3)</f>
        <v>150.35</v>
      </c>
      <c r="D44" s="144">
        <f>VLOOKUP($A44,'Data shares'!$C:$FA,23)</f>
        <v>0.14000000000000001</v>
      </c>
      <c r="E44" s="145">
        <f>VLOOKUP($A44,'Data shares'!$C:$FA,26)*100</f>
        <v>0.09</v>
      </c>
      <c r="F44" s="144">
        <f>VLOOKUP($A44,'Data shares'!$C:$FA,24)</f>
        <v>0.26</v>
      </c>
      <c r="G44" s="144">
        <f>VLOOKUP($A44,'Data shares'!$C:$FA,25)</f>
        <v>-0.12</v>
      </c>
    </row>
    <row r="45" spans="1:7" x14ac:dyDescent="0.25">
      <c r="A45" s="101" t="str">
        <f>'Data shares'!C41</f>
        <v>CDSL</v>
      </c>
      <c r="B45" s="144">
        <f>VLOOKUP($A45,'Data shares'!$C:$FA,7)</f>
        <v>1477.3</v>
      </c>
      <c r="C45" s="144">
        <f>VLOOKUP($A45,'Data shares'!$C:$FA,3)</f>
        <v>1478.4</v>
      </c>
      <c r="D45" s="144">
        <f>VLOOKUP($A45,'Data shares'!$C:$FA,23)</f>
        <v>1.1000000000000001</v>
      </c>
      <c r="E45" s="145">
        <f>VLOOKUP($A45,'Data shares'!$C:$FA,26)*100</f>
        <v>6.9999999999999993E-2</v>
      </c>
      <c r="F45" s="144">
        <f>VLOOKUP($A45,'Data shares'!$C:$FA,24)</f>
        <v>1.9</v>
      </c>
      <c r="G45" s="144">
        <f>VLOOKUP($A45,'Data shares'!$C:$FA,25)</f>
        <v>-0.8</v>
      </c>
    </row>
    <row r="46" spans="1:7" x14ac:dyDescent="0.25">
      <c r="A46" s="101" t="str">
        <f>'Data shares'!C42</f>
        <v>CGPOWER</v>
      </c>
      <c r="B46" s="144">
        <f>VLOOKUP($A46,'Data shares'!$C:$FA,7)</f>
        <v>670.4</v>
      </c>
      <c r="C46" s="144">
        <f>VLOOKUP($A46,'Data shares'!$C:$FA,3)</f>
        <v>670.7</v>
      </c>
      <c r="D46" s="144">
        <f>VLOOKUP($A46,'Data shares'!$C:$FA,23)</f>
        <v>0.3</v>
      </c>
      <c r="E46" s="145">
        <f>VLOOKUP($A46,'Data shares'!$C:$FA,26)*100</f>
        <v>0.04</v>
      </c>
      <c r="F46" s="144">
        <f>VLOOKUP($A46,'Data shares'!$C:$FA,24)</f>
        <v>1.1499999999999999</v>
      </c>
      <c r="G46" s="144">
        <f>VLOOKUP($A46,'Data shares'!$C:$FA,25)</f>
        <v>-0.85</v>
      </c>
    </row>
    <row r="47" spans="1:7" x14ac:dyDescent="0.25">
      <c r="A47" s="101" t="str">
        <f>'Data shares'!C43</f>
        <v>CHOLAFIN</v>
      </c>
      <c r="B47" s="144">
        <f>VLOOKUP($A47,'Data shares'!$C:$FA,7)</f>
        <v>1673.5</v>
      </c>
      <c r="C47" s="144">
        <f>VLOOKUP($A47,'Data shares'!$C:$FA,3)</f>
        <v>1679.2</v>
      </c>
      <c r="D47" s="144">
        <f>VLOOKUP($A47,'Data shares'!$C:$FA,23)</f>
        <v>5.7</v>
      </c>
      <c r="E47" s="145">
        <f>VLOOKUP($A47,'Data shares'!$C:$FA,26)*100</f>
        <v>0.33999999999999997</v>
      </c>
      <c r="F47" s="144">
        <f>VLOOKUP($A47,'Data shares'!$C:$FA,24)</f>
        <v>2.6</v>
      </c>
      <c r="G47" s="144">
        <f>VLOOKUP($A47,'Data shares'!$C:$FA,25)</f>
        <v>3.1</v>
      </c>
    </row>
    <row r="48" spans="1:7" x14ac:dyDescent="0.25">
      <c r="A48" s="101" t="str">
        <f>'Data shares'!C44</f>
        <v>CIPLA</v>
      </c>
      <c r="B48" s="144">
        <f>VLOOKUP($A48,'Data shares'!$C:$FA,7)</f>
        <v>1496.9</v>
      </c>
      <c r="C48" s="144">
        <f>VLOOKUP($A48,'Data shares'!$C:$FA,3)</f>
        <v>1498.5</v>
      </c>
      <c r="D48" s="144">
        <f>VLOOKUP($A48,'Data shares'!$C:$FA,23)</f>
        <v>1.6</v>
      </c>
      <c r="E48" s="145">
        <f>VLOOKUP($A48,'Data shares'!$C:$FA,26)*100</f>
        <v>0.11</v>
      </c>
      <c r="F48" s="144">
        <f>VLOOKUP($A48,'Data shares'!$C:$FA,24)</f>
        <v>2.7</v>
      </c>
      <c r="G48" s="144">
        <f>VLOOKUP($A48,'Data shares'!$C:$FA,25)</f>
        <v>-1.1000000000000001</v>
      </c>
    </row>
    <row r="49" spans="1:7" x14ac:dyDescent="0.25">
      <c r="A49" s="101" t="str">
        <f>'Data shares'!C45</f>
        <v>COALINDIA</v>
      </c>
      <c r="B49" s="144">
        <f>VLOOKUP($A49,'Data shares'!$C:$FA,7)</f>
        <v>384.75</v>
      </c>
      <c r="C49" s="144">
        <f>VLOOKUP($A49,'Data shares'!$C:$FA,3)</f>
        <v>385.85</v>
      </c>
      <c r="D49" s="144">
        <f>VLOOKUP($A49,'Data shares'!$C:$FA,23)</f>
        <v>1.1000000000000001</v>
      </c>
      <c r="E49" s="145">
        <f>VLOOKUP($A49,'Data shares'!$C:$FA,26)*100</f>
        <v>0.28999999999999998</v>
      </c>
      <c r="F49" s="144">
        <f>VLOOKUP($A49,'Data shares'!$C:$FA,24)</f>
        <v>0.65</v>
      </c>
      <c r="G49" s="144">
        <f>VLOOKUP($A49,'Data shares'!$C:$FA,25)</f>
        <v>0.45</v>
      </c>
    </row>
    <row r="50" spans="1:7" x14ac:dyDescent="0.25">
      <c r="A50" s="101" t="str">
        <f>'Data shares'!C46</f>
        <v>COFORGE</v>
      </c>
      <c r="B50" s="144">
        <f>VLOOKUP($A50,'Data shares'!$C:$FA,7)</f>
        <v>1844.7</v>
      </c>
      <c r="C50" s="144">
        <f>VLOOKUP($A50,'Data shares'!$C:$FA,3)</f>
        <v>1851.5</v>
      </c>
      <c r="D50" s="144">
        <f>VLOOKUP($A50,'Data shares'!$C:$FA,23)</f>
        <v>6.8</v>
      </c>
      <c r="E50" s="145">
        <f>VLOOKUP($A50,'Data shares'!$C:$FA,26)*100</f>
        <v>0.37</v>
      </c>
      <c r="F50" s="144">
        <f>VLOOKUP($A50,'Data shares'!$C:$FA,24)</f>
        <v>2.2000000000000002</v>
      </c>
      <c r="G50" s="144">
        <f>VLOOKUP($A50,'Data shares'!$C:$FA,25)</f>
        <v>4.5999999999999996</v>
      </c>
    </row>
    <row r="51" spans="1:7" x14ac:dyDescent="0.25">
      <c r="A51" s="101" t="str">
        <f>'Data shares'!C47</f>
        <v>COLPAL</v>
      </c>
      <c r="B51" s="144">
        <f>VLOOKUP($A51,'Data shares'!$C:$FA,7)</f>
        <v>2087.4</v>
      </c>
      <c r="C51" s="144">
        <f>VLOOKUP($A51,'Data shares'!$C:$FA,3)</f>
        <v>2089.6999999999998</v>
      </c>
      <c r="D51" s="144">
        <f>VLOOKUP($A51,'Data shares'!$C:$FA,23)</f>
        <v>2.2999999999999998</v>
      </c>
      <c r="E51" s="145">
        <f>VLOOKUP($A51,'Data shares'!$C:$FA,26)*100</f>
        <v>0.11</v>
      </c>
      <c r="F51" s="144">
        <f>VLOOKUP($A51,'Data shares'!$C:$FA,24)</f>
        <v>4.4000000000000004</v>
      </c>
      <c r="G51" s="144">
        <f>VLOOKUP($A51,'Data shares'!$C:$FA,25)</f>
        <v>-2.1</v>
      </c>
    </row>
    <row r="52" spans="1:7" x14ac:dyDescent="0.25">
      <c r="A52" s="101" t="str">
        <f>'Data shares'!C48</f>
        <v>CONCOR</v>
      </c>
      <c r="B52" s="144">
        <f>VLOOKUP($A52,'Data shares'!$C:$FA,7)</f>
        <v>496.35</v>
      </c>
      <c r="C52" s="144">
        <f>VLOOKUP($A52,'Data shares'!$C:$FA,3)</f>
        <v>496.75</v>
      </c>
      <c r="D52" s="144">
        <f>VLOOKUP($A52,'Data shares'!$C:$FA,23)</f>
        <v>0.4</v>
      </c>
      <c r="E52" s="145">
        <f>VLOOKUP($A52,'Data shares'!$C:$FA,26)*100</f>
        <v>0.08</v>
      </c>
      <c r="F52" s="144">
        <f>VLOOKUP($A52,'Data shares'!$C:$FA,24)</f>
        <v>0.45</v>
      </c>
      <c r="G52" s="144">
        <f>VLOOKUP($A52,'Data shares'!$C:$FA,25)</f>
        <v>-0.05</v>
      </c>
    </row>
    <row r="53" spans="1:7" x14ac:dyDescent="0.25">
      <c r="A53" s="101" t="str">
        <f>'Data shares'!C49</f>
        <v>CROMPTON</v>
      </c>
      <c r="B53" s="144">
        <f>VLOOKUP($A53,'Data shares'!$C:$FA,7)</f>
        <v>249.15</v>
      </c>
      <c r="C53" s="144">
        <f>VLOOKUP($A53,'Data shares'!$C:$FA,3)</f>
        <v>249.5</v>
      </c>
      <c r="D53" s="144">
        <f>VLOOKUP($A53,'Data shares'!$C:$FA,23)</f>
        <v>0.35</v>
      </c>
      <c r="E53" s="145">
        <f>VLOOKUP($A53,'Data shares'!$C:$FA,26)*100</f>
        <v>0.13999999999999999</v>
      </c>
      <c r="F53" s="144">
        <f>VLOOKUP($A53,'Data shares'!$C:$FA,24)</f>
        <v>0.9</v>
      </c>
      <c r="G53" s="144">
        <f>VLOOKUP($A53,'Data shares'!$C:$FA,25)</f>
        <v>-0.55000000000000004</v>
      </c>
    </row>
    <row r="54" spans="1:7" x14ac:dyDescent="0.25">
      <c r="A54" s="101" t="str">
        <f>'Data shares'!C50</f>
        <v>CUMMINSIND</v>
      </c>
      <c r="B54" s="144">
        <f>VLOOKUP($A54,'Data shares'!$C:$FA,7)</f>
        <v>4512.7</v>
      </c>
      <c r="C54" s="144">
        <f>VLOOKUP($A54,'Data shares'!$C:$FA,3)</f>
        <v>4521.1000000000004</v>
      </c>
      <c r="D54" s="144">
        <f>VLOOKUP($A54,'Data shares'!$C:$FA,23)</f>
        <v>8.4</v>
      </c>
      <c r="E54" s="145">
        <f>VLOOKUP($A54,'Data shares'!$C:$FA,26)*100</f>
        <v>0.19</v>
      </c>
      <c r="F54" s="144">
        <f>VLOOKUP($A54,'Data shares'!$C:$FA,24)</f>
        <v>12.9</v>
      </c>
      <c r="G54" s="144">
        <f>VLOOKUP($A54,'Data shares'!$C:$FA,25)</f>
        <v>-4.5</v>
      </c>
    </row>
    <row r="55" spans="1:7" x14ac:dyDescent="0.25">
      <c r="A55" s="101" t="str">
        <f>'Data shares'!C51</f>
        <v>CYIENT</v>
      </c>
      <c r="B55" s="144">
        <f>VLOOKUP($A55,'Data shares'!$C:$FA,7)</f>
        <v>1138.8</v>
      </c>
      <c r="C55" s="144">
        <f>VLOOKUP($A55,'Data shares'!$C:$FA,3)</f>
        <v>1142.3</v>
      </c>
      <c r="D55" s="144">
        <f>VLOOKUP($A55,'Data shares'!$C:$FA,23)</f>
        <v>3.5</v>
      </c>
      <c r="E55" s="145">
        <f>VLOOKUP($A55,'Data shares'!$C:$FA,26)*100</f>
        <v>0.31</v>
      </c>
      <c r="F55" s="144">
        <f>VLOOKUP($A55,'Data shares'!$C:$FA,24)</f>
        <v>0.8</v>
      </c>
      <c r="G55" s="144">
        <f>VLOOKUP($A55,'Data shares'!$C:$FA,25)</f>
        <v>2.7</v>
      </c>
    </row>
    <row r="56" spans="1:7" x14ac:dyDescent="0.25">
      <c r="A56" s="101" t="str">
        <f>'Data shares'!C52</f>
        <v>DABUR</v>
      </c>
      <c r="B56" s="144">
        <f>VLOOKUP($A56,'Data shares'!$C:$FA,7)</f>
        <v>494.15</v>
      </c>
      <c r="C56" s="144">
        <f>VLOOKUP($A56,'Data shares'!$C:$FA,3)</f>
        <v>494.5</v>
      </c>
      <c r="D56" s="144">
        <f>VLOOKUP($A56,'Data shares'!$C:$FA,23)</f>
        <v>0.35</v>
      </c>
      <c r="E56" s="145">
        <f>VLOOKUP($A56,'Data shares'!$C:$FA,26)*100</f>
        <v>6.9999999999999993E-2</v>
      </c>
      <c r="F56" s="144">
        <f>VLOOKUP($A56,'Data shares'!$C:$FA,24)</f>
        <v>1.95</v>
      </c>
      <c r="G56" s="144">
        <f>VLOOKUP($A56,'Data shares'!$C:$FA,25)</f>
        <v>-1.6</v>
      </c>
    </row>
    <row r="57" spans="1:7" x14ac:dyDescent="0.25">
      <c r="A57" s="101" t="str">
        <f>'Data shares'!C53</f>
        <v>DALBHARAT</v>
      </c>
      <c r="B57" s="144">
        <f>VLOOKUP($A57,'Data shares'!$C:$FA,7)</f>
        <v>2073.9</v>
      </c>
      <c r="C57" s="144">
        <f>VLOOKUP($A57,'Data shares'!$C:$FA,3)</f>
        <v>2077.6</v>
      </c>
      <c r="D57" s="144">
        <f>VLOOKUP($A57,'Data shares'!$C:$FA,23)</f>
        <v>3.7</v>
      </c>
      <c r="E57" s="145">
        <f>VLOOKUP($A57,'Data shares'!$C:$FA,26)*100</f>
        <v>0.18</v>
      </c>
      <c r="F57" s="144">
        <f>VLOOKUP($A57,'Data shares'!$C:$FA,24)</f>
        <v>3.8</v>
      </c>
      <c r="G57" s="144">
        <f>VLOOKUP($A57,'Data shares'!$C:$FA,25)</f>
        <v>-0.1</v>
      </c>
    </row>
    <row r="58" spans="1:7" x14ac:dyDescent="0.25">
      <c r="A58" s="101" t="str">
        <f>'Data shares'!C54</f>
        <v>DELHIVERY</v>
      </c>
      <c r="B58" s="144">
        <f>VLOOKUP($A58,'Data shares'!$C:$FA,7)</f>
        <v>399.8</v>
      </c>
      <c r="C58" s="144">
        <f>VLOOKUP($A58,'Data shares'!$C:$FA,3)</f>
        <v>400.3</v>
      </c>
      <c r="D58" s="144">
        <f>VLOOKUP($A58,'Data shares'!$C:$FA,23)</f>
        <v>0.5</v>
      </c>
      <c r="E58" s="145">
        <f>VLOOKUP($A58,'Data shares'!$C:$FA,26)*100</f>
        <v>0.13</v>
      </c>
      <c r="F58" s="144">
        <f>VLOOKUP($A58,'Data shares'!$C:$FA,24)</f>
        <v>1.1499999999999999</v>
      </c>
      <c r="G58" s="144">
        <f>VLOOKUP($A58,'Data shares'!$C:$FA,25)</f>
        <v>-0.65</v>
      </c>
    </row>
    <row r="59" spans="1:7" x14ac:dyDescent="0.25">
      <c r="A59" s="101" t="str">
        <f>'Data shares'!C55</f>
        <v>DIVISLAB</v>
      </c>
      <c r="B59" s="144">
        <f>VLOOKUP($A59,'Data shares'!$C:$FA,7)</f>
        <v>6293</v>
      </c>
      <c r="C59" s="144">
        <f>VLOOKUP($A59,'Data shares'!$C:$FA,3)</f>
        <v>6299.5</v>
      </c>
      <c r="D59" s="144">
        <f>VLOOKUP($A59,'Data shares'!$C:$FA,23)</f>
        <v>6.5</v>
      </c>
      <c r="E59" s="145">
        <f>VLOOKUP($A59,'Data shares'!$C:$FA,26)*100</f>
        <v>0.1</v>
      </c>
      <c r="F59" s="144">
        <f>VLOOKUP($A59,'Data shares'!$C:$FA,24)</f>
        <v>7.5</v>
      </c>
      <c r="G59" s="144">
        <f>VLOOKUP($A59,'Data shares'!$C:$FA,25)</f>
        <v>-1</v>
      </c>
    </row>
    <row r="60" spans="1:7" x14ac:dyDescent="0.25">
      <c r="A60" s="101" t="str">
        <f>'Data shares'!C56</f>
        <v>DIXON</v>
      </c>
      <c r="B60" s="144">
        <f>VLOOKUP($A60,'Data shares'!$C:$FA,7)</f>
        <v>13274</v>
      </c>
      <c r="C60" s="144">
        <f>VLOOKUP($A60,'Data shares'!$C:$FA,3)</f>
        <v>13263</v>
      </c>
      <c r="D60" s="144">
        <f>VLOOKUP($A60,'Data shares'!$C:$FA,23)</f>
        <v>-11</v>
      </c>
      <c r="E60" s="145">
        <f>VLOOKUP($A60,'Data shares'!$C:$FA,26)*100</f>
        <v>-0.08</v>
      </c>
      <c r="F60" s="144">
        <f>VLOOKUP($A60,'Data shares'!$C:$FA,24)</f>
        <v>5</v>
      </c>
      <c r="G60" s="144">
        <f>VLOOKUP($A60,'Data shares'!$C:$FA,25)</f>
        <v>-16</v>
      </c>
    </row>
    <row r="61" spans="1:7" x14ac:dyDescent="0.25">
      <c r="A61" s="101" t="str">
        <f>'Data shares'!C57</f>
        <v>DLF</v>
      </c>
      <c r="B61" s="144">
        <f>VLOOKUP($A61,'Data shares'!$C:$FA,7)</f>
        <v>683.1</v>
      </c>
      <c r="C61" s="144">
        <f>VLOOKUP($A61,'Data shares'!$C:$FA,3)</f>
        <v>683.8</v>
      </c>
      <c r="D61" s="144">
        <f>VLOOKUP($A61,'Data shares'!$C:$FA,23)</f>
        <v>0.7</v>
      </c>
      <c r="E61" s="145">
        <f>VLOOKUP($A61,'Data shares'!$C:$FA,26)*100</f>
        <v>0.1</v>
      </c>
      <c r="F61" s="144">
        <f>VLOOKUP($A61,'Data shares'!$C:$FA,24)</f>
        <v>0.65</v>
      </c>
      <c r="G61" s="144">
        <f>VLOOKUP($A61,'Data shares'!$C:$FA,25)</f>
        <v>0.05</v>
      </c>
    </row>
    <row r="62" spans="1:7" x14ac:dyDescent="0.25">
      <c r="A62" s="101" t="str">
        <f>'Data shares'!C58</f>
        <v>DMART</v>
      </c>
      <c r="B62" s="144">
        <f>VLOOKUP($A62,'Data shares'!$C:$FA,7)</f>
        <v>3826.2</v>
      </c>
      <c r="C62" s="144">
        <f>VLOOKUP($A62,'Data shares'!$C:$FA,3)</f>
        <v>3825.1</v>
      </c>
      <c r="D62" s="144">
        <f>VLOOKUP($A62,'Data shares'!$C:$FA,23)</f>
        <v>-1.1000000000000001</v>
      </c>
      <c r="E62" s="145">
        <f>VLOOKUP($A62,'Data shares'!$C:$FA,26)*100</f>
        <v>-0.03</v>
      </c>
      <c r="F62" s="144">
        <f>VLOOKUP($A62,'Data shares'!$C:$FA,24)</f>
        <v>3.7</v>
      </c>
      <c r="G62" s="144">
        <f>VLOOKUP($A62,'Data shares'!$C:$FA,25)</f>
        <v>-4.8</v>
      </c>
    </row>
    <row r="63" spans="1:7" x14ac:dyDescent="0.25">
      <c r="A63" s="101" t="str">
        <f>'Data shares'!C59</f>
        <v>DRREDDY</v>
      </c>
      <c r="B63" s="144">
        <f>VLOOKUP($A63,'Data shares'!$C:$FA,7)</f>
        <v>1272</v>
      </c>
      <c r="C63" s="144">
        <f>VLOOKUP($A63,'Data shares'!$C:$FA,3)</f>
        <v>1273.2</v>
      </c>
      <c r="D63" s="144">
        <f>VLOOKUP($A63,'Data shares'!$C:$FA,23)</f>
        <v>1.2</v>
      </c>
      <c r="E63" s="145">
        <f>VLOOKUP($A63,'Data shares'!$C:$FA,26)*100</f>
        <v>0.09</v>
      </c>
      <c r="F63" s="144">
        <f>VLOOKUP($A63,'Data shares'!$C:$FA,24)</f>
        <v>1</v>
      </c>
      <c r="G63" s="144">
        <f>VLOOKUP($A63,'Data shares'!$C:$FA,25)</f>
        <v>0.2</v>
      </c>
    </row>
    <row r="64" spans="1:7" x14ac:dyDescent="0.25">
      <c r="A64" s="101" t="str">
        <f>'Data shares'!C60</f>
        <v>EICHERMOT</v>
      </c>
      <c r="B64" s="144">
        <f>VLOOKUP($A64,'Data shares'!$C:$FA,7)</f>
        <v>7134.5</v>
      </c>
      <c r="C64" s="144">
        <f>VLOOKUP($A64,'Data shares'!$C:$FA,3)</f>
        <v>7144</v>
      </c>
      <c r="D64" s="144">
        <f>VLOOKUP($A64,'Data shares'!$C:$FA,23)</f>
        <v>9.5</v>
      </c>
      <c r="E64" s="145">
        <f>VLOOKUP($A64,'Data shares'!$C:$FA,26)*100</f>
        <v>0.13</v>
      </c>
      <c r="F64" s="144">
        <f>VLOOKUP($A64,'Data shares'!$C:$FA,24)</f>
        <v>15.5</v>
      </c>
      <c r="G64" s="144">
        <f>VLOOKUP($A64,'Data shares'!$C:$FA,25)</f>
        <v>-6</v>
      </c>
    </row>
    <row r="65" spans="1:7" x14ac:dyDescent="0.25">
      <c r="A65" s="101" t="str">
        <f>'Data shares'!C61</f>
        <v>ETERNAL</v>
      </c>
      <c r="B65" s="144">
        <f>VLOOKUP($A65,'Data shares'!$C:$FA,7)</f>
        <v>284.45</v>
      </c>
      <c r="C65" s="144">
        <f>VLOOKUP($A65,'Data shares'!$C:$FA,3)</f>
        <v>285</v>
      </c>
      <c r="D65" s="144">
        <f>VLOOKUP($A65,'Data shares'!$C:$FA,23)</f>
        <v>0.55000000000000004</v>
      </c>
      <c r="E65" s="145">
        <f>VLOOKUP($A65,'Data shares'!$C:$FA,26)*100</f>
        <v>0.19</v>
      </c>
      <c r="F65" s="144">
        <f>VLOOKUP($A65,'Data shares'!$C:$FA,24)</f>
        <v>0.5</v>
      </c>
      <c r="G65" s="144">
        <f>VLOOKUP($A65,'Data shares'!$C:$FA,25)</f>
        <v>0.05</v>
      </c>
    </row>
    <row r="66" spans="1:7" x14ac:dyDescent="0.25">
      <c r="A66" s="101" t="str">
        <f>'Data shares'!C62</f>
        <v>EXIDEIND</v>
      </c>
      <c r="B66" s="144">
        <f>VLOOKUP($A66,'Data shares'!$C:$FA,7)</f>
        <v>363.8</v>
      </c>
      <c r="C66" s="144">
        <f>VLOOKUP($A66,'Data shares'!$C:$FA,3)</f>
        <v>364.1</v>
      </c>
      <c r="D66" s="144">
        <f>VLOOKUP($A66,'Data shares'!$C:$FA,23)</f>
        <v>0.3</v>
      </c>
      <c r="E66" s="145">
        <f>VLOOKUP($A66,'Data shares'!$C:$FA,26)*100</f>
        <v>0.08</v>
      </c>
      <c r="F66" s="144">
        <f>VLOOKUP($A66,'Data shares'!$C:$FA,24)</f>
        <v>0.2</v>
      </c>
      <c r="G66" s="144">
        <f>VLOOKUP($A66,'Data shares'!$C:$FA,25)</f>
        <v>0.1</v>
      </c>
    </row>
    <row r="67" spans="1:7" x14ac:dyDescent="0.25">
      <c r="A67" s="101" t="str">
        <f>'Data shares'!C63</f>
        <v>FEDERALBNK</v>
      </c>
      <c r="B67" s="144">
        <f>VLOOKUP($A67,'Data shares'!$C:$FA,7)</f>
        <v>263.60000000000002</v>
      </c>
      <c r="C67" s="144">
        <f>VLOOKUP($A67,'Data shares'!$C:$FA,3)</f>
        <v>264.3</v>
      </c>
      <c r="D67" s="144">
        <f>VLOOKUP($A67,'Data shares'!$C:$FA,23)</f>
        <v>0.7</v>
      </c>
      <c r="E67" s="145">
        <f>VLOOKUP($A67,'Data shares'!$C:$FA,26)*100</f>
        <v>0.27</v>
      </c>
      <c r="F67" s="144">
        <f>VLOOKUP($A67,'Data shares'!$C:$FA,24)</f>
        <v>0.9</v>
      </c>
      <c r="G67" s="144">
        <f>VLOOKUP($A67,'Data shares'!$C:$FA,25)</f>
        <v>-0.2</v>
      </c>
    </row>
    <row r="68" spans="1:7" x14ac:dyDescent="0.25">
      <c r="A68" s="101" t="str">
        <f>'Data shares'!C64</f>
        <v>FINNIFTY</v>
      </c>
      <c r="B68" s="144">
        <f>VLOOKUP($A68,'Data shares'!$C:$FA,7)</f>
        <v>27251.95</v>
      </c>
      <c r="C68" s="144">
        <f>VLOOKUP($A68,'Data shares'!$C:$FA,3)</f>
        <v>27375.7</v>
      </c>
      <c r="D68" s="144">
        <f>VLOOKUP($A68,'Data shares'!$C:$FA,23)</f>
        <v>123.75</v>
      </c>
      <c r="E68" s="145">
        <f>VLOOKUP($A68,'Data shares'!$C:$FA,26)*100</f>
        <v>0.44999999999999996</v>
      </c>
      <c r="F68" s="144">
        <f>VLOOKUP($A68,'Data shares'!$C:$FA,24)</f>
        <v>119.55</v>
      </c>
      <c r="G68" s="144">
        <f>VLOOKUP($A68,'Data shares'!$C:$FA,25)</f>
        <v>4.2</v>
      </c>
    </row>
    <row r="69" spans="1:7" x14ac:dyDescent="0.25">
      <c r="A69" s="101" t="str">
        <f>'Data shares'!C65</f>
        <v>FORTIS</v>
      </c>
      <c r="B69" s="144">
        <f>VLOOKUP($A69,'Data shares'!$C:$FA,7)</f>
        <v>870.95</v>
      </c>
      <c r="C69" s="144">
        <f>VLOOKUP($A69,'Data shares'!$C:$FA,3)</f>
        <v>871.65</v>
      </c>
      <c r="D69" s="144">
        <f>VLOOKUP($A69,'Data shares'!$C:$FA,23)</f>
        <v>0.7</v>
      </c>
      <c r="E69" s="145">
        <f>VLOOKUP($A69,'Data shares'!$C:$FA,26)*100</f>
        <v>0.08</v>
      </c>
      <c r="F69" s="144">
        <f>VLOOKUP($A69,'Data shares'!$C:$FA,24)</f>
        <v>1.25</v>
      </c>
      <c r="G69" s="144">
        <f>VLOOKUP($A69,'Data shares'!$C:$FA,25)</f>
        <v>-0.55000000000000004</v>
      </c>
    </row>
    <row r="70" spans="1:7" x14ac:dyDescent="0.25">
      <c r="A70" s="101" t="str">
        <f>'Data shares'!C66</f>
        <v>GAIL</v>
      </c>
      <c r="B70" s="144">
        <f>VLOOKUP($A70,'Data shares'!$C:$FA,7)</f>
        <v>169.07</v>
      </c>
      <c r="C70" s="144">
        <f>VLOOKUP($A70,'Data shares'!$C:$FA,3)</f>
        <v>169.34</v>
      </c>
      <c r="D70" s="144">
        <f>VLOOKUP($A70,'Data shares'!$C:$FA,23)</f>
        <v>0.27</v>
      </c>
      <c r="E70" s="145">
        <f>VLOOKUP($A70,'Data shares'!$C:$FA,26)*100</f>
        <v>0.16</v>
      </c>
      <c r="F70" s="144">
        <f>VLOOKUP($A70,'Data shares'!$C:$FA,24)</f>
        <v>0.65</v>
      </c>
      <c r="G70" s="144">
        <f>VLOOKUP($A70,'Data shares'!$C:$FA,25)</f>
        <v>-0.38</v>
      </c>
    </row>
    <row r="71" spans="1:7" x14ac:dyDescent="0.25">
      <c r="A71" s="101" t="str">
        <f>'Data shares'!C67</f>
        <v>GLENMARK</v>
      </c>
      <c r="B71" s="144">
        <f>VLOOKUP($A71,'Data shares'!$C:$FA,7)</f>
        <v>1948.4</v>
      </c>
      <c r="C71" s="144">
        <f>VLOOKUP($A71,'Data shares'!$C:$FA,3)</f>
        <v>1951.9</v>
      </c>
      <c r="D71" s="144">
        <f>VLOOKUP($A71,'Data shares'!$C:$FA,23)</f>
        <v>3.5</v>
      </c>
      <c r="E71" s="145">
        <f>VLOOKUP($A71,'Data shares'!$C:$FA,26)*100</f>
        <v>0.18</v>
      </c>
      <c r="F71" s="144">
        <f>VLOOKUP($A71,'Data shares'!$C:$FA,24)</f>
        <v>1.5</v>
      </c>
      <c r="G71" s="144">
        <f>VLOOKUP($A71,'Data shares'!$C:$FA,25)</f>
        <v>2</v>
      </c>
    </row>
    <row r="72" spans="1:7" x14ac:dyDescent="0.25">
      <c r="A72" s="101" t="str">
        <f>'Data shares'!C68</f>
        <v>GMRAIRPORT</v>
      </c>
      <c r="B72" s="144">
        <f>VLOOKUP($A72,'Data shares'!$C:$FA,7)</f>
        <v>100.95</v>
      </c>
      <c r="C72" s="144">
        <f>VLOOKUP($A72,'Data shares'!$C:$FA,3)</f>
        <v>101.13</v>
      </c>
      <c r="D72" s="144">
        <f>VLOOKUP($A72,'Data shares'!$C:$FA,23)</f>
        <v>0.18</v>
      </c>
      <c r="E72" s="145">
        <f>VLOOKUP($A72,'Data shares'!$C:$FA,26)*100</f>
        <v>0.18</v>
      </c>
      <c r="F72" s="144">
        <f>VLOOKUP($A72,'Data shares'!$C:$FA,24)</f>
        <v>0.09</v>
      </c>
      <c r="G72" s="144">
        <f>VLOOKUP($A72,'Data shares'!$C:$FA,25)</f>
        <v>0.09</v>
      </c>
    </row>
    <row r="73" spans="1:7" x14ac:dyDescent="0.25">
      <c r="A73" s="101" t="str">
        <f>'Data shares'!C69</f>
        <v>GODREJCP</v>
      </c>
      <c r="B73" s="144">
        <f>VLOOKUP($A73,'Data shares'!$C:$FA,7)</f>
        <v>1179.7</v>
      </c>
      <c r="C73" s="144">
        <f>VLOOKUP($A73,'Data shares'!$C:$FA,3)</f>
        <v>1180.5</v>
      </c>
      <c r="D73" s="144">
        <f>VLOOKUP($A73,'Data shares'!$C:$FA,23)</f>
        <v>0.8</v>
      </c>
      <c r="E73" s="145">
        <f>VLOOKUP($A73,'Data shares'!$C:$FA,26)*100</f>
        <v>6.9999999999999993E-2</v>
      </c>
      <c r="F73" s="144">
        <f>VLOOKUP($A73,'Data shares'!$C:$FA,24)</f>
        <v>1.8</v>
      </c>
      <c r="G73" s="144">
        <f>VLOOKUP($A73,'Data shares'!$C:$FA,25)</f>
        <v>-1</v>
      </c>
    </row>
    <row r="74" spans="1:7" x14ac:dyDescent="0.25">
      <c r="A74" s="101" t="str">
        <f>'Data shares'!C70</f>
        <v>GODREJPROP</v>
      </c>
      <c r="B74" s="144">
        <f>VLOOKUP($A74,'Data shares'!$C:$FA,7)</f>
        <v>2014.9</v>
      </c>
      <c r="C74" s="144">
        <f>VLOOKUP($A74,'Data shares'!$C:$FA,3)</f>
        <v>2018.7</v>
      </c>
      <c r="D74" s="144">
        <f>VLOOKUP($A74,'Data shares'!$C:$FA,23)</f>
        <v>3.8</v>
      </c>
      <c r="E74" s="145">
        <f>VLOOKUP($A74,'Data shares'!$C:$FA,26)*100</f>
        <v>0.19</v>
      </c>
      <c r="F74" s="144">
        <f>VLOOKUP($A74,'Data shares'!$C:$FA,24)</f>
        <v>7.4</v>
      </c>
      <c r="G74" s="144">
        <f>VLOOKUP($A74,'Data shares'!$C:$FA,25)</f>
        <v>-3.6</v>
      </c>
    </row>
    <row r="75" spans="1:7" x14ac:dyDescent="0.25">
      <c r="A75" s="101" t="str">
        <f>'Data shares'!C71</f>
        <v>GRASIM</v>
      </c>
      <c r="B75" s="144">
        <f>VLOOKUP($A75,'Data shares'!$C:$FA,7)</f>
        <v>2806.6</v>
      </c>
      <c r="C75" s="144">
        <f>VLOOKUP($A75,'Data shares'!$C:$FA,3)</f>
        <v>2813.1</v>
      </c>
      <c r="D75" s="144">
        <f>VLOOKUP($A75,'Data shares'!$C:$FA,23)</f>
        <v>6.5</v>
      </c>
      <c r="E75" s="145">
        <f>VLOOKUP($A75,'Data shares'!$C:$FA,26)*100</f>
        <v>0.22999999999999998</v>
      </c>
      <c r="F75" s="144">
        <f>VLOOKUP($A75,'Data shares'!$C:$FA,24)</f>
        <v>7.7</v>
      </c>
      <c r="G75" s="144">
        <f>VLOOKUP($A75,'Data shares'!$C:$FA,25)</f>
        <v>-1.2</v>
      </c>
    </row>
    <row r="76" spans="1:7" x14ac:dyDescent="0.25">
      <c r="A76" s="101" t="str">
        <f>'Data shares'!C72</f>
        <v>HAL</v>
      </c>
      <c r="B76" s="144">
        <f>VLOOKUP($A76,'Data shares'!$C:$FA,7)</f>
        <v>4228.3999999999996</v>
      </c>
      <c r="C76" s="144">
        <f>VLOOKUP($A76,'Data shares'!$C:$FA,3)</f>
        <v>4242.1000000000004</v>
      </c>
      <c r="D76" s="144">
        <f>VLOOKUP($A76,'Data shares'!$C:$FA,23)</f>
        <v>13.7</v>
      </c>
      <c r="E76" s="145">
        <f>VLOOKUP($A76,'Data shares'!$C:$FA,26)*100</f>
        <v>0.32</v>
      </c>
      <c r="F76" s="144">
        <f>VLOOKUP($A76,'Data shares'!$C:$FA,24)</f>
        <v>14.4</v>
      </c>
      <c r="G76" s="144">
        <f>VLOOKUP($A76,'Data shares'!$C:$FA,25)</f>
        <v>-0.7</v>
      </c>
    </row>
    <row r="77" spans="1:7" x14ac:dyDescent="0.25">
      <c r="A77" s="101" t="str">
        <f>'Data shares'!C73</f>
        <v>HAVELLS</v>
      </c>
      <c r="B77" s="144">
        <f>VLOOKUP($A77,'Data shares'!$C:$FA,7)</f>
        <v>1397</v>
      </c>
      <c r="C77" s="144">
        <f>VLOOKUP($A77,'Data shares'!$C:$FA,3)</f>
        <v>1398.7</v>
      </c>
      <c r="D77" s="144">
        <f>VLOOKUP($A77,'Data shares'!$C:$FA,23)</f>
        <v>1.7</v>
      </c>
      <c r="E77" s="145">
        <f>VLOOKUP($A77,'Data shares'!$C:$FA,26)*100</f>
        <v>0.12</v>
      </c>
      <c r="F77" s="144">
        <f>VLOOKUP($A77,'Data shares'!$C:$FA,24)</f>
        <v>6</v>
      </c>
      <c r="G77" s="144">
        <f>VLOOKUP($A77,'Data shares'!$C:$FA,25)</f>
        <v>-4.3</v>
      </c>
    </row>
    <row r="78" spans="1:7" x14ac:dyDescent="0.25">
      <c r="A78" s="101" t="str">
        <f>'Data shares'!C74</f>
        <v>HCLTECH</v>
      </c>
      <c r="B78" s="144">
        <f>VLOOKUP($A78,'Data shares'!$C:$FA,7)</f>
        <v>1655</v>
      </c>
      <c r="C78" s="144">
        <f>VLOOKUP($A78,'Data shares'!$C:$FA,3)</f>
        <v>1661</v>
      </c>
      <c r="D78" s="144">
        <f>VLOOKUP($A78,'Data shares'!$C:$FA,23)</f>
        <v>6</v>
      </c>
      <c r="E78" s="145">
        <f>VLOOKUP($A78,'Data shares'!$C:$FA,26)*100</f>
        <v>0.36</v>
      </c>
      <c r="F78" s="144">
        <f>VLOOKUP($A78,'Data shares'!$C:$FA,24)</f>
        <v>6</v>
      </c>
      <c r="G78" s="144">
        <f>VLOOKUP($A78,'Data shares'!$C:$FA,25)</f>
        <v>0</v>
      </c>
    </row>
    <row r="79" spans="1:7" x14ac:dyDescent="0.25">
      <c r="A79" s="101" t="str">
        <f>'Data shares'!C75</f>
        <v>HDFCAMC</v>
      </c>
      <c r="B79" s="144">
        <f>VLOOKUP($A79,'Data shares'!$C:$FA,7)</f>
        <v>2541.1999999999998</v>
      </c>
      <c r="C79" s="144">
        <f>VLOOKUP($A79,'Data shares'!$C:$FA,3)</f>
        <v>2548.9</v>
      </c>
      <c r="D79" s="144">
        <f>VLOOKUP($A79,'Data shares'!$C:$FA,23)</f>
        <v>7.7</v>
      </c>
      <c r="E79" s="145">
        <f>VLOOKUP($A79,'Data shares'!$C:$FA,26)*100</f>
        <v>0.3</v>
      </c>
      <c r="F79" s="144">
        <f>VLOOKUP($A79,'Data shares'!$C:$FA,24)</f>
        <v>9.1</v>
      </c>
      <c r="G79" s="144">
        <f>VLOOKUP($A79,'Data shares'!$C:$FA,25)</f>
        <v>-1.4</v>
      </c>
    </row>
    <row r="80" spans="1:7" x14ac:dyDescent="0.25">
      <c r="A80" s="101" t="str">
        <f>'Data shares'!C76</f>
        <v>HDFCBANK</v>
      </c>
      <c r="B80" s="144">
        <f>VLOOKUP($A80,'Data shares'!$C:$FA,7)</f>
        <v>984</v>
      </c>
      <c r="C80" s="144">
        <f>VLOOKUP($A80,'Data shares'!$C:$FA,3)</f>
        <v>987.5</v>
      </c>
      <c r="D80" s="144">
        <f>VLOOKUP($A80,'Data shares'!$C:$FA,23)</f>
        <v>3.5</v>
      </c>
      <c r="E80" s="145">
        <f>VLOOKUP($A80,'Data shares'!$C:$FA,26)*100</f>
        <v>0.36</v>
      </c>
      <c r="F80" s="144">
        <f>VLOOKUP($A80,'Data shares'!$C:$FA,24)</f>
        <v>3.9</v>
      </c>
      <c r="G80" s="144">
        <f>VLOOKUP($A80,'Data shares'!$C:$FA,25)</f>
        <v>-0.4</v>
      </c>
    </row>
    <row r="81" spans="1:7" x14ac:dyDescent="0.25">
      <c r="A81" s="101" t="str">
        <f>'Data shares'!C77</f>
        <v>HDFCLIFE</v>
      </c>
      <c r="B81" s="144">
        <f>VLOOKUP($A81,'Data shares'!$C:$FA,7)</f>
        <v>753.5</v>
      </c>
      <c r="C81" s="144">
        <f>VLOOKUP($A81,'Data shares'!$C:$FA,3)</f>
        <v>754.85</v>
      </c>
      <c r="D81" s="144">
        <f>VLOOKUP($A81,'Data shares'!$C:$FA,23)</f>
        <v>1.35</v>
      </c>
      <c r="E81" s="145">
        <f>VLOOKUP($A81,'Data shares'!$C:$FA,26)*100</f>
        <v>0.18</v>
      </c>
      <c r="F81" s="144">
        <f>VLOOKUP($A81,'Data shares'!$C:$FA,24)</f>
        <v>3.1</v>
      </c>
      <c r="G81" s="144">
        <f>VLOOKUP($A81,'Data shares'!$C:$FA,25)</f>
        <v>-1.75</v>
      </c>
    </row>
    <row r="82" spans="1:7" x14ac:dyDescent="0.25">
      <c r="A82" s="101" t="str">
        <f>'Data shares'!C78</f>
        <v>HEROMOTOCO</v>
      </c>
      <c r="B82" s="144">
        <f>VLOOKUP($A82,'Data shares'!$C:$FA,7)</f>
        <v>5817</v>
      </c>
      <c r="C82" s="144">
        <f>VLOOKUP($A82,'Data shares'!$C:$FA,3)</f>
        <v>5827.5</v>
      </c>
      <c r="D82" s="144">
        <f>VLOOKUP($A82,'Data shares'!$C:$FA,23)</f>
        <v>10.5</v>
      </c>
      <c r="E82" s="145">
        <f>VLOOKUP($A82,'Data shares'!$C:$FA,26)*100</f>
        <v>0.18</v>
      </c>
      <c r="F82" s="144">
        <f>VLOOKUP($A82,'Data shares'!$C:$FA,24)</f>
        <v>14</v>
      </c>
      <c r="G82" s="144">
        <f>VLOOKUP($A82,'Data shares'!$C:$FA,25)</f>
        <v>-3.5</v>
      </c>
    </row>
    <row r="83" spans="1:7" x14ac:dyDescent="0.25">
      <c r="A83" s="101" t="str">
        <f>'Data shares'!C79</f>
        <v>HFCL</v>
      </c>
      <c r="B83" s="144">
        <f>VLOOKUP($A83,'Data shares'!$C:$FA,7)</f>
        <v>64.53</v>
      </c>
      <c r="C83" s="144">
        <f>VLOOKUP($A83,'Data shares'!$C:$FA,3)</f>
        <v>64.63</v>
      </c>
      <c r="D83" s="144">
        <f>VLOOKUP($A83,'Data shares'!$C:$FA,23)</f>
        <v>0.1</v>
      </c>
      <c r="E83" s="145">
        <f>VLOOKUP($A83,'Data shares'!$C:$FA,26)*100</f>
        <v>0.15</v>
      </c>
      <c r="F83" s="144">
        <f>VLOOKUP($A83,'Data shares'!$C:$FA,24)</f>
        <v>0.05</v>
      </c>
      <c r="G83" s="144">
        <f>VLOOKUP($A83,'Data shares'!$C:$FA,25)</f>
        <v>0.05</v>
      </c>
    </row>
    <row r="84" spans="1:7" x14ac:dyDescent="0.25">
      <c r="A84" s="101" t="str">
        <f>'Data shares'!C80</f>
        <v>HINDALCO</v>
      </c>
      <c r="B84" s="144">
        <f>VLOOKUP($A84,'Data shares'!$C:$FA,7)</f>
        <v>848.8</v>
      </c>
      <c r="C84" s="144">
        <f>VLOOKUP($A84,'Data shares'!$C:$FA,3)</f>
        <v>849.65</v>
      </c>
      <c r="D84" s="144">
        <f>VLOOKUP($A84,'Data shares'!$C:$FA,23)</f>
        <v>0.85</v>
      </c>
      <c r="E84" s="145">
        <f>VLOOKUP($A84,'Data shares'!$C:$FA,26)*100</f>
        <v>0.1</v>
      </c>
      <c r="F84" s="144">
        <f>VLOOKUP($A84,'Data shares'!$C:$FA,24)</f>
        <v>3.15</v>
      </c>
      <c r="G84" s="144">
        <f>VLOOKUP($A84,'Data shares'!$C:$FA,25)</f>
        <v>-2.2999999999999998</v>
      </c>
    </row>
    <row r="85" spans="1:7" x14ac:dyDescent="0.25">
      <c r="A85" s="101" t="str">
        <f>'Data shares'!C81</f>
        <v>HINDPETRO</v>
      </c>
      <c r="B85" s="144">
        <f>VLOOKUP($A85,'Data shares'!$C:$FA,7)</f>
        <v>465.45</v>
      </c>
      <c r="C85" s="144">
        <f>VLOOKUP($A85,'Data shares'!$C:$FA,3)</f>
        <v>466.4</v>
      </c>
      <c r="D85" s="144">
        <f>VLOOKUP($A85,'Data shares'!$C:$FA,23)</f>
        <v>0.95</v>
      </c>
      <c r="E85" s="145">
        <f>VLOOKUP($A85,'Data shares'!$C:$FA,26)*100</f>
        <v>0.2</v>
      </c>
      <c r="F85" s="144">
        <f>VLOOKUP($A85,'Data shares'!$C:$FA,24)</f>
        <v>0.65</v>
      </c>
      <c r="G85" s="144">
        <f>VLOOKUP($A85,'Data shares'!$C:$FA,25)</f>
        <v>0.3</v>
      </c>
    </row>
    <row r="86" spans="1:7" x14ac:dyDescent="0.25">
      <c r="A86" s="101" t="str">
        <f>'Data shares'!C82</f>
        <v>HINDUNILVR</v>
      </c>
      <c r="B86" s="144">
        <f>VLOOKUP($A86,'Data shares'!$C:$FA,7)</f>
        <v>2275.6</v>
      </c>
      <c r="C86" s="144">
        <f>VLOOKUP($A86,'Data shares'!$C:$FA,3)</f>
        <v>2275.3000000000002</v>
      </c>
      <c r="D86" s="144">
        <f>VLOOKUP($A86,'Data shares'!$C:$FA,23)</f>
        <v>-0.3</v>
      </c>
      <c r="E86" s="145">
        <f>VLOOKUP($A86,'Data shares'!$C:$FA,26)*100</f>
        <v>-0.01</v>
      </c>
      <c r="F86" s="144">
        <f>VLOOKUP($A86,'Data shares'!$C:$FA,24)</f>
        <v>5.7</v>
      </c>
      <c r="G86" s="144">
        <f>VLOOKUP($A86,'Data shares'!$C:$FA,25)</f>
        <v>-6</v>
      </c>
    </row>
    <row r="87" spans="1:7" x14ac:dyDescent="0.25">
      <c r="A87" s="101" t="str">
        <f>'Data shares'!C83</f>
        <v>HINDZINC</v>
      </c>
      <c r="B87" s="144">
        <f>VLOOKUP($A87,'Data shares'!$C:$FA,7)</f>
        <v>578.29999999999995</v>
      </c>
      <c r="C87" s="144">
        <f>VLOOKUP($A87,'Data shares'!$C:$FA,3)</f>
        <v>578.9</v>
      </c>
      <c r="D87" s="144">
        <f>VLOOKUP($A87,'Data shares'!$C:$FA,23)</f>
        <v>0.6</v>
      </c>
      <c r="E87" s="145">
        <f>VLOOKUP($A87,'Data shares'!$C:$FA,26)*100</f>
        <v>0.1</v>
      </c>
      <c r="F87" s="144">
        <f>VLOOKUP($A87,'Data shares'!$C:$FA,24)</f>
        <v>0.9</v>
      </c>
      <c r="G87" s="144">
        <f>VLOOKUP($A87,'Data shares'!$C:$FA,25)</f>
        <v>-0.3</v>
      </c>
    </row>
    <row r="88" spans="1:7" x14ac:dyDescent="0.25">
      <c r="A88" s="101" t="str">
        <f>'Data shares'!C84</f>
        <v>HUDCO</v>
      </c>
      <c r="B88" s="144">
        <f>VLOOKUP($A88,'Data shares'!$C:$FA,7)</f>
        <v>207.91</v>
      </c>
      <c r="C88" s="144">
        <f>VLOOKUP($A88,'Data shares'!$C:$FA,3)</f>
        <v>207.89</v>
      </c>
      <c r="D88" s="144">
        <f>VLOOKUP($A88,'Data shares'!$C:$FA,23)</f>
        <v>-0.02</v>
      </c>
      <c r="E88" s="145">
        <f>VLOOKUP($A88,'Data shares'!$C:$FA,26)*100</f>
        <v>-0.01</v>
      </c>
      <c r="F88" s="144">
        <f>VLOOKUP($A88,'Data shares'!$C:$FA,24)</f>
        <v>-0.09</v>
      </c>
      <c r="G88" s="144">
        <f>VLOOKUP($A88,'Data shares'!$C:$FA,25)</f>
        <v>7.0000000000000007E-2</v>
      </c>
    </row>
    <row r="89" spans="1:7" x14ac:dyDescent="0.25">
      <c r="A89" s="101" t="str">
        <f>'Data shares'!C85</f>
        <v>ICICIBANK</v>
      </c>
      <c r="B89" s="144">
        <f>VLOOKUP($A89,'Data shares'!$C:$FA,7)</f>
        <v>1352.4</v>
      </c>
      <c r="C89" s="144">
        <f>VLOOKUP($A89,'Data shares'!$C:$FA,3)</f>
        <v>1356.5</v>
      </c>
      <c r="D89" s="144">
        <f>VLOOKUP($A89,'Data shares'!$C:$FA,23)</f>
        <v>4.0999999999999996</v>
      </c>
      <c r="E89" s="145">
        <f>VLOOKUP($A89,'Data shares'!$C:$FA,26)*100</f>
        <v>0.3</v>
      </c>
      <c r="F89" s="144">
        <f>VLOOKUP($A89,'Data shares'!$C:$FA,24)</f>
        <v>4.3</v>
      </c>
      <c r="G89" s="144">
        <f>VLOOKUP($A89,'Data shares'!$C:$FA,25)</f>
        <v>-0.2</v>
      </c>
    </row>
    <row r="90" spans="1:7" x14ac:dyDescent="0.25">
      <c r="A90" s="101" t="str">
        <f>'Data shares'!C86</f>
        <v>ICICIGI</v>
      </c>
      <c r="B90" s="144">
        <f>VLOOKUP($A90,'Data shares'!$C:$FA,7)</f>
        <v>1947</v>
      </c>
      <c r="C90" s="144">
        <f>VLOOKUP($A90,'Data shares'!$C:$FA,3)</f>
        <v>1947.1</v>
      </c>
      <c r="D90" s="144">
        <f>VLOOKUP($A90,'Data shares'!$C:$FA,23)</f>
        <v>0.1</v>
      </c>
      <c r="E90" s="145">
        <f>VLOOKUP($A90,'Data shares'!$C:$FA,26)*100</f>
        <v>0.01</v>
      </c>
      <c r="F90" s="144">
        <f>VLOOKUP($A90,'Data shares'!$C:$FA,24)</f>
        <v>1.4</v>
      </c>
      <c r="G90" s="144">
        <f>VLOOKUP($A90,'Data shares'!$C:$FA,25)</f>
        <v>-1.3</v>
      </c>
    </row>
    <row r="91" spans="1:7" x14ac:dyDescent="0.25">
      <c r="A91" s="101" t="str">
        <f>'Data shares'!C87</f>
        <v>ICICIPRULI</v>
      </c>
      <c r="B91" s="144">
        <f>VLOOKUP($A91,'Data shares'!$C:$FA,7)</f>
        <v>630.5</v>
      </c>
      <c r="C91" s="144">
        <f>VLOOKUP($A91,'Data shares'!$C:$FA,3)</f>
        <v>631.20000000000005</v>
      </c>
      <c r="D91" s="144">
        <f>VLOOKUP($A91,'Data shares'!$C:$FA,23)</f>
        <v>0.7</v>
      </c>
      <c r="E91" s="145">
        <f>VLOOKUP($A91,'Data shares'!$C:$FA,26)*100</f>
        <v>0.11</v>
      </c>
      <c r="F91" s="144">
        <f>VLOOKUP($A91,'Data shares'!$C:$FA,24)</f>
        <v>1.95</v>
      </c>
      <c r="G91" s="144">
        <f>VLOOKUP($A91,'Data shares'!$C:$FA,25)</f>
        <v>-1.25</v>
      </c>
    </row>
    <row r="92" spans="1:7" x14ac:dyDescent="0.25">
      <c r="A92" s="101" t="str">
        <f>'Data shares'!C88</f>
        <v>IDEA</v>
      </c>
      <c r="B92" s="144">
        <f>VLOOKUP($A92,'Data shares'!$C:$FA,7)</f>
        <v>11.13</v>
      </c>
      <c r="C92" s="144">
        <f>VLOOKUP($A92,'Data shares'!$C:$FA,3)</f>
        <v>11.17</v>
      </c>
      <c r="D92" s="144">
        <f>VLOOKUP($A92,'Data shares'!$C:$FA,23)</f>
        <v>0.04</v>
      </c>
      <c r="E92" s="145">
        <f>VLOOKUP($A92,'Data shares'!$C:$FA,26)*100</f>
        <v>0.36</v>
      </c>
      <c r="F92" s="144">
        <f>VLOOKUP($A92,'Data shares'!$C:$FA,24)</f>
        <v>0.04</v>
      </c>
      <c r="G92" s="144">
        <f>VLOOKUP($A92,'Data shares'!$C:$FA,25)</f>
        <v>0</v>
      </c>
    </row>
    <row r="93" spans="1:7" x14ac:dyDescent="0.25">
      <c r="A93" s="101" t="str">
        <f>'Data shares'!C89</f>
        <v>IDFCFIRSTB</v>
      </c>
      <c r="B93" s="144">
        <f>VLOOKUP($A93,'Data shares'!$C:$FA,7)</f>
        <v>83.95</v>
      </c>
      <c r="C93" s="144">
        <f>VLOOKUP($A93,'Data shares'!$C:$FA,3)</f>
        <v>84.01</v>
      </c>
      <c r="D93" s="144">
        <f>VLOOKUP($A93,'Data shares'!$C:$FA,23)</f>
        <v>0.06</v>
      </c>
      <c r="E93" s="145">
        <f>VLOOKUP($A93,'Data shares'!$C:$FA,26)*100</f>
        <v>6.9999999999999993E-2</v>
      </c>
      <c r="F93" s="144">
        <f>VLOOKUP($A93,'Data shares'!$C:$FA,24)</f>
        <v>0.06</v>
      </c>
      <c r="G93" s="144">
        <f>VLOOKUP($A93,'Data shares'!$C:$FA,25)</f>
        <v>0</v>
      </c>
    </row>
    <row r="94" spans="1:7" x14ac:dyDescent="0.25">
      <c r="A94" s="101" t="str">
        <f>'Data shares'!C90</f>
        <v>IEX</v>
      </c>
      <c r="B94" s="144">
        <f>VLOOKUP($A94,'Data shares'!$C:$FA,7)</f>
        <v>140.22</v>
      </c>
      <c r="C94" s="144">
        <f>VLOOKUP($A94,'Data shares'!$C:$FA,3)</f>
        <v>140.38999999999999</v>
      </c>
      <c r="D94" s="144">
        <f>VLOOKUP($A94,'Data shares'!$C:$FA,23)</f>
        <v>0.17</v>
      </c>
      <c r="E94" s="145">
        <f>VLOOKUP($A94,'Data shares'!$C:$FA,26)*100</f>
        <v>0.12</v>
      </c>
      <c r="F94" s="144">
        <f>VLOOKUP($A94,'Data shares'!$C:$FA,24)</f>
        <v>0.11</v>
      </c>
      <c r="G94" s="144">
        <f>VLOOKUP($A94,'Data shares'!$C:$FA,25)</f>
        <v>0.06</v>
      </c>
    </row>
    <row r="95" spans="1:7" x14ac:dyDescent="0.25">
      <c r="A95" s="101" t="str">
        <f>'Data shares'!C91</f>
        <v>IIFL</v>
      </c>
      <c r="B95" s="144">
        <f>VLOOKUP($A95,'Data shares'!$C:$FA,7)</f>
        <v>563.1</v>
      </c>
      <c r="C95" s="144">
        <f>VLOOKUP($A95,'Data shares'!$C:$FA,3)</f>
        <v>563.54999999999995</v>
      </c>
      <c r="D95" s="144">
        <f>VLOOKUP($A95,'Data shares'!$C:$FA,23)</f>
        <v>0.45</v>
      </c>
      <c r="E95" s="145">
        <f>VLOOKUP($A95,'Data shares'!$C:$FA,26)*100</f>
        <v>0.08</v>
      </c>
      <c r="F95" s="144">
        <f>VLOOKUP($A95,'Data shares'!$C:$FA,24)</f>
        <v>0.75</v>
      </c>
      <c r="G95" s="144">
        <f>VLOOKUP($A95,'Data shares'!$C:$FA,25)</f>
        <v>-0.3</v>
      </c>
    </row>
    <row r="96" spans="1:7" x14ac:dyDescent="0.25">
      <c r="A96" s="101" t="str">
        <f>'Data shares'!C92</f>
        <v>INDHOTEL</v>
      </c>
      <c r="B96" s="144">
        <f>VLOOKUP($A96,'Data shares'!$C:$FA,7)</f>
        <v>713.2</v>
      </c>
      <c r="C96" s="144">
        <f>VLOOKUP($A96,'Data shares'!$C:$FA,3)</f>
        <v>715.75</v>
      </c>
      <c r="D96" s="144">
        <f>VLOOKUP($A96,'Data shares'!$C:$FA,23)</f>
        <v>2.5499999999999998</v>
      </c>
      <c r="E96" s="145">
        <f>VLOOKUP($A96,'Data shares'!$C:$FA,26)*100</f>
        <v>0.36</v>
      </c>
      <c r="F96" s="144">
        <f>VLOOKUP($A96,'Data shares'!$C:$FA,24)</f>
        <v>2.2000000000000002</v>
      </c>
      <c r="G96" s="144">
        <f>VLOOKUP($A96,'Data shares'!$C:$FA,25)</f>
        <v>0.35</v>
      </c>
    </row>
    <row r="97" spans="1:7" x14ac:dyDescent="0.25">
      <c r="A97" s="101" t="str">
        <f>'Data shares'!C93</f>
        <v>INDIANB</v>
      </c>
      <c r="B97" s="144">
        <f>VLOOKUP($A97,'Data shares'!$C:$FA,7)</f>
        <v>775</v>
      </c>
      <c r="C97" s="144">
        <f>VLOOKUP($A97,'Data shares'!$C:$FA,3)</f>
        <v>776.35</v>
      </c>
      <c r="D97" s="144">
        <f>VLOOKUP($A97,'Data shares'!$C:$FA,23)</f>
        <v>1.35</v>
      </c>
      <c r="E97" s="145">
        <f>VLOOKUP($A97,'Data shares'!$C:$FA,26)*100</f>
        <v>0.16999999999999998</v>
      </c>
      <c r="F97" s="144">
        <f>VLOOKUP($A97,'Data shares'!$C:$FA,24)</f>
        <v>1.6</v>
      </c>
      <c r="G97" s="144">
        <f>VLOOKUP($A97,'Data shares'!$C:$FA,25)</f>
        <v>-0.25</v>
      </c>
    </row>
    <row r="98" spans="1:7" x14ac:dyDescent="0.25">
      <c r="A98" s="101" t="str">
        <f>'Data shares'!C94</f>
        <v>INDIAVIX</v>
      </c>
      <c r="B98" s="144">
        <f>VLOOKUP($A98,'Data shares'!$C:$FA,7)</f>
        <v>9.84</v>
      </c>
      <c r="C98" s="144">
        <f>VLOOKUP($A98,'Data shares'!$C:$FA,3)</f>
        <v>9.84</v>
      </c>
      <c r="D98" s="144">
        <f>VLOOKUP($A98,'Data shares'!$C:$FA,23)</f>
        <v>0</v>
      </c>
      <c r="E98" s="145">
        <f>VLOOKUP($A98,'Data shares'!$C:$FA,26)*100</f>
        <v>0</v>
      </c>
      <c r="F98" s="144">
        <f>VLOOKUP($A98,'Data shares'!$C:$FA,24)</f>
        <v>0</v>
      </c>
      <c r="G98" s="144">
        <f>VLOOKUP($A98,'Data shares'!$C:$FA,25)</f>
        <v>0</v>
      </c>
    </row>
    <row r="99" spans="1:7" x14ac:dyDescent="0.25">
      <c r="A99" s="101" t="str">
        <f>'Data shares'!C95</f>
        <v>INDIGO</v>
      </c>
      <c r="B99" s="144">
        <f>VLOOKUP($A99,'Data shares'!$C:$FA,7)</f>
        <v>4980.5</v>
      </c>
      <c r="C99" s="144">
        <f>VLOOKUP($A99,'Data shares'!$C:$FA,3)</f>
        <v>4984</v>
      </c>
      <c r="D99" s="144">
        <f>VLOOKUP($A99,'Data shares'!$C:$FA,23)</f>
        <v>3.5</v>
      </c>
      <c r="E99" s="145">
        <f>VLOOKUP($A99,'Data shares'!$C:$FA,26)*100</f>
        <v>6.9999999999999993E-2</v>
      </c>
      <c r="F99" s="144">
        <f>VLOOKUP($A99,'Data shares'!$C:$FA,24)</f>
        <v>5.5</v>
      </c>
      <c r="G99" s="144">
        <f>VLOOKUP($A99,'Data shares'!$C:$FA,25)</f>
        <v>-2</v>
      </c>
    </row>
    <row r="100" spans="1:7" x14ac:dyDescent="0.25">
      <c r="A100" s="101" t="str">
        <f>'Data shares'!C96</f>
        <v>INDUSINDBK</v>
      </c>
      <c r="B100" s="144">
        <f>VLOOKUP($A100,'Data shares'!$C:$FA,7)</f>
        <v>833.85</v>
      </c>
      <c r="C100" s="144">
        <f>VLOOKUP($A100,'Data shares'!$C:$FA,3)</f>
        <v>834.65</v>
      </c>
      <c r="D100" s="144">
        <f>VLOOKUP($A100,'Data shares'!$C:$FA,23)</f>
        <v>0.8</v>
      </c>
      <c r="E100" s="145">
        <f>VLOOKUP($A100,'Data shares'!$C:$FA,26)*100</f>
        <v>0.1</v>
      </c>
      <c r="F100" s="144">
        <f>VLOOKUP($A100,'Data shares'!$C:$FA,24)</f>
        <v>1.55</v>
      </c>
      <c r="G100" s="144">
        <f>VLOOKUP($A100,'Data shares'!$C:$FA,25)</f>
        <v>-0.75</v>
      </c>
    </row>
    <row r="101" spans="1:7" x14ac:dyDescent="0.25">
      <c r="A101" s="101" t="str">
        <f>'Data shares'!C97</f>
        <v>INDUSTOWER</v>
      </c>
      <c r="B101" s="144">
        <f>VLOOKUP($A101,'Data shares'!$C:$FA,7)</f>
        <v>407.2</v>
      </c>
      <c r="C101" s="144">
        <f>VLOOKUP($A101,'Data shares'!$C:$FA,3)</f>
        <v>408.6</v>
      </c>
      <c r="D101" s="144">
        <f>VLOOKUP($A101,'Data shares'!$C:$FA,23)</f>
        <v>1.4</v>
      </c>
      <c r="E101" s="145">
        <f>VLOOKUP($A101,'Data shares'!$C:$FA,26)*100</f>
        <v>0.33999999999999997</v>
      </c>
      <c r="F101" s="144">
        <f>VLOOKUP($A101,'Data shares'!$C:$FA,24)</f>
        <v>1.45</v>
      </c>
      <c r="G101" s="144">
        <f>VLOOKUP($A101,'Data shares'!$C:$FA,25)</f>
        <v>-0.05</v>
      </c>
    </row>
    <row r="102" spans="1:7" x14ac:dyDescent="0.25">
      <c r="A102" s="101" t="str">
        <f>'Data shares'!C98</f>
        <v>INFY</v>
      </c>
      <c r="B102" s="144">
        <f>VLOOKUP($A102,'Data shares'!$C:$FA,7)</f>
        <v>1602</v>
      </c>
      <c r="C102" s="144">
        <f>VLOOKUP($A102,'Data shares'!$C:$FA,3)</f>
        <v>1605.8</v>
      </c>
      <c r="D102" s="144">
        <f>VLOOKUP($A102,'Data shares'!$C:$FA,23)</f>
        <v>3.8</v>
      </c>
      <c r="E102" s="145">
        <f>VLOOKUP($A102,'Data shares'!$C:$FA,26)*100</f>
        <v>0.24</v>
      </c>
      <c r="F102" s="144">
        <f>VLOOKUP($A102,'Data shares'!$C:$FA,24)</f>
        <v>3.9</v>
      </c>
      <c r="G102" s="144">
        <f>VLOOKUP($A102,'Data shares'!$C:$FA,25)</f>
        <v>-0.1</v>
      </c>
    </row>
    <row r="103" spans="1:7" x14ac:dyDescent="0.25">
      <c r="A103" s="101" t="str">
        <f>'Data shares'!C99</f>
        <v>INOXWIND</v>
      </c>
      <c r="B103" s="144">
        <f>VLOOKUP($A103,'Data shares'!$C:$FA,7)</f>
        <v>126.04</v>
      </c>
      <c r="C103" s="144">
        <f>VLOOKUP($A103,'Data shares'!$C:$FA,3)</f>
        <v>126.43</v>
      </c>
      <c r="D103" s="144">
        <f>VLOOKUP($A103,'Data shares'!$C:$FA,23)</f>
        <v>0.39</v>
      </c>
      <c r="E103" s="145">
        <f>VLOOKUP($A103,'Data shares'!$C:$FA,26)*100</f>
        <v>0.31</v>
      </c>
      <c r="F103" s="144">
        <f>VLOOKUP($A103,'Data shares'!$C:$FA,24)</f>
        <v>0.28000000000000003</v>
      </c>
      <c r="G103" s="144">
        <f>VLOOKUP($A103,'Data shares'!$C:$FA,25)</f>
        <v>0.11</v>
      </c>
    </row>
    <row r="104" spans="1:7" x14ac:dyDescent="0.25">
      <c r="A104" s="101" t="str">
        <f>'Data shares'!C100</f>
        <v>IOC</v>
      </c>
      <c r="B104" s="144">
        <f>VLOOKUP($A104,'Data shares'!$C:$FA,7)</f>
        <v>168.16</v>
      </c>
      <c r="C104" s="144">
        <f>VLOOKUP($A104,'Data shares'!$C:$FA,3)</f>
        <v>168.64</v>
      </c>
      <c r="D104" s="144">
        <f>VLOOKUP($A104,'Data shares'!$C:$FA,23)</f>
        <v>0.48</v>
      </c>
      <c r="E104" s="145">
        <f>VLOOKUP($A104,'Data shares'!$C:$FA,26)*100</f>
        <v>0.28999999999999998</v>
      </c>
      <c r="F104" s="144">
        <f>VLOOKUP($A104,'Data shares'!$C:$FA,24)</f>
        <v>0.33</v>
      </c>
      <c r="G104" s="144">
        <f>VLOOKUP($A104,'Data shares'!$C:$FA,25)</f>
        <v>0.15</v>
      </c>
    </row>
    <row r="105" spans="1:7" x14ac:dyDescent="0.25">
      <c r="A105" s="101" t="str">
        <f>'Data shares'!C101</f>
        <v>IRCTC</v>
      </c>
      <c r="B105" s="144">
        <f>VLOOKUP($A105,'Data shares'!$C:$FA,7)</f>
        <v>666.1</v>
      </c>
      <c r="C105" s="144">
        <f>VLOOKUP($A105,'Data shares'!$C:$FA,3)</f>
        <v>667.25</v>
      </c>
      <c r="D105" s="144">
        <f>VLOOKUP($A105,'Data shares'!$C:$FA,23)</f>
        <v>1.1499999999999999</v>
      </c>
      <c r="E105" s="145">
        <f>VLOOKUP($A105,'Data shares'!$C:$FA,26)*100</f>
        <v>0.16999999999999998</v>
      </c>
      <c r="F105" s="144">
        <f>VLOOKUP($A105,'Data shares'!$C:$FA,24)</f>
        <v>1.45</v>
      </c>
      <c r="G105" s="144">
        <f>VLOOKUP($A105,'Data shares'!$C:$FA,25)</f>
        <v>-0.3</v>
      </c>
    </row>
    <row r="106" spans="1:7" x14ac:dyDescent="0.25">
      <c r="A106" s="101" t="str">
        <f>'Data shares'!C102</f>
        <v>IREDA</v>
      </c>
      <c r="B106" s="144">
        <f>VLOOKUP($A106,'Data shares'!$C:$FA,7)</f>
        <v>131.43</v>
      </c>
      <c r="C106" s="144">
        <f>VLOOKUP($A106,'Data shares'!$C:$FA,3)</f>
        <v>131.16999999999999</v>
      </c>
      <c r="D106" s="144">
        <f>VLOOKUP($A106,'Data shares'!$C:$FA,23)</f>
        <v>-0.26</v>
      </c>
      <c r="E106" s="145">
        <f>VLOOKUP($A106,'Data shares'!$C:$FA,26)*100</f>
        <v>-0.2</v>
      </c>
      <c r="F106" s="144">
        <f>VLOOKUP($A106,'Data shares'!$C:$FA,24)</f>
        <v>-0.19</v>
      </c>
      <c r="G106" s="144">
        <f>VLOOKUP($A106,'Data shares'!$C:$FA,25)</f>
        <v>-7.0000000000000007E-2</v>
      </c>
    </row>
    <row r="107" spans="1:7" x14ac:dyDescent="0.25">
      <c r="A107" s="101" t="str">
        <f>'Data shares'!C103</f>
        <v>IRFC</v>
      </c>
      <c r="B107" s="144">
        <f>VLOOKUP($A107,'Data shares'!$C:$FA,7)</f>
        <v>111.08</v>
      </c>
      <c r="C107" s="144">
        <f>VLOOKUP($A107,'Data shares'!$C:$FA,3)</f>
        <v>111.25</v>
      </c>
      <c r="D107" s="144">
        <f>VLOOKUP($A107,'Data shares'!$C:$FA,23)</f>
        <v>0.17</v>
      </c>
      <c r="E107" s="145">
        <f>VLOOKUP($A107,'Data shares'!$C:$FA,26)*100</f>
        <v>0.15</v>
      </c>
      <c r="F107" s="144">
        <f>VLOOKUP($A107,'Data shares'!$C:$FA,24)</f>
        <v>0.06</v>
      </c>
      <c r="G107" s="144">
        <f>VLOOKUP($A107,'Data shares'!$C:$FA,25)</f>
        <v>0.11</v>
      </c>
    </row>
    <row r="108" spans="1:7" x14ac:dyDescent="0.25">
      <c r="A108" s="101" t="str">
        <f>'Data shares'!C104</f>
        <v>ITC</v>
      </c>
      <c r="B108" s="144">
        <f>VLOOKUP($A108,'Data shares'!$C:$FA,7)</f>
        <v>399.8</v>
      </c>
      <c r="C108" s="144">
        <f>VLOOKUP($A108,'Data shares'!$C:$FA,3)</f>
        <v>401.05</v>
      </c>
      <c r="D108" s="144">
        <f>VLOOKUP($A108,'Data shares'!$C:$FA,23)</f>
        <v>1.25</v>
      </c>
      <c r="E108" s="145">
        <f>VLOOKUP($A108,'Data shares'!$C:$FA,26)*100</f>
        <v>0.31</v>
      </c>
      <c r="F108" s="144">
        <f>VLOOKUP($A108,'Data shares'!$C:$FA,24)</f>
        <v>1.5</v>
      </c>
      <c r="G108" s="144">
        <f>VLOOKUP($A108,'Data shares'!$C:$FA,25)</f>
        <v>-0.25</v>
      </c>
    </row>
    <row r="109" spans="1:7" x14ac:dyDescent="0.25">
      <c r="A109" s="101" t="str">
        <f>'Data shares'!C105</f>
        <v>JINDALSTEL</v>
      </c>
      <c r="B109" s="144">
        <f>VLOOKUP($A109,'Data shares'!$C:$FA,7)</f>
        <v>1001.5</v>
      </c>
      <c r="C109" s="144">
        <f>VLOOKUP($A109,'Data shares'!$C:$FA,3)</f>
        <v>1003.9</v>
      </c>
      <c r="D109" s="144">
        <f>VLOOKUP($A109,'Data shares'!$C:$FA,23)</f>
        <v>2.4</v>
      </c>
      <c r="E109" s="145">
        <f>VLOOKUP($A109,'Data shares'!$C:$FA,26)*100</f>
        <v>0.24</v>
      </c>
      <c r="F109" s="144">
        <f>VLOOKUP($A109,'Data shares'!$C:$FA,24)</f>
        <v>1.3</v>
      </c>
      <c r="G109" s="144">
        <f>VLOOKUP($A109,'Data shares'!$C:$FA,25)</f>
        <v>1.1000000000000001</v>
      </c>
    </row>
    <row r="110" spans="1:7" x14ac:dyDescent="0.25">
      <c r="A110" s="101" t="str">
        <f>'Data shares'!C106</f>
        <v>JIOFIN</v>
      </c>
      <c r="B110" s="144">
        <f>VLOOKUP($A110,'Data shares'!$C:$FA,7)</f>
        <v>293.14999999999998</v>
      </c>
      <c r="C110" s="144">
        <f>VLOOKUP($A110,'Data shares'!$C:$FA,3)</f>
        <v>293.7</v>
      </c>
      <c r="D110" s="144">
        <f>VLOOKUP($A110,'Data shares'!$C:$FA,23)</f>
        <v>0.55000000000000004</v>
      </c>
      <c r="E110" s="145">
        <f>VLOOKUP($A110,'Data shares'!$C:$FA,26)*100</f>
        <v>0.19</v>
      </c>
      <c r="F110" s="144">
        <f>VLOOKUP($A110,'Data shares'!$C:$FA,24)</f>
        <v>0.6</v>
      </c>
      <c r="G110" s="144">
        <f>VLOOKUP($A110,'Data shares'!$C:$FA,25)</f>
        <v>-0.05</v>
      </c>
    </row>
    <row r="111" spans="1:7" x14ac:dyDescent="0.25">
      <c r="A111" s="101" t="str">
        <f>'Data shares'!C107</f>
        <v>JSWENERGY</v>
      </c>
      <c r="B111" s="144">
        <f>VLOOKUP($A111,'Data shares'!$C:$FA,7)</f>
        <v>475.25</v>
      </c>
      <c r="C111" s="144">
        <f>VLOOKUP($A111,'Data shares'!$C:$FA,3)</f>
        <v>475.8</v>
      </c>
      <c r="D111" s="144">
        <f>VLOOKUP($A111,'Data shares'!$C:$FA,23)</f>
        <v>0.55000000000000004</v>
      </c>
      <c r="E111" s="145">
        <f>VLOOKUP($A111,'Data shares'!$C:$FA,26)*100</f>
        <v>0.12</v>
      </c>
      <c r="F111" s="144">
        <f>VLOOKUP($A111,'Data shares'!$C:$FA,24)</f>
        <v>0.7</v>
      </c>
      <c r="G111" s="144">
        <f>VLOOKUP($A111,'Data shares'!$C:$FA,25)</f>
        <v>-0.15</v>
      </c>
    </row>
    <row r="112" spans="1:7" x14ac:dyDescent="0.25">
      <c r="A112" s="101" t="str">
        <f>'Data shares'!C108</f>
        <v>JSWSTEEL</v>
      </c>
      <c r="B112" s="144">
        <f>VLOOKUP($A112,'Data shares'!$C:$FA,7)</f>
        <v>1079.3</v>
      </c>
      <c r="C112" s="144">
        <f>VLOOKUP($A112,'Data shares'!$C:$FA,3)</f>
        <v>1083.2</v>
      </c>
      <c r="D112" s="144">
        <f>VLOOKUP($A112,'Data shares'!$C:$FA,23)</f>
        <v>3.9</v>
      </c>
      <c r="E112" s="145">
        <f>VLOOKUP($A112,'Data shares'!$C:$FA,26)*100</f>
        <v>0.36</v>
      </c>
      <c r="F112" s="144">
        <f>VLOOKUP($A112,'Data shares'!$C:$FA,24)</f>
        <v>3.1</v>
      </c>
      <c r="G112" s="144">
        <f>VLOOKUP($A112,'Data shares'!$C:$FA,25)</f>
        <v>0.8</v>
      </c>
    </row>
    <row r="113" spans="1:7" x14ac:dyDescent="0.25">
      <c r="A113" s="101" t="str">
        <f>'Data shares'!C109</f>
        <v>JUBLFOOD</v>
      </c>
      <c r="B113" s="144">
        <f>VLOOKUP($A113,'Data shares'!$C:$FA,7)</f>
        <v>554.04999999999995</v>
      </c>
      <c r="C113" s="144">
        <f>VLOOKUP($A113,'Data shares'!$C:$FA,3)</f>
        <v>554.70000000000005</v>
      </c>
      <c r="D113" s="144">
        <f>VLOOKUP($A113,'Data shares'!$C:$FA,23)</f>
        <v>0.65</v>
      </c>
      <c r="E113" s="145">
        <f>VLOOKUP($A113,'Data shares'!$C:$FA,26)*100</f>
        <v>0.12</v>
      </c>
      <c r="F113" s="144">
        <f>VLOOKUP($A113,'Data shares'!$C:$FA,24)</f>
        <v>0.85</v>
      </c>
      <c r="G113" s="144">
        <f>VLOOKUP($A113,'Data shares'!$C:$FA,25)</f>
        <v>-0.2</v>
      </c>
    </row>
    <row r="114" spans="1:7" x14ac:dyDescent="0.25">
      <c r="A114" s="101" t="str">
        <f>'Data shares'!C110</f>
        <v>KALYANKJIL</v>
      </c>
      <c r="B114" s="144">
        <f>VLOOKUP($A114,'Data shares'!$C:$FA,7)</f>
        <v>474.85</v>
      </c>
      <c r="C114" s="144">
        <f>VLOOKUP($A114,'Data shares'!$C:$FA,3)</f>
        <v>475.3</v>
      </c>
      <c r="D114" s="144">
        <f>VLOOKUP($A114,'Data shares'!$C:$FA,23)</f>
        <v>0.45</v>
      </c>
      <c r="E114" s="145">
        <f>VLOOKUP($A114,'Data shares'!$C:$FA,26)*100</f>
        <v>0.09</v>
      </c>
      <c r="F114" s="144">
        <f>VLOOKUP($A114,'Data shares'!$C:$FA,24)</f>
        <v>0.55000000000000004</v>
      </c>
      <c r="G114" s="144">
        <f>VLOOKUP($A114,'Data shares'!$C:$FA,25)</f>
        <v>-0.1</v>
      </c>
    </row>
    <row r="115" spans="1:7" x14ac:dyDescent="0.25">
      <c r="A115" s="101" t="str">
        <f>'Data shares'!C111</f>
        <v>KAYNES</v>
      </c>
      <c r="B115" s="144">
        <f>VLOOKUP($A115,'Data shares'!$C:$FA,7)</f>
        <v>4093.5</v>
      </c>
      <c r="C115" s="144">
        <f>VLOOKUP($A115,'Data shares'!$C:$FA,3)</f>
        <v>4098.5</v>
      </c>
      <c r="D115" s="144">
        <f>VLOOKUP($A115,'Data shares'!$C:$FA,23)</f>
        <v>5</v>
      </c>
      <c r="E115" s="145">
        <f>VLOOKUP($A115,'Data shares'!$C:$FA,26)*100</f>
        <v>0.12</v>
      </c>
      <c r="F115" s="144">
        <f>VLOOKUP($A115,'Data shares'!$C:$FA,24)</f>
        <v>8</v>
      </c>
      <c r="G115" s="144">
        <f>VLOOKUP($A115,'Data shares'!$C:$FA,25)</f>
        <v>-3</v>
      </c>
    </row>
    <row r="116" spans="1:7" x14ac:dyDescent="0.25">
      <c r="A116" s="101" t="str">
        <f>'Data shares'!C112</f>
        <v>KEI</v>
      </c>
      <c r="B116" s="144">
        <f>VLOOKUP($A116,'Data shares'!$C:$FA,7)</f>
        <v>4106.6000000000004</v>
      </c>
      <c r="C116" s="144">
        <f>VLOOKUP($A116,'Data shares'!$C:$FA,3)</f>
        <v>4119.8999999999996</v>
      </c>
      <c r="D116" s="144">
        <f>VLOOKUP($A116,'Data shares'!$C:$FA,23)</f>
        <v>13.3</v>
      </c>
      <c r="E116" s="145">
        <f>VLOOKUP($A116,'Data shares'!$C:$FA,26)*100</f>
        <v>0.32</v>
      </c>
      <c r="F116" s="144">
        <f>VLOOKUP($A116,'Data shares'!$C:$FA,24)</f>
        <v>9.3000000000000007</v>
      </c>
      <c r="G116" s="144">
        <f>VLOOKUP($A116,'Data shares'!$C:$FA,25)</f>
        <v>4</v>
      </c>
    </row>
    <row r="117" spans="1:7" x14ac:dyDescent="0.25">
      <c r="A117" s="101" t="str">
        <f>'Data shares'!C113</f>
        <v>KFINTECH</v>
      </c>
      <c r="B117" s="144">
        <f>VLOOKUP($A117,'Data shares'!$C:$FA,7)</f>
        <v>1031.3</v>
      </c>
      <c r="C117" s="144">
        <f>VLOOKUP($A117,'Data shares'!$C:$FA,3)</f>
        <v>1031.4000000000001</v>
      </c>
      <c r="D117" s="144">
        <f>VLOOKUP($A117,'Data shares'!$C:$FA,23)</f>
        <v>0.1</v>
      </c>
      <c r="E117" s="145">
        <f>VLOOKUP($A117,'Data shares'!$C:$FA,26)*100</f>
        <v>0.01</v>
      </c>
      <c r="F117" s="144">
        <f>VLOOKUP($A117,'Data shares'!$C:$FA,24)</f>
        <v>0.7</v>
      </c>
      <c r="G117" s="144">
        <f>VLOOKUP($A117,'Data shares'!$C:$FA,25)</f>
        <v>-0.6</v>
      </c>
    </row>
    <row r="118" spans="1:7" x14ac:dyDescent="0.25">
      <c r="A118" s="101" t="str">
        <f>'Data shares'!C114</f>
        <v>KOTAKBANK</v>
      </c>
      <c r="B118" s="144">
        <f>VLOOKUP($A118,'Data shares'!$C:$FA,7)</f>
        <v>2173.1999999999998</v>
      </c>
      <c r="C118" s="144">
        <f>VLOOKUP($A118,'Data shares'!$C:$FA,3)</f>
        <v>2176.6</v>
      </c>
      <c r="D118" s="144">
        <f>VLOOKUP($A118,'Data shares'!$C:$FA,23)</f>
        <v>3.4</v>
      </c>
      <c r="E118" s="145">
        <f>VLOOKUP($A118,'Data shares'!$C:$FA,26)*100</f>
        <v>0.16</v>
      </c>
      <c r="F118" s="144">
        <f>VLOOKUP($A118,'Data shares'!$C:$FA,24)</f>
        <v>6.6</v>
      </c>
      <c r="G118" s="144">
        <f>VLOOKUP($A118,'Data shares'!$C:$FA,25)</f>
        <v>-3.2</v>
      </c>
    </row>
    <row r="119" spans="1:7" x14ac:dyDescent="0.25">
      <c r="A119" s="101" t="str">
        <f>'Data shares'!C115</f>
        <v>KPITTECH</v>
      </c>
      <c r="B119" s="144">
        <f>VLOOKUP($A119,'Data shares'!$C:$FA,7)</f>
        <v>1168.9000000000001</v>
      </c>
      <c r="C119" s="144">
        <f>VLOOKUP($A119,'Data shares'!$C:$FA,3)</f>
        <v>1173.4000000000001</v>
      </c>
      <c r="D119" s="144">
        <f>VLOOKUP($A119,'Data shares'!$C:$FA,23)</f>
        <v>4.5</v>
      </c>
      <c r="E119" s="145">
        <f>VLOOKUP($A119,'Data shares'!$C:$FA,26)*100</f>
        <v>0.38</v>
      </c>
      <c r="F119" s="144">
        <f>VLOOKUP($A119,'Data shares'!$C:$FA,24)</f>
        <v>-2.8</v>
      </c>
      <c r="G119" s="144">
        <f>VLOOKUP($A119,'Data shares'!$C:$FA,25)</f>
        <v>7.3</v>
      </c>
    </row>
    <row r="120" spans="1:7" x14ac:dyDescent="0.25">
      <c r="A120" s="101" t="str">
        <f>'Data shares'!C116</f>
        <v>LAURUSLABS</v>
      </c>
      <c r="B120" s="144">
        <f>VLOOKUP($A120,'Data shares'!$C:$FA,7)</f>
        <v>1010</v>
      </c>
      <c r="C120" s="144">
        <f>VLOOKUP($A120,'Data shares'!$C:$FA,3)</f>
        <v>1010.6</v>
      </c>
      <c r="D120" s="144">
        <f>VLOOKUP($A120,'Data shares'!$C:$FA,23)</f>
        <v>0.6</v>
      </c>
      <c r="E120" s="145">
        <f>VLOOKUP($A120,'Data shares'!$C:$FA,26)*100</f>
        <v>0.06</v>
      </c>
      <c r="F120" s="144">
        <f>VLOOKUP($A120,'Data shares'!$C:$FA,24)</f>
        <v>3.7</v>
      </c>
      <c r="G120" s="144">
        <f>VLOOKUP($A120,'Data shares'!$C:$FA,25)</f>
        <v>-3.1</v>
      </c>
    </row>
    <row r="121" spans="1:7" x14ac:dyDescent="0.25">
      <c r="A121" s="101" t="str">
        <f>'Data shares'!C117</f>
        <v>LICHSGFIN</v>
      </c>
      <c r="B121" s="144">
        <f>VLOOKUP($A121,'Data shares'!$C:$FA,7)</f>
        <v>524.79999999999995</v>
      </c>
      <c r="C121" s="144">
        <f>VLOOKUP($A121,'Data shares'!$C:$FA,3)</f>
        <v>524.75</v>
      </c>
      <c r="D121" s="144">
        <f>VLOOKUP($A121,'Data shares'!$C:$FA,23)</f>
        <v>-0.05</v>
      </c>
      <c r="E121" s="145">
        <f>VLOOKUP($A121,'Data shares'!$C:$FA,26)*100</f>
        <v>-0.01</v>
      </c>
      <c r="F121" s="144">
        <f>VLOOKUP($A121,'Data shares'!$C:$FA,24)</f>
        <v>1.1000000000000001</v>
      </c>
      <c r="G121" s="144">
        <f>VLOOKUP($A121,'Data shares'!$C:$FA,25)</f>
        <v>-1.1499999999999999</v>
      </c>
    </row>
    <row r="122" spans="1:7" x14ac:dyDescent="0.25">
      <c r="A122" s="101" t="str">
        <f>'Data shares'!C118</f>
        <v>LICI</v>
      </c>
      <c r="B122" s="144">
        <f>VLOOKUP($A122,'Data shares'!$C:$FA,7)</f>
        <v>844.55</v>
      </c>
      <c r="C122" s="144">
        <f>VLOOKUP($A122,'Data shares'!$C:$FA,3)</f>
        <v>847.1</v>
      </c>
      <c r="D122" s="144">
        <f>VLOOKUP($A122,'Data shares'!$C:$FA,23)</f>
        <v>2.5499999999999998</v>
      </c>
      <c r="E122" s="145">
        <f>VLOOKUP($A122,'Data shares'!$C:$FA,26)*100</f>
        <v>0.3</v>
      </c>
      <c r="F122" s="144">
        <f>VLOOKUP($A122,'Data shares'!$C:$FA,24)</f>
        <v>2.15</v>
      </c>
      <c r="G122" s="144">
        <f>VLOOKUP($A122,'Data shares'!$C:$FA,25)</f>
        <v>0.4</v>
      </c>
    </row>
    <row r="123" spans="1:7" x14ac:dyDescent="0.25">
      <c r="A123" s="101" t="str">
        <f>'Data shares'!C119</f>
        <v>LODHA</v>
      </c>
      <c r="B123" s="144">
        <f>VLOOKUP($A123,'Data shares'!$C:$FA,7)</f>
        <v>1063.8</v>
      </c>
      <c r="C123" s="144">
        <f>VLOOKUP($A123,'Data shares'!$C:$FA,3)</f>
        <v>1064.7</v>
      </c>
      <c r="D123" s="144">
        <f>VLOOKUP($A123,'Data shares'!$C:$FA,23)</f>
        <v>0.9</v>
      </c>
      <c r="E123" s="145">
        <f>VLOOKUP($A123,'Data shares'!$C:$FA,26)*100</f>
        <v>0.08</v>
      </c>
      <c r="F123" s="144">
        <f>VLOOKUP($A123,'Data shares'!$C:$FA,24)</f>
        <v>0.6</v>
      </c>
      <c r="G123" s="144">
        <f>VLOOKUP($A123,'Data shares'!$C:$FA,25)</f>
        <v>0.3</v>
      </c>
    </row>
    <row r="124" spans="1:7" x14ac:dyDescent="0.25">
      <c r="A124" s="101" t="str">
        <f>'Data shares'!C120</f>
        <v>LT</v>
      </c>
      <c r="B124" s="144">
        <f>VLOOKUP($A124,'Data shares'!$C:$FA,7)</f>
        <v>4062.4</v>
      </c>
      <c r="C124" s="144">
        <f>VLOOKUP($A124,'Data shares'!$C:$FA,3)</f>
        <v>4068.7</v>
      </c>
      <c r="D124" s="144">
        <f>VLOOKUP($A124,'Data shares'!$C:$FA,23)</f>
        <v>6.3</v>
      </c>
      <c r="E124" s="145">
        <f>VLOOKUP($A124,'Data shares'!$C:$FA,26)*100</f>
        <v>0.16</v>
      </c>
      <c r="F124" s="144">
        <f>VLOOKUP($A124,'Data shares'!$C:$FA,24)</f>
        <v>5</v>
      </c>
      <c r="G124" s="144">
        <f>VLOOKUP($A124,'Data shares'!$C:$FA,25)</f>
        <v>1.3</v>
      </c>
    </row>
    <row r="125" spans="1:7" x14ac:dyDescent="0.25">
      <c r="A125" s="101" t="str">
        <f>'Data shares'!C121</f>
        <v>LTF</v>
      </c>
      <c r="B125" s="144">
        <f>VLOOKUP($A125,'Data shares'!$C:$FA,7)</f>
        <v>301.89999999999998</v>
      </c>
      <c r="C125" s="144">
        <f>VLOOKUP($A125,'Data shares'!$C:$FA,3)</f>
        <v>303.05</v>
      </c>
      <c r="D125" s="144">
        <f>VLOOKUP($A125,'Data shares'!$C:$FA,23)</f>
        <v>1.1499999999999999</v>
      </c>
      <c r="E125" s="145">
        <f>VLOOKUP($A125,'Data shares'!$C:$FA,26)*100</f>
        <v>0.38</v>
      </c>
      <c r="F125" s="144">
        <f>VLOOKUP($A125,'Data shares'!$C:$FA,24)</f>
        <v>0.75</v>
      </c>
      <c r="G125" s="144">
        <f>VLOOKUP($A125,'Data shares'!$C:$FA,25)</f>
        <v>0.4</v>
      </c>
    </row>
    <row r="126" spans="1:7" x14ac:dyDescent="0.25">
      <c r="A126" s="101" t="str">
        <f>'Data shares'!C122</f>
        <v>LTIM</v>
      </c>
      <c r="B126" s="144">
        <f>VLOOKUP($A126,'Data shares'!$C:$FA,7)</f>
        <v>6252.5</v>
      </c>
      <c r="C126" s="144">
        <f>VLOOKUP($A126,'Data shares'!$C:$FA,3)</f>
        <v>6270.5</v>
      </c>
      <c r="D126" s="144">
        <f>VLOOKUP($A126,'Data shares'!$C:$FA,23)</f>
        <v>18</v>
      </c>
      <c r="E126" s="145">
        <f>VLOOKUP($A126,'Data shares'!$C:$FA,26)*100</f>
        <v>0.28999999999999998</v>
      </c>
      <c r="F126" s="144">
        <f>VLOOKUP($A126,'Data shares'!$C:$FA,24)</f>
        <v>12</v>
      </c>
      <c r="G126" s="144">
        <f>VLOOKUP($A126,'Data shares'!$C:$FA,25)</f>
        <v>6</v>
      </c>
    </row>
    <row r="127" spans="1:7" x14ac:dyDescent="0.25">
      <c r="A127" s="101" t="str">
        <f>'Data shares'!C123</f>
        <v>LUPIN</v>
      </c>
      <c r="B127" s="144">
        <f>VLOOKUP($A127,'Data shares'!$C:$FA,7)</f>
        <v>2113.1</v>
      </c>
      <c r="C127" s="144">
        <f>VLOOKUP($A127,'Data shares'!$C:$FA,3)</f>
        <v>2114</v>
      </c>
      <c r="D127" s="144">
        <f>VLOOKUP($A127,'Data shares'!$C:$FA,23)</f>
        <v>0.9</v>
      </c>
      <c r="E127" s="145">
        <f>VLOOKUP($A127,'Data shares'!$C:$FA,26)*100</f>
        <v>0.04</v>
      </c>
      <c r="F127" s="144">
        <f>VLOOKUP($A127,'Data shares'!$C:$FA,24)</f>
        <v>1.7</v>
      </c>
      <c r="G127" s="144">
        <f>VLOOKUP($A127,'Data shares'!$C:$FA,25)</f>
        <v>-0.8</v>
      </c>
    </row>
    <row r="128" spans="1:7" x14ac:dyDescent="0.25">
      <c r="A128" s="101" t="str">
        <f>'Data shares'!C124</f>
        <v>M&amp;M</v>
      </c>
      <c r="B128" s="144">
        <f>VLOOKUP($A128,'Data shares'!$C:$FA,7)</f>
        <v>3612.8</v>
      </c>
      <c r="C128" s="144">
        <f>VLOOKUP($A128,'Data shares'!$C:$FA,3)</f>
        <v>3617.9</v>
      </c>
      <c r="D128" s="144">
        <f>VLOOKUP($A128,'Data shares'!$C:$FA,23)</f>
        <v>5.0999999999999996</v>
      </c>
      <c r="E128" s="145">
        <f>VLOOKUP($A128,'Data shares'!$C:$FA,26)*100</f>
        <v>0.13999999999999999</v>
      </c>
      <c r="F128" s="144">
        <f>VLOOKUP($A128,'Data shares'!$C:$FA,24)</f>
        <v>8.8000000000000007</v>
      </c>
      <c r="G128" s="144">
        <f>VLOOKUP($A128,'Data shares'!$C:$FA,25)</f>
        <v>-3.7</v>
      </c>
    </row>
    <row r="129" spans="1:7" x14ac:dyDescent="0.25">
      <c r="A129" s="101" t="str">
        <f>'Data shares'!C125</f>
        <v>MANAPPURAM</v>
      </c>
      <c r="B129" s="144">
        <f>VLOOKUP($A129,'Data shares'!$C:$FA,7)</f>
        <v>286.25</v>
      </c>
      <c r="C129" s="144">
        <f>VLOOKUP($A129,'Data shares'!$C:$FA,3)</f>
        <v>286.5</v>
      </c>
      <c r="D129" s="144">
        <f>VLOOKUP($A129,'Data shares'!$C:$FA,23)</f>
        <v>0.25</v>
      </c>
      <c r="E129" s="145">
        <f>VLOOKUP($A129,'Data shares'!$C:$FA,26)*100</f>
        <v>0.09</v>
      </c>
      <c r="F129" s="144">
        <f>VLOOKUP($A129,'Data shares'!$C:$FA,24)</f>
        <v>0.35</v>
      </c>
      <c r="G129" s="144">
        <f>VLOOKUP($A129,'Data shares'!$C:$FA,25)</f>
        <v>-0.1</v>
      </c>
    </row>
    <row r="130" spans="1:7" x14ac:dyDescent="0.25">
      <c r="A130" s="101" t="str">
        <f>'Data shares'!C126</f>
        <v>MANKIND</v>
      </c>
      <c r="B130" s="144">
        <f>VLOOKUP($A130,'Data shares'!$C:$FA,7)</f>
        <v>2111.1999999999998</v>
      </c>
      <c r="C130" s="144">
        <f>VLOOKUP($A130,'Data shares'!$C:$FA,3)</f>
        <v>2117.6</v>
      </c>
      <c r="D130" s="144">
        <f>VLOOKUP($A130,'Data shares'!$C:$FA,23)</f>
        <v>6.4</v>
      </c>
      <c r="E130" s="145">
        <f>VLOOKUP($A130,'Data shares'!$C:$FA,26)*100</f>
        <v>0.3</v>
      </c>
      <c r="F130" s="144">
        <f>VLOOKUP($A130,'Data shares'!$C:$FA,24)</f>
        <v>8.1</v>
      </c>
      <c r="G130" s="144">
        <f>VLOOKUP($A130,'Data shares'!$C:$FA,25)</f>
        <v>-1.7</v>
      </c>
    </row>
    <row r="131" spans="1:7" x14ac:dyDescent="0.25">
      <c r="A131" s="101" t="str">
        <f>'Data shares'!C127</f>
        <v>MARICO</v>
      </c>
      <c r="B131" s="144">
        <f>VLOOKUP($A131,'Data shares'!$C:$FA,7)</f>
        <v>738.15</v>
      </c>
      <c r="C131" s="144">
        <f>VLOOKUP($A131,'Data shares'!$C:$FA,3)</f>
        <v>739</v>
      </c>
      <c r="D131" s="144">
        <f>VLOOKUP($A131,'Data shares'!$C:$FA,23)</f>
        <v>0.85</v>
      </c>
      <c r="E131" s="145">
        <f>VLOOKUP($A131,'Data shares'!$C:$FA,26)*100</f>
        <v>0.12</v>
      </c>
      <c r="F131" s="144">
        <f>VLOOKUP($A131,'Data shares'!$C:$FA,24)</f>
        <v>1</v>
      </c>
      <c r="G131" s="144">
        <f>VLOOKUP($A131,'Data shares'!$C:$FA,25)</f>
        <v>-0.15</v>
      </c>
    </row>
    <row r="132" spans="1:7" x14ac:dyDescent="0.25">
      <c r="A132" s="101" t="str">
        <f>'Data shares'!C128</f>
        <v>MARUTI</v>
      </c>
      <c r="B132" s="144">
        <f>VLOOKUP($A132,'Data shares'!$C:$FA,7)</f>
        <v>16398</v>
      </c>
      <c r="C132" s="144">
        <f>VLOOKUP($A132,'Data shares'!$C:$FA,3)</f>
        <v>16409</v>
      </c>
      <c r="D132" s="144">
        <f>VLOOKUP($A132,'Data shares'!$C:$FA,23)</f>
        <v>11</v>
      </c>
      <c r="E132" s="145">
        <f>VLOOKUP($A132,'Data shares'!$C:$FA,26)*100</f>
        <v>6.9999999999999993E-2</v>
      </c>
      <c r="F132" s="144">
        <f>VLOOKUP($A132,'Data shares'!$C:$FA,24)</f>
        <v>42</v>
      </c>
      <c r="G132" s="144">
        <f>VLOOKUP($A132,'Data shares'!$C:$FA,25)</f>
        <v>-31</v>
      </c>
    </row>
    <row r="133" spans="1:7" x14ac:dyDescent="0.25">
      <c r="A133" s="101" t="str">
        <f>'Data shares'!C129</f>
        <v>MAXHEALTH</v>
      </c>
      <c r="B133" s="144">
        <f>VLOOKUP($A133,'Data shares'!$C:$FA,7)</f>
        <v>1031.0999999999999</v>
      </c>
      <c r="C133" s="144">
        <f>VLOOKUP($A133,'Data shares'!$C:$FA,3)</f>
        <v>1033.8</v>
      </c>
      <c r="D133" s="144">
        <f>VLOOKUP($A133,'Data shares'!$C:$FA,23)</f>
        <v>2.7</v>
      </c>
      <c r="E133" s="145">
        <f>VLOOKUP($A133,'Data shares'!$C:$FA,26)*100</f>
        <v>0.26</v>
      </c>
      <c r="F133" s="144">
        <f>VLOOKUP($A133,'Data shares'!$C:$FA,24)</f>
        <v>1.2</v>
      </c>
      <c r="G133" s="144">
        <f>VLOOKUP($A133,'Data shares'!$C:$FA,25)</f>
        <v>1.5</v>
      </c>
    </row>
    <row r="134" spans="1:7" x14ac:dyDescent="0.25">
      <c r="A134" s="101" t="str">
        <f>'Data shares'!C130</f>
        <v>MAZDOCK</v>
      </c>
      <c r="B134" s="144">
        <f>VLOOKUP($A134,'Data shares'!$C:$FA,7)</f>
        <v>2356.6</v>
      </c>
      <c r="C134" s="144">
        <f>VLOOKUP($A134,'Data shares'!$C:$FA,3)</f>
        <v>2362.6</v>
      </c>
      <c r="D134" s="144">
        <f>VLOOKUP($A134,'Data shares'!$C:$FA,23)</f>
        <v>6</v>
      </c>
      <c r="E134" s="145">
        <f>VLOOKUP($A134,'Data shares'!$C:$FA,26)*100</f>
        <v>0.25</v>
      </c>
      <c r="F134" s="144">
        <f>VLOOKUP($A134,'Data shares'!$C:$FA,24)</f>
        <v>8.6</v>
      </c>
      <c r="G134" s="144">
        <f>VLOOKUP($A134,'Data shares'!$C:$FA,25)</f>
        <v>-2.6</v>
      </c>
    </row>
    <row r="135" spans="1:7" x14ac:dyDescent="0.25">
      <c r="A135" s="101" t="str">
        <f>'Data shares'!C131</f>
        <v>MCX</v>
      </c>
      <c r="B135" s="144">
        <f>VLOOKUP($A135,'Data shares'!$C:$FA,7)</f>
        <v>10025</v>
      </c>
      <c r="C135" s="144">
        <f>VLOOKUP($A135,'Data shares'!$C:$FA,3)</f>
        <v>10066</v>
      </c>
      <c r="D135" s="144">
        <f>VLOOKUP($A135,'Data shares'!$C:$FA,23)</f>
        <v>41</v>
      </c>
      <c r="E135" s="145">
        <f>VLOOKUP($A135,'Data shares'!$C:$FA,26)*100</f>
        <v>0.41000000000000003</v>
      </c>
      <c r="F135" s="144">
        <f>VLOOKUP($A135,'Data shares'!$C:$FA,24)</f>
        <v>31</v>
      </c>
      <c r="G135" s="144">
        <f>VLOOKUP($A135,'Data shares'!$C:$FA,25)</f>
        <v>10</v>
      </c>
    </row>
    <row r="136" spans="1:7" x14ac:dyDescent="0.25">
      <c r="A136" s="101" t="str">
        <f>'Data shares'!C132</f>
        <v>MFSL</v>
      </c>
      <c r="B136" s="144">
        <f>VLOOKUP($A136,'Data shares'!$C:$FA,7)</f>
        <v>1663.9</v>
      </c>
      <c r="C136" s="144">
        <f>VLOOKUP($A136,'Data shares'!$C:$FA,3)</f>
        <v>1668.5</v>
      </c>
      <c r="D136" s="144">
        <f>VLOOKUP($A136,'Data shares'!$C:$FA,23)</f>
        <v>4.5999999999999996</v>
      </c>
      <c r="E136" s="145">
        <f>VLOOKUP($A136,'Data shares'!$C:$FA,26)*100</f>
        <v>0.27999999999999997</v>
      </c>
      <c r="F136" s="144">
        <f>VLOOKUP($A136,'Data shares'!$C:$FA,24)</f>
        <v>6.2</v>
      </c>
      <c r="G136" s="144">
        <f>VLOOKUP($A136,'Data shares'!$C:$FA,25)</f>
        <v>-1.6</v>
      </c>
    </row>
    <row r="137" spans="1:7" x14ac:dyDescent="0.25">
      <c r="A137" s="101" t="str">
        <f>'Data shares'!C133</f>
        <v>MIDCPNIFTY</v>
      </c>
      <c r="B137" s="144">
        <f>VLOOKUP($A137,'Data shares'!$C:$FA,7)</f>
        <v>13652.3</v>
      </c>
      <c r="C137" s="144">
        <f>VLOOKUP($A137,'Data shares'!$C:$FA,3)</f>
        <v>13686.05</v>
      </c>
      <c r="D137" s="144">
        <f>VLOOKUP($A137,'Data shares'!$C:$FA,23)</f>
        <v>33.75</v>
      </c>
      <c r="E137" s="145">
        <f>VLOOKUP($A137,'Data shares'!$C:$FA,26)*100</f>
        <v>0.25</v>
      </c>
      <c r="F137" s="144">
        <f>VLOOKUP($A137,'Data shares'!$C:$FA,24)</f>
        <v>28.85</v>
      </c>
      <c r="G137" s="144">
        <f>VLOOKUP($A137,'Data shares'!$C:$FA,25)</f>
        <v>4.9000000000000004</v>
      </c>
    </row>
    <row r="138" spans="1:7" x14ac:dyDescent="0.25">
      <c r="A138" s="101" t="str">
        <f>'Data shares'!C134</f>
        <v>MOTHERSON</v>
      </c>
      <c r="B138" s="144">
        <f>VLOOKUP($A138,'Data shares'!$C:$FA,7)</f>
        <v>119.56</v>
      </c>
      <c r="C138" s="144">
        <f>VLOOKUP($A138,'Data shares'!$C:$FA,3)</f>
        <v>119.73</v>
      </c>
      <c r="D138" s="144">
        <f>VLOOKUP($A138,'Data shares'!$C:$FA,23)</f>
        <v>0.17</v>
      </c>
      <c r="E138" s="145">
        <f>VLOOKUP($A138,'Data shares'!$C:$FA,26)*100</f>
        <v>0.13999999999999999</v>
      </c>
      <c r="F138" s="144">
        <f>VLOOKUP($A138,'Data shares'!$C:$FA,24)</f>
        <v>0.4</v>
      </c>
      <c r="G138" s="144">
        <f>VLOOKUP($A138,'Data shares'!$C:$FA,25)</f>
        <v>-0.23</v>
      </c>
    </row>
    <row r="139" spans="1:7" x14ac:dyDescent="0.25">
      <c r="A139" s="101" t="str">
        <f>'Data shares'!C135</f>
        <v>MPHASIS</v>
      </c>
      <c r="B139" s="144">
        <f>VLOOKUP($A139,'Data shares'!$C:$FA,7)</f>
        <v>2865.3</v>
      </c>
      <c r="C139" s="144">
        <f>VLOOKUP($A139,'Data shares'!$C:$FA,3)</f>
        <v>2868.4</v>
      </c>
      <c r="D139" s="144">
        <f>VLOOKUP($A139,'Data shares'!$C:$FA,23)</f>
        <v>3.1</v>
      </c>
      <c r="E139" s="145">
        <f>VLOOKUP($A139,'Data shares'!$C:$FA,26)*100</f>
        <v>0.11</v>
      </c>
      <c r="F139" s="144">
        <f>VLOOKUP($A139,'Data shares'!$C:$FA,24)</f>
        <v>3.8</v>
      </c>
      <c r="G139" s="144">
        <f>VLOOKUP($A139,'Data shares'!$C:$FA,25)</f>
        <v>-0.7</v>
      </c>
    </row>
    <row r="140" spans="1:7" x14ac:dyDescent="0.25">
      <c r="A140" s="101" t="str">
        <f>'Data shares'!C136</f>
        <v>MUTHOOTFIN</v>
      </c>
      <c r="B140" s="144">
        <f>VLOOKUP($A140,'Data shares'!$C:$FA,7)</f>
        <v>3766.5</v>
      </c>
      <c r="C140" s="144">
        <f>VLOOKUP($A140,'Data shares'!$C:$FA,3)</f>
        <v>3769.2</v>
      </c>
      <c r="D140" s="144">
        <f>VLOOKUP($A140,'Data shares'!$C:$FA,23)</f>
        <v>2.7</v>
      </c>
      <c r="E140" s="145">
        <f>VLOOKUP($A140,'Data shares'!$C:$FA,26)*100</f>
        <v>6.9999999999999993E-2</v>
      </c>
      <c r="F140" s="144">
        <f>VLOOKUP($A140,'Data shares'!$C:$FA,24)</f>
        <v>3.4</v>
      </c>
      <c r="G140" s="144">
        <f>VLOOKUP($A140,'Data shares'!$C:$FA,25)</f>
        <v>-0.7</v>
      </c>
    </row>
    <row r="141" spans="1:7" x14ac:dyDescent="0.25">
      <c r="A141" s="101" t="str">
        <f>'Data shares'!C137</f>
        <v>NATIONALUM</v>
      </c>
      <c r="B141" s="144">
        <f>VLOOKUP($A141,'Data shares'!$C:$FA,7)</f>
        <v>279.45</v>
      </c>
      <c r="C141" s="144">
        <f>VLOOKUP($A141,'Data shares'!$C:$FA,3)</f>
        <v>279.7</v>
      </c>
      <c r="D141" s="144">
        <f>VLOOKUP($A141,'Data shares'!$C:$FA,23)</f>
        <v>0.25</v>
      </c>
      <c r="E141" s="145">
        <f>VLOOKUP($A141,'Data shares'!$C:$FA,26)*100</f>
        <v>0.09</v>
      </c>
      <c r="F141" s="144">
        <f>VLOOKUP($A141,'Data shares'!$C:$FA,24)</f>
        <v>0.25</v>
      </c>
      <c r="G141" s="144">
        <f>VLOOKUP($A141,'Data shares'!$C:$FA,25)</f>
        <v>0</v>
      </c>
    </row>
    <row r="142" spans="1:7" x14ac:dyDescent="0.25">
      <c r="A142" s="101" t="str">
        <f>'Data shares'!C138</f>
        <v>NAUKRI</v>
      </c>
      <c r="B142" s="144">
        <f>VLOOKUP($A142,'Data shares'!$C:$FA,7)</f>
        <v>1338.2</v>
      </c>
      <c r="C142" s="144">
        <f>VLOOKUP($A142,'Data shares'!$C:$FA,3)</f>
        <v>1343.2</v>
      </c>
      <c r="D142" s="144">
        <f>VLOOKUP($A142,'Data shares'!$C:$FA,23)</f>
        <v>5</v>
      </c>
      <c r="E142" s="145">
        <f>VLOOKUP($A142,'Data shares'!$C:$FA,26)*100</f>
        <v>0.37</v>
      </c>
      <c r="F142" s="144">
        <f>VLOOKUP($A142,'Data shares'!$C:$FA,24)</f>
        <v>2</v>
      </c>
      <c r="G142" s="144">
        <f>VLOOKUP($A142,'Data shares'!$C:$FA,25)</f>
        <v>3</v>
      </c>
    </row>
    <row r="143" spans="1:7" x14ac:dyDescent="0.25">
      <c r="A143" s="101" t="str">
        <f>'Data shares'!C139</f>
        <v>NBCC</v>
      </c>
      <c r="B143" s="144">
        <f>VLOOKUP($A143,'Data shares'!$C:$FA,7)</f>
        <v>109.56</v>
      </c>
      <c r="C143" s="144">
        <f>VLOOKUP($A143,'Data shares'!$C:$FA,3)</f>
        <v>109.71</v>
      </c>
      <c r="D143" s="144">
        <f>VLOOKUP($A143,'Data shares'!$C:$FA,23)</f>
        <v>0.15</v>
      </c>
      <c r="E143" s="145">
        <f>VLOOKUP($A143,'Data shares'!$C:$FA,26)*100</f>
        <v>0.13999999999999999</v>
      </c>
      <c r="F143" s="144">
        <f>VLOOKUP($A143,'Data shares'!$C:$FA,24)</f>
        <v>0.08</v>
      </c>
      <c r="G143" s="144">
        <f>VLOOKUP($A143,'Data shares'!$C:$FA,25)</f>
        <v>7.0000000000000007E-2</v>
      </c>
    </row>
    <row r="144" spans="1:7" x14ac:dyDescent="0.25">
      <c r="A144" s="101" t="str">
        <f>'Data shares'!C140</f>
        <v>NCC</v>
      </c>
      <c r="B144" s="144">
        <f>VLOOKUP($A144,'Data shares'!$C:$FA,7)</f>
        <v>155.32</v>
      </c>
      <c r="C144" s="144">
        <f>VLOOKUP($A144,'Data shares'!$C:$FA,3)</f>
        <v>155.97</v>
      </c>
      <c r="D144" s="144">
        <f>VLOOKUP($A144,'Data shares'!$C:$FA,23)</f>
        <v>0.65</v>
      </c>
      <c r="E144" s="145">
        <f>VLOOKUP($A144,'Data shares'!$C:$FA,26)*100</f>
        <v>0.42</v>
      </c>
      <c r="F144" s="144">
        <f>VLOOKUP($A144,'Data shares'!$C:$FA,24)</f>
        <v>7.0000000000000007E-2</v>
      </c>
      <c r="G144" s="144">
        <f>VLOOKUP($A144,'Data shares'!$C:$FA,25)</f>
        <v>0.57999999999999996</v>
      </c>
    </row>
    <row r="145" spans="1:7" x14ac:dyDescent="0.25">
      <c r="A145" s="101" t="str">
        <f>'Data shares'!C141</f>
        <v>NESTLEIND</v>
      </c>
      <c r="B145" s="144">
        <f>VLOOKUP($A145,'Data shares'!$C:$FA,7)</f>
        <v>1234.5999999999999</v>
      </c>
      <c r="C145" s="144">
        <f>VLOOKUP($A145,'Data shares'!$C:$FA,3)</f>
        <v>1235.9000000000001</v>
      </c>
      <c r="D145" s="144">
        <f>VLOOKUP($A145,'Data shares'!$C:$FA,23)</f>
        <v>1.3</v>
      </c>
      <c r="E145" s="145">
        <f>VLOOKUP($A145,'Data shares'!$C:$FA,26)*100</f>
        <v>0.11</v>
      </c>
      <c r="F145" s="144">
        <f>VLOOKUP($A145,'Data shares'!$C:$FA,24)</f>
        <v>3.8</v>
      </c>
      <c r="G145" s="144">
        <f>VLOOKUP($A145,'Data shares'!$C:$FA,25)</f>
        <v>-2.5</v>
      </c>
    </row>
    <row r="146" spans="1:7" x14ac:dyDescent="0.25">
      <c r="A146" s="101" t="str">
        <f>'Data shares'!C142</f>
        <v>NHPC</v>
      </c>
      <c r="B146" s="144">
        <f>VLOOKUP($A146,'Data shares'!$C:$FA,7)</f>
        <v>75.39</v>
      </c>
      <c r="C146" s="144">
        <f>VLOOKUP($A146,'Data shares'!$C:$FA,3)</f>
        <v>75.569999999999993</v>
      </c>
      <c r="D146" s="144">
        <f>VLOOKUP($A146,'Data shares'!$C:$FA,23)</f>
        <v>0.18</v>
      </c>
      <c r="E146" s="145">
        <f>VLOOKUP($A146,'Data shares'!$C:$FA,26)*100</f>
        <v>0.24</v>
      </c>
      <c r="F146" s="144">
        <f>VLOOKUP($A146,'Data shares'!$C:$FA,24)</f>
        <v>-0.04</v>
      </c>
      <c r="G146" s="144">
        <f>VLOOKUP($A146,'Data shares'!$C:$FA,25)</f>
        <v>0.22</v>
      </c>
    </row>
    <row r="147" spans="1:7" x14ac:dyDescent="0.25">
      <c r="A147" s="101" t="str">
        <f>'Data shares'!C143</f>
        <v>NIFTY</v>
      </c>
      <c r="B147" s="144">
        <f>VLOOKUP($A147,'Data shares'!$C:$FA,7)</f>
        <v>25818.55</v>
      </c>
      <c r="C147" s="144">
        <f>VLOOKUP($A147,'Data shares'!$C:$FA,3)</f>
        <v>25897.8</v>
      </c>
      <c r="D147" s="144">
        <f>VLOOKUP($A147,'Data shares'!$C:$FA,23)</f>
        <v>79.25</v>
      </c>
      <c r="E147" s="145">
        <f>VLOOKUP($A147,'Data shares'!$C:$FA,26)*100</f>
        <v>0.31</v>
      </c>
      <c r="F147" s="144">
        <f>VLOOKUP($A147,'Data shares'!$C:$FA,24)</f>
        <v>80.599999999999994</v>
      </c>
      <c r="G147" s="144">
        <f>VLOOKUP($A147,'Data shares'!$C:$FA,25)</f>
        <v>-1.35</v>
      </c>
    </row>
    <row r="148" spans="1:7" x14ac:dyDescent="0.25">
      <c r="A148" s="101" t="str">
        <f>'Data shares'!C144</f>
        <v>NIFTYNXT50</v>
      </c>
      <c r="B148" s="144">
        <f>VLOOKUP($A148,'Data shares'!$C:$FA,7)</f>
        <v>68076.850000000006</v>
      </c>
      <c r="C148" s="144">
        <f>VLOOKUP($A148,'Data shares'!$C:$FA,3)</f>
        <v>68220</v>
      </c>
      <c r="D148" s="144">
        <f>VLOOKUP($A148,'Data shares'!$C:$FA,23)</f>
        <v>143.15</v>
      </c>
      <c r="E148" s="145">
        <f>VLOOKUP($A148,'Data shares'!$C:$FA,26)*100</f>
        <v>0.21</v>
      </c>
      <c r="F148" s="144">
        <f>VLOOKUP($A148,'Data shares'!$C:$FA,24)</f>
        <v>154.80000000000001</v>
      </c>
      <c r="G148" s="144">
        <f>VLOOKUP($A148,'Data shares'!$C:$FA,25)</f>
        <v>-11.65</v>
      </c>
    </row>
    <row r="149" spans="1:7" x14ac:dyDescent="0.25">
      <c r="A149" s="101" t="str">
        <f>'Data shares'!C145</f>
        <v>NMDC</v>
      </c>
      <c r="B149" s="144">
        <f>VLOOKUP($A149,'Data shares'!$C:$FA,7)</f>
        <v>77.28</v>
      </c>
      <c r="C149" s="144">
        <f>VLOOKUP($A149,'Data shares'!$C:$FA,3)</f>
        <v>77.349999999999994</v>
      </c>
      <c r="D149" s="144">
        <f>VLOOKUP($A149,'Data shares'!$C:$FA,23)</f>
        <v>7.0000000000000007E-2</v>
      </c>
      <c r="E149" s="145">
        <f>VLOOKUP($A149,'Data shares'!$C:$FA,26)*100</f>
        <v>0.09</v>
      </c>
      <c r="F149" s="144">
        <f>VLOOKUP($A149,'Data shares'!$C:$FA,24)</f>
        <v>0.16</v>
      </c>
      <c r="G149" s="144">
        <f>VLOOKUP($A149,'Data shares'!$C:$FA,25)</f>
        <v>-0.09</v>
      </c>
    </row>
    <row r="150" spans="1:7" x14ac:dyDescent="0.25">
      <c r="A150" s="101" t="str">
        <f>'Data shares'!C146</f>
        <v>NTPC</v>
      </c>
      <c r="B150" s="144">
        <f>VLOOKUP($A150,'Data shares'!$C:$FA,7)</f>
        <v>321.25</v>
      </c>
      <c r="C150" s="144">
        <f>VLOOKUP($A150,'Data shares'!$C:$FA,3)</f>
        <v>321.5</v>
      </c>
      <c r="D150" s="144">
        <f>VLOOKUP($A150,'Data shares'!$C:$FA,23)</f>
        <v>0.25</v>
      </c>
      <c r="E150" s="145">
        <f>VLOOKUP($A150,'Data shares'!$C:$FA,26)*100</f>
        <v>0.08</v>
      </c>
      <c r="F150" s="144">
        <f>VLOOKUP($A150,'Data shares'!$C:$FA,24)</f>
        <v>0.3</v>
      </c>
      <c r="G150" s="144">
        <f>VLOOKUP($A150,'Data shares'!$C:$FA,25)</f>
        <v>-0.05</v>
      </c>
    </row>
    <row r="151" spans="1:7" x14ac:dyDescent="0.25">
      <c r="A151" s="101" t="str">
        <f>'Data shares'!C147</f>
        <v>NUVAMA</v>
      </c>
      <c r="B151" s="144">
        <f>VLOOKUP($A151,'Data shares'!$C:$FA,7)</f>
        <v>7171</v>
      </c>
      <c r="C151" s="144">
        <f>VLOOKUP($A151,'Data shares'!$C:$FA,3)</f>
        <v>7201.5</v>
      </c>
      <c r="D151" s="144">
        <f>VLOOKUP($A151,'Data shares'!$C:$FA,23)</f>
        <v>30.5</v>
      </c>
      <c r="E151" s="145">
        <f>VLOOKUP($A151,'Data shares'!$C:$FA,26)*100</f>
        <v>0.43</v>
      </c>
      <c r="F151" s="144">
        <f>VLOOKUP($A151,'Data shares'!$C:$FA,24)</f>
        <v>24</v>
      </c>
      <c r="G151" s="144">
        <f>VLOOKUP($A151,'Data shares'!$C:$FA,25)</f>
        <v>6.5</v>
      </c>
    </row>
    <row r="152" spans="1:7" x14ac:dyDescent="0.25">
      <c r="A152" s="101" t="str">
        <f>'Data shares'!C148</f>
        <v>NYKAA</v>
      </c>
      <c r="B152" s="144">
        <f>VLOOKUP($A152,'Data shares'!$C:$FA,7)</f>
        <v>245.1</v>
      </c>
      <c r="C152" s="144">
        <f>VLOOKUP($A152,'Data shares'!$C:$FA,3)</f>
        <v>246.05</v>
      </c>
      <c r="D152" s="144">
        <f>VLOOKUP($A152,'Data shares'!$C:$FA,23)</f>
        <v>0.95</v>
      </c>
      <c r="E152" s="145">
        <f>VLOOKUP($A152,'Data shares'!$C:$FA,26)*100</f>
        <v>0.38999999999999996</v>
      </c>
      <c r="F152" s="144">
        <f>VLOOKUP($A152,'Data shares'!$C:$FA,24)</f>
        <v>0.35</v>
      </c>
      <c r="G152" s="144">
        <f>VLOOKUP($A152,'Data shares'!$C:$FA,25)</f>
        <v>0.6</v>
      </c>
    </row>
    <row r="153" spans="1:7" x14ac:dyDescent="0.25">
      <c r="A153" s="101" t="str">
        <f>'Data shares'!C149</f>
        <v>OBEROIRLTY</v>
      </c>
      <c r="B153" s="144">
        <f>VLOOKUP($A153,'Data shares'!$C:$FA,7)</f>
        <v>1609.9</v>
      </c>
      <c r="C153" s="144">
        <f>VLOOKUP($A153,'Data shares'!$C:$FA,3)</f>
        <v>1609.6</v>
      </c>
      <c r="D153" s="144">
        <f>VLOOKUP($A153,'Data shares'!$C:$FA,23)</f>
        <v>-0.3</v>
      </c>
      <c r="E153" s="145">
        <f>VLOOKUP($A153,'Data shares'!$C:$FA,26)*100</f>
        <v>-0.02</v>
      </c>
      <c r="F153" s="144">
        <f>VLOOKUP($A153,'Data shares'!$C:$FA,24)</f>
        <v>1.5</v>
      </c>
      <c r="G153" s="144">
        <f>VLOOKUP($A153,'Data shares'!$C:$FA,25)</f>
        <v>-1.8</v>
      </c>
    </row>
    <row r="154" spans="1:7" x14ac:dyDescent="0.25">
      <c r="A154" s="101" t="str">
        <f>'Data shares'!C150</f>
        <v>OFSS</v>
      </c>
      <c r="B154" s="144">
        <f>VLOOKUP($A154,'Data shares'!$C:$FA,7)</f>
        <v>7712.5</v>
      </c>
      <c r="C154" s="144">
        <f>VLOOKUP($A154,'Data shares'!$C:$FA,3)</f>
        <v>7727.5</v>
      </c>
      <c r="D154" s="144">
        <f>VLOOKUP($A154,'Data shares'!$C:$FA,23)</f>
        <v>15</v>
      </c>
      <c r="E154" s="145">
        <f>VLOOKUP($A154,'Data shares'!$C:$FA,26)*100</f>
        <v>0.19</v>
      </c>
      <c r="F154" s="144">
        <f>VLOOKUP($A154,'Data shares'!$C:$FA,24)</f>
        <v>14</v>
      </c>
      <c r="G154" s="144">
        <f>VLOOKUP($A154,'Data shares'!$C:$FA,25)</f>
        <v>1</v>
      </c>
    </row>
    <row r="155" spans="1:7" x14ac:dyDescent="0.25">
      <c r="A155" s="101" t="str">
        <f>'Data shares'!C151</f>
        <v>OIL</v>
      </c>
      <c r="B155" s="144">
        <f>VLOOKUP($A155,'Data shares'!$C:$FA,7)</f>
        <v>398.15</v>
      </c>
      <c r="C155" s="144">
        <f>VLOOKUP($A155,'Data shares'!$C:$FA,3)</f>
        <v>398.25</v>
      </c>
      <c r="D155" s="144">
        <f>VLOOKUP($A155,'Data shares'!$C:$FA,23)</f>
        <v>0.1</v>
      </c>
      <c r="E155" s="145">
        <f>VLOOKUP($A155,'Data shares'!$C:$FA,26)*100</f>
        <v>0.03</v>
      </c>
      <c r="F155" s="144">
        <f>VLOOKUP($A155,'Data shares'!$C:$FA,24)</f>
        <v>0.35</v>
      </c>
      <c r="G155" s="144">
        <f>VLOOKUP($A155,'Data shares'!$C:$FA,25)</f>
        <v>-0.25</v>
      </c>
    </row>
    <row r="156" spans="1:7" x14ac:dyDescent="0.25">
      <c r="A156" s="101" t="str">
        <f>'Data shares'!C152</f>
        <v>ONGC</v>
      </c>
      <c r="B156" s="144">
        <f>VLOOKUP($A156,'Data shares'!$C:$FA,7)</f>
        <v>232.91</v>
      </c>
      <c r="C156" s="144">
        <f>VLOOKUP($A156,'Data shares'!$C:$FA,3)</f>
        <v>233.14</v>
      </c>
      <c r="D156" s="144">
        <f>VLOOKUP($A156,'Data shares'!$C:$FA,23)</f>
        <v>0.23</v>
      </c>
      <c r="E156" s="145">
        <f>VLOOKUP($A156,'Data shares'!$C:$FA,26)*100</f>
        <v>0.1</v>
      </c>
      <c r="F156" s="144">
        <f>VLOOKUP($A156,'Data shares'!$C:$FA,24)</f>
        <v>0.54</v>
      </c>
      <c r="G156" s="144">
        <f>VLOOKUP($A156,'Data shares'!$C:$FA,25)</f>
        <v>-0.31</v>
      </c>
    </row>
    <row r="157" spans="1:7" x14ac:dyDescent="0.25">
      <c r="A157" s="101" t="str">
        <f>'Data shares'!C153</f>
        <v>PAGEIND</v>
      </c>
      <c r="B157" s="144">
        <f>VLOOKUP($A157,'Data shares'!$C:$FA,7)</f>
        <v>36055</v>
      </c>
      <c r="C157" s="144">
        <f>VLOOKUP($A157,'Data shares'!$C:$FA,3)</f>
        <v>36085</v>
      </c>
      <c r="D157" s="144">
        <f>VLOOKUP($A157,'Data shares'!$C:$FA,23)</f>
        <v>30</v>
      </c>
      <c r="E157" s="145">
        <f>VLOOKUP($A157,'Data shares'!$C:$FA,26)*100</f>
        <v>0.08</v>
      </c>
      <c r="F157" s="144">
        <f>VLOOKUP($A157,'Data shares'!$C:$FA,24)</f>
        <v>140</v>
      </c>
      <c r="G157" s="144">
        <f>VLOOKUP($A157,'Data shares'!$C:$FA,25)</f>
        <v>-110</v>
      </c>
    </row>
    <row r="158" spans="1:7" x14ac:dyDescent="0.25">
      <c r="A158" s="101" t="str">
        <f>'Data shares'!C154</f>
        <v>PATANJALI</v>
      </c>
      <c r="B158" s="144">
        <f>VLOOKUP($A158,'Data shares'!$C:$FA,7)</f>
        <v>543.9</v>
      </c>
      <c r="C158" s="144">
        <f>VLOOKUP($A158,'Data shares'!$C:$FA,3)</f>
        <v>544.6</v>
      </c>
      <c r="D158" s="144">
        <f>VLOOKUP($A158,'Data shares'!$C:$FA,23)</f>
        <v>0.7</v>
      </c>
      <c r="E158" s="145">
        <f>VLOOKUP($A158,'Data shares'!$C:$FA,26)*100</f>
        <v>0.13</v>
      </c>
      <c r="F158" s="144">
        <f>VLOOKUP($A158,'Data shares'!$C:$FA,24)</f>
        <v>1.65</v>
      </c>
      <c r="G158" s="144">
        <f>VLOOKUP($A158,'Data shares'!$C:$FA,25)</f>
        <v>-0.95</v>
      </c>
    </row>
    <row r="159" spans="1:7" x14ac:dyDescent="0.25">
      <c r="A159" s="101" t="str">
        <f>'Data shares'!C155</f>
        <v>PAYTM</v>
      </c>
      <c r="B159" s="144">
        <f>VLOOKUP($A159,'Data shares'!$C:$FA,7)</f>
        <v>1268.5999999999999</v>
      </c>
      <c r="C159" s="144">
        <f>VLOOKUP($A159,'Data shares'!$C:$FA,3)</f>
        <v>1272.7</v>
      </c>
      <c r="D159" s="144">
        <f>VLOOKUP($A159,'Data shares'!$C:$FA,23)</f>
        <v>4.0999999999999996</v>
      </c>
      <c r="E159" s="145">
        <f>VLOOKUP($A159,'Data shares'!$C:$FA,26)*100</f>
        <v>0.32</v>
      </c>
      <c r="F159" s="144">
        <f>VLOOKUP($A159,'Data shares'!$C:$FA,24)</f>
        <v>0.7</v>
      </c>
      <c r="G159" s="144">
        <f>VLOOKUP($A159,'Data shares'!$C:$FA,25)</f>
        <v>3.4</v>
      </c>
    </row>
    <row r="160" spans="1:7" x14ac:dyDescent="0.25">
      <c r="A160" s="101" t="str">
        <f>'Data shares'!C156</f>
        <v>PERSISTENT</v>
      </c>
      <c r="B160" s="144">
        <f>VLOOKUP($A160,'Data shares'!$C:$FA,7)</f>
        <v>6282.5</v>
      </c>
      <c r="C160" s="144">
        <f>VLOOKUP($A160,'Data shares'!$C:$FA,3)</f>
        <v>6289</v>
      </c>
      <c r="D160" s="144">
        <f>VLOOKUP($A160,'Data shares'!$C:$FA,23)</f>
        <v>6.5</v>
      </c>
      <c r="E160" s="145">
        <f>VLOOKUP($A160,'Data shares'!$C:$FA,26)*100</f>
        <v>0.1</v>
      </c>
      <c r="F160" s="144">
        <f>VLOOKUP($A160,'Data shares'!$C:$FA,24)</f>
        <v>3.5</v>
      </c>
      <c r="G160" s="144">
        <f>VLOOKUP($A160,'Data shares'!$C:$FA,25)</f>
        <v>3</v>
      </c>
    </row>
    <row r="161" spans="1:7" x14ac:dyDescent="0.25">
      <c r="A161" s="101" t="str">
        <f>'Data shares'!C157</f>
        <v>PETRONET</v>
      </c>
      <c r="B161" s="144">
        <f>VLOOKUP($A161,'Data shares'!$C:$FA,7)</f>
        <v>268.64999999999998</v>
      </c>
      <c r="C161" s="144">
        <f>VLOOKUP($A161,'Data shares'!$C:$FA,3)</f>
        <v>269.45</v>
      </c>
      <c r="D161" s="144">
        <f>VLOOKUP($A161,'Data shares'!$C:$FA,23)</f>
        <v>0.8</v>
      </c>
      <c r="E161" s="145">
        <f>VLOOKUP($A161,'Data shares'!$C:$FA,26)*100</f>
        <v>0.3</v>
      </c>
      <c r="F161" s="144">
        <f>VLOOKUP($A161,'Data shares'!$C:$FA,24)</f>
        <v>0.7</v>
      </c>
      <c r="G161" s="144">
        <f>VLOOKUP($A161,'Data shares'!$C:$FA,25)</f>
        <v>0.1</v>
      </c>
    </row>
    <row r="162" spans="1:7" x14ac:dyDescent="0.25">
      <c r="A162" s="101" t="str">
        <f>'Data shares'!C158</f>
        <v>PFC</v>
      </c>
      <c r="B162" s="144">
        <f>VLOOKUP($A162,'Data shares'!$C:$FA,7)</f>
        <v>335.65</v>
      </c>
      <c r="C162" s="144">
        <f>VLOOKUP($A162,'Data shares'!$C:$FA,3)</f>
        <v>336.75</v>
      </c>
      <c r="D162" s="144">
        <f>VLOOKUP($A162,'Data shares'!$C:$FA,23)</f>
        <v>1.1000000000000001</v>
      </c>
      <c r="E162" s="145">
        <f>VLOOKUP($A162,'Data shares'!$C:$FA,26)*100</f>
        <v>0.33</v>
      </c>
      <c r="F162" s="144">
        <f>VLOOKUP($A162,'Data shares'!$C:$FA,24)</f>
        <v>1</v>
      </c>
      <c r="G162" s="144">
        <f>VLOOKUP($A162,'Data shares'!$C:$FA,25)</f>
        <v>0.1</v>
      </c>
    </row>
    <row r="163" spans="1:7" x14ac:dyDescent="0.25">
      <c r="A163" s="101" t="str">
        <f>'Data shares'!C159</f>
        <v>PGEL</v>
      </c>
      <c r="B163" s="144">
        <f>VLOOKUP($A163,'Data shares'!$C:$FA,7)</f>
        <v>563.75</v>
      </c>
      <c r="C163" s="144">
        <f>VLOOKUP($A163,'Data shares'!$C:$FA,3)</f>
        <v>563.65</v>
      </c>
      <c r="D163" s="144">
        <f>VLOOKUP($A163,'Data shares'!$C:$FA,23)</f>
        <v>-0.1</v>
      </c>
      <c r="E163" s="145">
        <f>VLOOKUP($A163,'Data shares'!$C:$FA,26)*100</f>
        <v>-0.02</v>
      </c>
      <c r="F163" s="144">
        <f>VLOOKUP($A163,'Data shares'!$C:$FA,24)</f>
        <v>-0.4</v>
      </c>
      <c r="G163" s="144">
        <f>VLOOKUP($A163,'Data shares'!$C:$FA,25)</f>
        <v>0.3</v>
      </c>
    </row>
    <row r="164" spans="1:7" x14ac:dyDescent="0.25">
      <c r="A164" s="101" t="str">
        <f>'Data shares'!C160</f>
        <v>PHOENIXLTD</v>
      </c>
      <c r="B164" s="144">
        <f>VLOOKUP($A164,'Data shares'!$C:$FA,7)</f>
        <v>1781.5</v>
      </c>
      <c r="C164" s="144">
        <f>VLOOKUP($A164,'Data shares'!$C:$FA,3)</f>
        <v>1782.5</v>
      </c>
      <c r="D164" s="144">
        <f>VLOOKUP($A164,'Data shares'!$C:$FA,23)</f>
        <v>1</v>
      </c>
      <c r="E164" s="145">
        <f>VLOOKUP($A164,'Data shares'!$C:$FA,26)*100</f>
        <v>0.06</v>
      </c>
      <c r="F164" s="144">
        <f>VLOOKUP($A164,'Data shares'!$C:$FA,24)</f>
        <v>1.8</v>
      </c>
      <c r="G164" s="144">
        <f>VLOOKUP($A164,'Data shares'!$C:$FA,25)</f>
        <v>-0.8</v>
      </c>
    </row>
    <row r="165" spans="1:7" x14ac:dyDescent="0.25">
      <c r="A165" s="101" t="str">
        <f>'Data shares'!C161</f>
        <v>PIDILITIND</v>
      </c>
      <c r="B165" s="144">
        <f>VLOOKUP($A165,'Data shares'!$C:$FA,7)</f>
        <v>1450.7</v>
      </c>
      <c r="C165" s="144">
        <f>VLOOKUP($A165,'Data shares'!$C:$FA,3)</f>
        <v>1452.6</v>
      </c>
      <c r="D165" s="144">
        <f>VLOOKUP($A165,'Data shares'!$C:$FA,23)</f>
        <v>1.9</v>
      </c>
      <c r="E165" s="145">
        <f>VLOOKUP($A165,'Data shares'!$C:$FA,26)*100</f>
        <v>0.13</v>
      </c>
      <c r="F165" s="144">
        <f>VLOOKUP($A165,'Data shares'!$C:$FA,24)</f>
        <v>0.7</v>
      </c>
      <c r="G165" s="144">
        <f>VLOOKUP($A165,'Data shares'!$C:$FA,25)</f>
        <v>1.2</v>
      </c>
    </row>
    <row r="166" spans="1:7" x14ac:dyDescent="0.25">
      <c r="A166" s="101" t="str">
        <f>'Data shares'!C162</f>
        <v>PIIND</v>
      </c>
      <c r="B166" s="144">
        <f>VLOOKUP($A166,'Data shares'!$C:$FA,7)</f>
        <v>3206.2</v>
      </c>
      <c r="C166" s="144">
        <f>VLOOKUP($A166,'Data shares'!$C:$FA,3)</f>
        <v>3216.6</v>
      </c>
      <c r="D166" s="144">
        <f>VLOOKUP($A166,'Data shares'!$C:$FA,23)</f>
        <v>10.4</v>
      </c>
      <c r="E166" s="145">
        <f>VLOOKUP($A166,'Data shares'!$C:$FA,26)*100</f>
        <v>0.32</v>
      </c>
      <c r="F166" s="144">
        <f>VLOOKUP($A166,'Data shares'!$C:$FA,24)</f>
        <v>10.7</v>
      </c>
      <c r="G166" s="144">
        <f>VLOOKUP($A166,'Data shares'!$C:$FA,25)</f>
        <v>-0.3</v>
      </c>
    </row>
    <row r="167" spans="1:7" x14ac:dyDescent="0.25">
      <c r="A167" s="101" t="str">
        <f>'Data shares'!C163</f>
        <v>PNB</v>
      </c>
      <c r="B167" s="144">
        <f>VLOOKUP($A167,'Data shares'!$C:$FA,7)</f>
        <v>119.33</v>
      </c>
      <c r="C167" s="144">
        <f>VLOOKUP($A167,'Data shares'!$C:$FA,3)</f>
        <v>119.75</v>
      </c>
      <c r="D167" s="144">
        <f>VLOOKUP($A167,'Data shares'!$C:$FA,23)</f>
        <v>0.42</v>
      </c>
      <c r="E167" s="145">
        <f>VLOOKUP($A167,'Data shares'!$C:$FA,26)*100</f>
        <v>0.35000000000000003</v>
      </c>
      <c r="F167" s="144">
        <f>VLOOKUP($A167,'Data shares'!$C:$FA,24)</f>
        <v>0.37</v>
      </c>
      <c r="G167" s="144">
        <f>VLOOKUP($A167,'Data shares'!$C:$FA,25)</f>
        <v>0.05</v>
      </c>
    </row>
    <row r="168" spans="1:7" s="175" customFormat="1" x14ac:dyDescent="0.25">
      <c r="A168" s="101" t="str">
        <f>'Data shares'!C164</f>
        <v>PNBHOUSING</v>
      </c>
      <c r="B168" s="144">
        <f>VLOOKUP($A168,'Data shares'!$C:$FA,7)</f>
        <v>894.85</v>
      </c>
      <c r="C168" s="144">
        <f>VLOOKUP($A168,'Data shares'!$C:$FA,3)</f>
        <v>897.8</v>
      </c>
      <c r="D168" s="144">
        <f>VLOOKUP($A168,'Data shares'!$C:$FA,23)</f>
        <v>2.95</v>
      </c>
      <c r="E168" s="145">
        <f>VLOOKUP($A168,'Data shares'!$C:$FA,26)*100</f>
        <v>0.33</v>
      </c>
      <c r="F168" s="144">
        <f>VLOOKUP($A168,'Data shares'!$C:$FA,24)</f>
        <v>0.1</v>
      </c>
      <c r="G168" s="144">
        <f>VLOOKUP($A168,'Data shares'!$C:$FA,25)</f>
        <v>2.85</v>
      </c>
    </row>
    <row r="169" spans="1:7" x14ac:dyDescent="0.25">
      <c r="A169" s="101" t="str">
        <f>'Data shares'!C165</f>
        <v>POLICYBZR</v>
      </c>
      <c r="B169" s="144">
        <f>VLOOKUP($A169,'Data shares'!$C:$FA,7)</f>
        <v>1765</v>
      </c>
      <c r="C169" s="144">
        <f>VLOOKUP($A169,'Data shares'!$C:$FA,3)</f>
        <v>1770.4</v>
      </c>
      <c r="D169" s="144">
        <f>VLOOKUP($A169,'Data shares'!$C:$FA,23)</f>
        <v>5.4</v>
      </c>
      <c r="E169" s="145">
        <f>VLOOKUP($A169,'Data shares'!$C:$FA,26)*100</f>
        <v>0.31</v>
      </c>
      <c r="F169" s="144">
        <f>VLOOKUP($A169,'Data shares'!$C:$FA,24)</f>
        <v>2.8</v>
      </c>
      <c r="G169" s="144">
        <f>VLOOKUP($A169,'Data shares'!$C:$FA,25)</f>
        <v>2.6</v>
      </c>
    </row>
    <row r="170" spans="1:7" x14ac:dyDescent="0.25">
      <c r="A170" s="101" t="str">
        <f>'Data shares'!C166</f>
        <v>POLYCAB</v>
      </c>
      <c r="B170" s="144">
        <f>VLOOKUP($A170,'Data shares'!$C:$FA,7)</f>
        <v>7079.5</v>
      </c>
      <c r="C170" s="144">
        <f>VLOOKUP($A170,'Data shares'!$C:$FA,3)</f>
        <v>7103</v>
      </c>
      <c r="D170" s="144">
        <f>VLOOKUP($A170,'Data shares'!$C:$FA,23)</f>
        <v>23.5</v>
      </c>
      <c r="E170" s="145">
        <f>VLOOKUP($A170,'Data shares'!$C:$FA,26)*100</f>
        <v>0.33</v>
      </c>
      <c r="F170" s="144">
        <f>VLOOKUP($A170,'Data shares'!$C:$FA,24)</f>
        <v>5.5</v>
      </c>
      <c r="G170" s="144">
        <f>VLOOKUP($A170,'Data shares'!$C:$FA,25)</f>
        <v>18</v>
      </c>
    </row>
    <row r="171" spans="1:7" x14ac:dyDescent="0.25">
      <c r="A171" s="101" t="str">
        <f>'Data shares'!C167</f>
        <v>POWERGRID</v>
      </c>
      <c r="B171" s="144">
        <f>VLOOKUP($A171,'Data shares'!$C:$FA,7)</f>
        <v>261.10000000000002</v>
      </c>
      <c r="C171" s="144">
        <f>VLOOKUP($A171,'Data shares'!$C:$FA,3)</f>
        <v>261.89999999999998</v>
      </c>
      <c r="D171" s="144">
        <f>VLOOKUP($A171,'Data shares'!$C:$FA,23)</f>
        <v>0.8</v>
      </c>
      <c r="E171" s="145">
        <f>VLOOKUP($A171,'Data shares'!$C:$FA,26)*100</f>
        <v>0.31</v>
      </c>
      <c r="F171" s="144">
        <f>VLOOKUP($A171,'Data shares'!$C:$FA,24)</f>
        <v>1.05</v>
      </c>
      <c r="G171" s="144">
        <f>VLOOKUP($A171,'Data shares'!$C:$FA,25)</f>
        <v>-0.25</v>
      </c>
    </row>
    <row r="172" spans="1:7" x14ac:dyDescent="0.25">
      <c r="A172" s="101" t="str">
        <f>'Data shares'!C168</f>
        <v>POWERINDIA</v>
      </c>
      <c r="B172" s="144">
        <f>VLOOKUP($A172,'Data shares'!$C:$FA,7)</f>
        <v>19150</v>
      </c>
      <c r="C172" s="144">
        <f>VLOOKUP($A172,'Data shares'!$C:$FA,3)</f>
        <v>19215</v>
      </c>
      <c r="D172" s="144">
        <f>VLOOKUP($A172,'Data shares'!$C:$FA,23)</f>
        <v>65</v>
      </c>
      <c r="E172" s="145">
        <f>VLOOKUP($A172,'Data shares'!$C:$FA,26)*100</f>
        <v>0.33999999999999997</v>
      </c>
      <c r="F172" s="144">
        <f>VLOOKUP($A172,'Data shares'!$C:$FA,24)</f>
        <v>20</v>
      </c>
      <c r="G172" s="144">
        <f>VLOOKUP($A172,'Data shares'!$C:$FA,25)</f>
        <v>45</v>
      </c>
    </row>
    <row r="173" spans="1:7" x14ac:dyDescent="0.25">
      <c r="A173" s="101" t="str">
        <f>'Data shares'!C169</f>
        <v>PPLPHARMA</v>
      </c>
      <c r="B173" s="144">
        <f>VLOOKUP($A173,'Data shares'!$C:$FA,7)</f>
        <v>167.9</v>
      </c>
      <c r="C173" s="144">
        <f>VLOOKUP($A173,'Data shares'!$C:$FA,3)</f>
        <v>168.2</v>
      </c>
      <c r="D173" s="144">
        <f>VLOOKUP($A173,'Data shares'!$C:$FA,23)</f>
        <v>0.3</v>
      </c>
      <c r="E173" s="145">
        <f>VLOOKUP($A173,'Data shares'!$C:$FA,26)*100</f>
        <v>0.18</v>
      </c>
      <c r="F173" s="144">
        <f>VLOOKUP($A173,'Data shares'!$C:$FA,24)</f>
        <v>0.26</v>
      </c>
      <c r="G173" s="144">
        <f>VLOOKUP($A173,'Data shares'!$C:$FA,25)</f>
        <v>0.04</v>
      </c>
    </row>
    <row r="174" spans="1:7" x14ac:dyDescent="0.25">
      <c r="A174" s="101" t="str">
        <f>'Data shares'!C170</f>
        <v>PRESTIGE</v>
      </c>
      <c r="B174" s="144">
        <f>VLOOKUP($A174,'Data shares'!$C:$FA,7)</f>
        <v>1607.4</v>
      </c>
      <c r="C174" s="144">
        <f>VLOOKUP($A174,'Data shares'!$C:$FA,3)</f>
        <v>1613.2</v>
      </c>
      <c r="D174" s="144">
        <f>VLOOKUP($A174,'Data shares'!$C:$FA,23)</f>
        <v>5.8</v>
      </c>
      <c r="E174" s="145">
        <f>VLOOKUP($A174,'Data shares'!$C:$FA,26)*100</f>
        <v>0.36</v>
      </c>
      <c r="F174" s="144">
        <f>VLOOKUP($A174,'Data shares'!$C:$FA,24)</f>
        <v>0.1</v>
      </c>
      <c r="G174" s="144">
        <f>VLOOKUP($A174,'Data shares'!$C:$FA,25)</f>
        <v>5.7</v>
      </c>
    </row>
    <row r="175" spans="1:7" x14ac:dyDescent="0.25">
      <c r="A175" s="101" t="str">
        <f>'Data shares'!C171</f>
        <v>RBLBANK</v>
      </c>
      <c r="B175" s="144">
        <f>VLOOKUP($A175,'Data shares'!$C:$FA,7)</f>
        <v>296.95</v>
      </c>
      <c r="C175" s="144">
        <f>VLOOKUP($A175,'Data shares'!$C:$FA,3)</f>
        <v>298</v>
      </c>
      <c r="D175" s="144">
        <f>VLOOKUP($A175,'Data shares'!$C:$FA,23)</f>
        <v>1.05</v>
      </c>
      <c r="E175" s="145">
        <f>VLOOKUP($A175,'Data shares'!$C:$FA,26)*100</f>
        <v>0.35000000000000003</v>
      </c>
      <c r="F175" s="144">
        <f>VLOOKUP($A175,'Data shares'!$C:$FA,24)</f>
        <v>1.05</v>
      </c>
      <c r="G175" s="144">
        <f>VLOOKUP($A175,'Data shares'!$C:$FA,25)</f>
        <v>0</v>
      </c>
    </row>
    <row r="176" spans="1:7" x14ac:dyDescent="0.25">
      <c r="A176" s="101" t="str">
        <f>'Data shares'!C172</f>
        <v>RECLTD</v>
      </c>
      <c r="B176" s="144">
        <f>VLOOKUP($A176,'Data shares'!$C:$FA,7)</f>
        <v>333.95</v>
      </c>
      <c r="C176" s="144">
        <f>VLOOKUP($A176,'Data shares'!$C:$FA,3)</f>
        <v>334.5</v>
      </c>
      <c r="D176" s="144">
        <f>VLOOKUP($A176,'Data shares'!$C:$FA,23)</f>
        <v>0.55000000000000004</v>
      </c>
      <c r="E176" s="145">
        <f>VLOOKUP($A176,'Data shares'!$C:$FA,26)*100</f>
        <v>0.16</v>
      </c>
      <c r="F176" s="144">
        <f>VLOOKUP($A176,'Data shares'!$C:$FA,24)</f>
        <v>0.55000000000000004</v>
      </c>
      <c r="G176" s="144">
        <f>VLOOKUP($A176,'Data shares'!$C:$FA,25)</f>
        <v>0</v>
      </c>
    </row>
    <row r="177" spans="1:7" x14ac:dyDescent="0.25">
      <c r="A177" s="101" t="str">
        <f>'Data shares'!C173</f>
        <v>RELIANCE</v>
      </c>
      <c r="B177" s="144">
        <f>VLOOKUP($A177,'Data shares'!$C:$FA,7)</f>
        <v>1544.4</v>
      </c>
      <c r="C177" s="144">
        <f>VLOOKUP($A177,'Data shares'!$C:$FA,3)</f>
        <v>1548.8</v>
      </c>
      <c r="D177" s="144">
        <f>VLOOKUP($A177,'Data shares'!$C:$FA,23)</f>
        <v>4.4000000000000004</v>
      </c>
      <c r="E177" s="145">
        <f>VLOOKUP($A177,'Data shares'!$C:$FA,26)*100</f>
        <v>0.27999999999999997</v>
      </c>
      <c r="F177" s="144">
        <f>VLOOKUP($A177,'Data shares'!$C:$FA,24)</f>
        <v>4.2</v>
      </c>
      <c r="G177" s="144">
        <f>VLOOKUP($A177,'Data shares'!$C:$FA,25)</f>
        <v>0.2</v>
      </c>
    </row>
    <row r="178" spans="1:7" x14ac:dyDescent="0.25">
      <c r="A178" s="101" t="str">
        <f>'Data shares'!C174</f>
        <v>RVNL</v>
      </c>
      <c r="B178" s="144">
        <f>VLOOKUP($A178,'Data shares'!$C:$FA,7)</f>
        <v>307.25</v>
      </c>
      <c r="C178" s="144">
        <f>VLOOKUP($A178,'Data shares'!$C:$FA,3)</f>
        <v>305.39999999999998</v>
      </c>
      <c r="D178" s="144">
        <f>VLOOKUP($A178,'Data shares'!$C:$FA,23)</f>
        <v>-1.85</v>
      </c>
      <c r="E178" s="145">
        <f>VLOOKUP($A178,'Data shares'!$C:$FA,26)*100</f>
        <v>-0.6</v>
      </c>
      <c r="F178" s="144">
        <f>VLOOKUP($A178,'Data shares'!$C:$FA,24)</f>
        <v>-1.35</v>
      </c>
      <c r="G178" s="144">
        <f>VLOOKUP($A178,'Data shares'!$C:$FA,25)</f>
        <v>-0.5</v>
      </c>
    </row>
    <row r="179" spans="1:7" x14ac:dyDescent="0.25">
      <c r="A179" s="101" t="str">
        <f>'Data shares'!C175</f>
        <v>SAIL</v>
      </c>
      <c r="B179" s="144">
        <f>VLOOKUP($A179,'Data shares'!$C:$FA,7)</f>
        <v>130.19999999999999</v>
      </c>
      <c r="C179" s="144">
        <f>VLOOKUP($A179,'Data shares'!$C:$FA,3)</f>
        <v>130.31</v>
      </c>
      <c r="D179" s="144">
        <f>VLOOKUP($A179,'Data shares'!$C:$FA,23)</f>
        <v>0.11</v>
      </c>
      <c r="E179" s="145">
        <f>VLOOKUP($A179,'Data shares'!$C:$FA,26)*100</f>
        <v>0.08</v>
      </c>
      <c r="F179" s="144">
        <f>VLOOKUP($A179,'Data shares'!$C:$FA,24)</f>
        <v>0.13</v>
      </c>
      <c r="G179" s="144">
        <f>VLOOKUP($A179,'Data shares'!$C:$FA,25)</f>
        <v>-0.02</v>
      </c>
    </row>
    <row r="180" spans="1:7" x14ac:dyDescent="0.25">
      <c r="A180" s="101" t="str">
        <f>'Data shares'!C176</f>
        <v>SAMMAANCAP</v>
      </c>
      <c r="B180" s="144">
        <f>VLOOKUP($A180,'Data shares'!$C:$FA,7)</f>
        <v>145.78</v>
      </c>
      <c r="C180" s="144">
        <f>VLOOKUP($A180,'Data shares'!$C:$FA,3)</f>
        <v>146.19</v>
      </c>
      <c r="D180" s="144">
        <f>VLOOKUP($A180,'Data shares'!$C:$FA,23)</f>
        <v>0.41</v>
      </c>
      <c r="E180" s="145">
        <f>VLOOKUP($A180,'Data shares'!$C:$FA,26)*100</f>
        <v>0.27999999999999997</v>
      </c>
      <c r="F180" s="144">
        <f>VLOOKUP($A180,'Data shares'!$C:$FA,24)</f>
        <v>0.62</v>
      </c>
      <c r="G180" s="144">
        <f>VLOOKUP($A180,'Data shares'!$C:$FA,25)</f>
        <v>-0.21</v>
      </c>
    </row>
    <row r="181" spans="1:7" x14ac:dyDescent="0.25">
      <c r="A181" s="101" t="str">
        <f>'Data shares'!C177</f>
        <v>SBICARD</v>
      </c>
      <c r="B181" s="144">
        <f>VLOOKUP($A181,'Data shares'!$C:$FA,7)</f>
        <v>834.4</v>
      </c>
      <c r="C181" s="144">
        <f>VLOOKUP($A181,'Data shares'!$C:$FA,3)</f>
        <v>836.55</v>
      </c>
      <c r="D181" s="144">
        <f>VLOOKUP($A181,'Data shares'!$C:$FA,23)</f>
        <v>2.15</v>
      </c>
      <c r="E181" s="145">
        <f>VLOOKUP($A181,'Data shares'!$C:$FA,26)*100</f>
        <v>0.26</v>
      </c>
      <c r="F181" s="144">
        <f>VLOOKUP($A181,'Data shares'!$C:$FA,24)</f>
        <v>-0.1</v>
      </c>
      <c r="G181" s="144">
        <f>VLOOKUP($A181,'Data shares'!$C:$FA,25)</f>
        <v>2.25</v>
      </c>
    </row>
    <row r="182" spans="1:7" x14ac:dyDescent="0.25">
      <c r="A182" s="101" t="str">
        <f>'Data shares'!C178</f>
        <v>SBILIFE</v>
      </c>
      <c r="B182" s="144">
        <f>VLOOKUP($A182,'Data shares'!$C:$FA,7)</f>
        <v>2010.2</v>
      </c>
      <c r="C182" s="144">
        <f>VLOOKUP($A182,'Data shares'!$C:$FA,3)</f>
        <v>2016.3</v>
      </c>
      <c r="D182" s="144">
        <f>VLOOKUP($A182,'Data shares'!$C:$FA,23)</f>
        <v>6.1</v>
      </c>
      <c r="E182" s="145">
        <f>VLOOKUP($A182,'Data shares'!$C:$FA,26)*100</f>
        <v>0.3</v>
      </c>
      <c r="F182" s="144">
        <f>VLOOKUP($A182,'Data shares'!$C:$FA,24)</f>
        <v>-0.2</v>
      </c>
      <c r="G182" s="144">
        <f>VLOOKUP($A182,'Data shares'!$C:$FA,25)</f>
        <v>6.3</v>
      </c>
    </row>
    <row r="183" spans="1:7" x14ac:dyDescent="0.25">
      <c r="A183" s="101" t="str">
        <f>'Data shares'!C179</f>
        <v>SBIN</v>
      </c>
      <c r="B183" s="144">
        <f>VLOOKUP($A183,'Data shares'!$C:$FA,7)</f>
        <v>975.85</v>
      </c>
      <c r="C183" s="144">
        <f>VLOOKUP($A183,'Data shares'!$C:$FA,3)</f>
        <v>977.5</v>
      </c>
      <c r="D183" s="144">
        <f>VLOOKUP($A183,'Data shares'!$C:$FA,23)</f>
        <v>1.65</v>
      </c>
      <c r="E183" s="145">
        <f>VLOOKUP($A183,'Data shares'!$C:$FA,26)*100</f>
        <v>0.16999999999999998</v>
      </c>
      <c r="F183" s="144">
        <f>VLOOKUP($A183,'Data shares'!$C:$FA,24)</f>
        <v>1.75</v>
      </c>
      <c r="G183" s="144">
        <f>VLOOKUP($A183,'Data shares'!$C:$FA,25)</f>
        <v>-0.1</v>
      </c>
    </row>
    <row r="184" spans="1:7" x14ac:dyDescent="0.25">
      <c r="A184" s="101" t="str">
        <f>'Data shares'!C180</f>
        <v>SHREECEM</v>
      </c>
      <c r="B184" s="144">
        <f>VLOOKUP($A184,'Data shares'!$C:$FA,7)</f>
        <v>26045</v>
      </c>
      <c r="C184" s="144">
        <f>VLOOKUP($A184,'Data shares'!$C:$FA,3)</f>
        <v>26080</v>
      </c>
      <c r="D184" s="144">
        <f>VLOOKUP($A184,'Data shares'!$C:$FA,23)</f>
        <v>35</v>
      </c>
      <c r="E184" s="145">
        <f>VLOOKUP($A184,'Data shares'!$C:$FA,26)*100</f>
        <v>0.13</v>
      </c>
      <c r="F184" s="144">
        <f>VLOOKUP($A184,'Data shares'!$C:$FA,24)</f>
        <v>120</v>
      </c>
      <c r="G184" s="144">
        <f>VLOOKUP($A184,'Data shares'!$C:$FA,25)</f>
        <v>-85</v>
      </c>
    </row>
    <row r="185" spans="1:7" x14ac:dyDescent="0.25">
      <c r="A185" s="101" t="str">
        <f>'Data shares'!C181</f>
        <v>SHRIRAMFIN</v>
      </c>
      <c r="B185" s="144">
        <f>VLOOKUP($A185,'Data shares'!$C:$FA,7)</f>
        <v>864.2</v>
      </c>
      <c r="C185" s="144">
        <f>VLOOKUP($A185,'Data shares'!$C:$FA,3)</f>
        <v>867.95</v>
      </c>
      <c r="D185" s="144">
        <f>VLOOKUP($A185,'Data shares'!$C:$FA,23)</f>
        <v>3.75</v>
      </c>
      <c r="E185" s="145">
        <f>VLOOKUP($A185,'Data shares'!$C:$FA,26)*100</f>
        <v>0.43</v>
      </c>
      <c r="F185" s="144">
        <f>VLOOKUP($A185,'Data shares'!$C:$FA,24)</f>
        <v>1.6</v>
      </c>
      <c r="G185" s="144">
        <f>VLOOKUP($A185,'Data shares'!$C:$FA,25)</f>
        <v>2.15</v>
      </c>
    </row>
    <row r="186" spans="1:7" x14ac:dyDescent="0.25">
      <c r="A186" s="101" t="str">
        <f>'Data shares'!C182</f>
        <v>SIEMENS</v>
      </c>
      <c r="B186" s="144">
        <f>VLOOKUP($A186,'Data shares'!$C:$FA,7)</f>
        <v>3140.1</v>
      </c>
      <c r="C186" s="144">
        <f>VLOOKUP($A186,'Data shares'!$C:$FA,3)</f>
        <v>3152.3</v>
      </c>
      <c r="D186" s="144">
        <f>VLOOKUP($A186,'Data shares'!$C:$FA,23)</f>
        <v>12.2</v>
      </c>
      <c r="E186" s="145">
        <f>VLOOKUP($A186,'Data shares'!$C:$FA,26)*100</f>
        <v>0.38999999999999996</v>
      </c>
      <c r="F186" s="144">
        <f>VLOOKUP($A186,'Data shares'!$C:$FA,24)</f>
        <v>4.3</v>
      </c>
      <c r="G186" s="144">
        <f>VLOOKUP($A186,'Data shares'!$C:$FA,25)</f>
        <v>7.9</v>
      </c>
    </row>
    <row r="187" spans="1:7" x14ac:dyDescent="0.25">
      <c r="A187" s="101" t="str">
        <f>'Data shares'!C183</f>
        <v>SOLARINDS</v>
      </c>
      <c r="B187" s="144">
        <f>VLOOKUP($A187,'Data shares'!$C:$FA,7)</f>
        <v>11815</v>
      </c>
      <c r="C187" s="144">
        <f>VLOOKUP($A187,'Data shares'!$C:$FA,3)</f>
        <v>11824</v>
      </c>
      <c r="D187" s="144">
        <f>VLOOKUP($A187,'Data shares'!$C:$FA,23)</f>
        <v>9</v>
      </c>
      <c r="E187" s="145">
        <f>VLOOKUP($A187,'Data shares'!$C:$FA,26)*100</f>
        <v>0.08</v>
      </c>
      <c r="F187" s="144">
        <f>VLOOKUP($A187,'Data shares'!$C:$FA,24)</f>
        <v>12</v>
      </c>
      <c r="G187" s="144">
        <f>VLOOKUP($A187,'Data shares'!$C:$FA,25)</f>
        <v>-3</v>
      </c>
    </row>
    <row r="188" spans="1:7" x14ac:dyDescent="0.25">
      <c r="A188" s="101" t="str">
        <f>'Data shares'!C184</f>
        <v>SONACOMS</v>
      </c>
      <c r="B188" s="144">
        <f>VLOOKUP($A188,'Data shares'!$C:$FA,7)</f>
        <v>489.9</v>
      </c>
      <c r="C188" s="144">
        <f>VLOOKUP($A188,'Data shares'!$C:$FA,3)</f>
        <v>491.45</v>
      </c>
      <c r="D188" s="144">
        <f>VLOOKUP($A188,'Data shares'!$C:$FA,23)</f>
        <v>1.55</v>
      </c>
      <c r="E188" s="145">
        <f>VLOOKUP($A188,'Data shares'!$C:$FA,26)*100</f>
        <v>0.32</v>
      </c>
      <c r="F188" s="144">
        <f>VLOOKUP($A188,'Data shares'!$C:$FA,24)</f>
        <v>1.1000000000000001</v>
      </c>
      <c r="G188" s="144">
        <f>VLOOKUP($A188,'Data shares'!$C:$FA,25)</f>
        <v>0.45</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shares'!C216</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27.35</v>
      </c>
      <c r="C7" s="50">
        <f>VLOOKUP($A7,'Data shares'!$C:$FM,110)</f>
        <v>27.58</v>
      </c>
      <c r="D7" s="50">
        <f>VLOOKUP($A7,'Data shares'!$C:$FM,114)</f>
        <v>26.98</v>
      </c>
      <c r="E7" s="50">
        <f>VLOOKUP($A7,'Data shares'!$C:$FM,106)</f>
        <v>43.42</v>
      </c>
      <c r="F7" s="50">
        <f>VLOOKUP($A7,'Data shares'!$C:$FM,108)</f>
        <v>-16.07</v>
      </c>
      <c r="G7" s="50">
        <f t="shared" ref="G7:G38" si="0">B7/E7</f>
        <v>0.62989405803777065</v>
      </c>
    </row>
    <row r="8" spans="1:7" x14ac:dyDescent="0.25">
      <c r="A8" s="49" t="str">
        <f>'Data shares'!C3</f>
        <v>ABB</v>
      </c>
      <c r="B8" s="50">
        <f>VLOOKUP($A8,'Data shares'!$C:$FM,102)</f>
        <v>20.93</v>
      </c>
      <c r="C8" s="50">
        <f>VLOOKUP($A8,'Data shares'!$C:$FM,110)</f>
        <v>21.38</v>
      </c>
      <c r="D8" s="50">
        <f>VLOOKUP($A8,'Data shares'!$C:$FM,114)</f>
        <v>20.04</v>
      </c>
      <c r="E8" s="50">
        <f>VLOOKUP($A8,'Data shares'!$C:$FM,106)</f>
        <v>34.450000000000003</v>
      </c>
      <c r="F8" s="50">
        <f>VLOOKUP($A8,'Data shares'!$C:$FM,108)</f>
        <v>-13.52</v>
      </c>
      <c r="G8" s="50">
        <f t="shared" si="0"/>
        <v>0.60754716981132073</v>
      </c>
    </row>
    <row r="9" spans="1:7" x14ac:dyDescent="0.25">
      <c r="A9" s="49" t="str">
        <f>'Data shares'!C4</f>
        <v>ABCAPITAL</v>
      </c>
      <c r="B9" s="50">
        <f>VLOOKUP($A9,'Data shares'!$C:$FM,102)</f>
        <v>27.01</v>
      </c>
      <c r="C9" s="50">
        <f>VLOOKUP($A9,'Data shares'!$C:$FM,110)</f>
        <v>27.59</v>
      </c>
      <c r="D9" s="50">
        <f>VLOOKUP($A9,'Data shares'!$C:$FM,114)</f>
        <v>25.97</v>
      </c>
      <c r="E9" s="50">
        <f>VLOOKUP($A9,'Data shares'!$C:$FM,106)</f>
        <v>38.950000000000003</v>
      </c>
      <c r="F9" s="50">
        <f>VLOOKUP($A9,'Data shares'!$C:$FM,108)</f>
        <v>-11.94</v>
      </c>
      <c r="G9" s="50">
        <f t="shared" si="0"/>
        <v>0.69345314505776634</v>
      </c>
    </row>
    <row r="10" spans="1:7" x14ac:dyDescent="0.25">
      <c r="A10" s="49" t="str">
        <f>'Data shares'!C5</f>
        <v>ADANIENSOL</v>
      </c>
      <c r="B10" s="50">
        <f>VLOOKUP($A10,'Data shares'!$C:$FM,102)</f>
        <v>25.09</v>
      </c>
      <c r="C10" s="50">
        <f>VLOOKUP($A10,'Data shares'!$C:$FM,110)</f>
        <v>25.79</v>
      </c>
      <c r="D10" s="50">
        <f>VLOOKUP($A10,'Data shares'!$C:$FM,114)</f>
        <v>23.93</v>
      </c>
      <c r="E10" s="50">
        <f>VLOOKUP($A10,'Data shares'!$C:$FM,106)</f>
        <v>51.86</v>
      </c>
      <c r="F10" s="50">
        <f>VLOOKUP($A10,'Data shares'!$C:$FM,108)</f>
        <v>-26.77</v>
      </c>
      <c r="G10" s="50">
        <f t="shared" si="0"/>
        <v>0.48380254531430777</v>
      </c>
    </row>
    <row r="11" spans="1:7" x14ac:dyDescent="0.25">
      <c r="A11" s="49" t="str">
        <f>'Data shares'!C6</f>
        <v>ADANIENT</v>
      </c>
      <c r="B11" s="50">
        <f>VLOOKUP($A11,'Data shares'!$C:$FM,102)</f>
        <v>27.89</v>
      </c>
      <c r="C11" s="50">
        <f>VLOOKUP($A11,'Data shares'!$C:$FM,110)</f>
        <v>28.21</v>
      </c>
      <c r="D11" s="50">
        <f>VLOOKUP($A11,'Data shares'!$C:$FM,114)</f>
        <v>27.22</v>
      </c>
      <c r="E11" s="50">
        <f>VLOOKUP($A11,'Data shares'!$C:$FM,106)</f>
        <v>46.68</v>
      </c>
      <c r="F11" s="50">
        <f>VLOOKUP($A11,'Data shares'!$C:$FM,108)</f>
        <v>-18.79</v>
      </c>
      <c r="G11" s="50">
        <f t="shared" si="0"/>
        <v>0.59747215081405314</v>
      </c>
    </row>
    <row r="12" spans="1:7" x14ac:dyDescent="0.25">
      <c r="A12" s="49" t="str">
        <f>'Data shares'!C7</f>
        <v>ADANIGREEN</v>
      </c>
      <c r="B12" s="50">
        <f>VLOOKUP($A12,'Data shares'!$C:$FM,102)</f>
        <v>29.61</v>
      </c>
      <c r="C12" s="50">
        <f>VLOOKUP($A12,'Data shares'!$C:$FM,110)</f>
        <v>30.45</v>
      </c>
      <c r="D12" s="50">
        <f>VLOOKUP($A12,'Data shares'!$C:$FM,114)</f>
        <v>28.03</v>
      </c>
      <c r="E12" s="50">
        <f>VLOOKUP($A12,'Data shares'!$C:$FM,106)</f>
        <v>55.76</v>
      </c>
      <c r="F12" s="50">
        <f>VLOOKUP($A12,'Data shares'!$C:$FM,108)</f>
        <v>-26.15</v>
      </c>
      <c r="G12" s="50">
        <f t="shared" si="0"/>
        <v>0.53102582496413198</v>
      </c>
    </row>
    <row r="13" spans="1:7" x14ac:dyDescent="0.25">
      <c r="A13" s="49" t="str">
        <f>'Data shares'!C8</f>
        <v>ADANIPORTS</v>
      </c>
      <c r="B13" s="50">
        <f>VLOOKUP($A13,'Data shares'!$C:$FM,102)</f>
        <v>20.86</v>
      </c>
      <c r="C13" s="50">
        <f>VLOOKUP($A13,'Data shares'!$C:$FM,110)</f>
        <v>21.32</v>
      </c>
      <c r="D13" s="50">
        <f>VLOOKUP($A13,'Data shares'!$C:$FM,114)</f>
        <v>19.84</v>
      </c>
      <c r="E13" s="50">
        <f>VLOOKUP($A13,'Data shares'!$C:$FM,106)</f>
        <v>36.1</v>
      </c>
      <c r="F13" s="50">
        <f>VLOOKUP($A13,'Data shares'!$C:$FM,108)</f>
        <v>-15.24</v>
      </c>
      <c r="G13" s="50">
        <f t="shared" si="0"/>
        <v>0.57783933518005537</v>
      </c>
    </row>
    <row r="14" spans="1:7" x14ac:dyDescent="0.25">
      <c r="A14" s="49" t="str">
        <f>'Data shares'!C9</f>
        <v>ALKEM</v>
      </c>
      <c r="B14" s="50">
        <f>VLOOKUP($A14,'Data shares'!$C:$FM,102)</f>
        <v>17.5</v>
      </c>
      <c r="C14" s="50">
        <f>VLOOKUP($A14,'Data shares'!$C:$FM,110)</f>
        <v>16.97</v>
      </c>
      <c r="D14" s="50">
        <f>VLOOKUP($A14,'Data shares'!$C:$FM,114)</f>
        <v>18.78</v>
      </c>
      <c r="E14" s="50">
        <f>VLOOKUP($A14,'Data shares'!$C:$FM,106)</f>
        <v>26.03</v>
      </c>
      <c r="F14" s="50">
        <f>VLOOKUP($A14,'Data shares'!$C:$FM,108)</f>
        <v>-8.5299999999999994</v>
      </c>
      <c r="G14" s="50">
        <f t="shared" si="0"/>
        <v>0.67230119093353824</v>
      </c>
    </row>
    <row r="15" spans="1:7" x14ac:dyDescent="0.25">
      <c r="A15" s="49" t="str">
        <f>'Data shares'!C10</f>
        <v>AMBER</v>
      </c>
      <c r="B15" s="50">
        <f>VLOOKUP($A15,'Data shares'!$C:$FM,102)</f>
        <v>31.64</v>
      </c>
      <c r="C15" s="50">
        <f>VLOOKUP($A15,'Data shares'!$C:$FM,110)</f>
        <v>31.59</v>
      </c>
      <c r="D15" s="50">
        <f>VLOOKUP($A15,'Data shares'!$C:$FM,114)</f>
        <v>31.7</v>
      </c>
      <c r="E15" s="50">
        <f>VLOOKUP($A15,'Data shares'!$C:$FM,106)</f>
        <v>52.81</v>
      </c>
      <c r="F15" s="50">
        <f>VLOOKUP($A15,'Data shares'!$C:$FM,108)</f>
        <v>-21.17</v>
      </c>
      <c r="G15" s="50">
        <f t="shared" si="0"/>
        <v>0.59912895284983902</v>
      </c>
    </row>
    <row r="16" spans="1:7" x14ac:dyDescent="0.25">
      <c r="A16" s="49" t="str">
        <f>'Data shares'!C11</f>
        <v>AMBUJACEM</v>
      </c>
      <c r="B16" s="50">
        <f>VLOOKUP($A16,'Data shares'!$C:$FM,102)</f>
        <v>19.47</v>
      </c>
      <c r="C16" s="50">
        <f>VLOOKUP($A16,'Data shares'!$C:$FM,110)</f>
        <v>19.66</v>
      </c>
      <c r="D16" s="50">
        <f>VLOOKUP($A16,'Data shares'!$C:$FM,114)</f>
        <v>19.04</v>
      </c>
      <c r="E16" s="50">
        <f>VLOOKUP($A16,'Data shares'!$C:$FM,106)</f>
        <v>31.76</v>
      </c>
      <c r="F16" s="50">
        <f>VLOOKUP($A16,'Data shares'!$C:$FM,108)</f>
        <v>-12.29</v>
      </c>
      <c r="G16" s="50">
        <f t="shared" si="0"/>
        <v>0.61303526448362711</v>
      </c>
    </row>
    <row r="17" spans="1:7" x14ac:dyDescent="0.25">
      <c r="A17" s="49" t="str">
        <f>'Data shares'!C12</f>
        <v>ANGELONE</v>
      </c>
      <c r="B17" s="50">
        <f>VLOOKUP($A17,'Data shares'!$C:$FM,102)</f>
        <v>37.11</v>
      </c>
      <c r="C17" s="50">
        <f>VLOOKUP($A17,'Data shares'!$C:$FM,110)</f>
        <v>37.869999999999997</v>
      </c>
      <c r="D17" s="50">
        <f>VLOOKUP($A17,'Data shares'!$C:$FM,114)</f>
        <v>35.229999999999997</v>
      </c>
      <c r="E17" s="50">
        <f>VLOOKUP($A17,'Data shares'!$C:$FM,106)</f>
        <v>52.89</v>
      </c>
      <c r="F17" s="50">
        <f>VLOOKUP($A17,'Data shares'!$C:$FM,108)</f>
        <v>-15.78</v>
      </c>
      <c r="G17" s="50">
        <f t="shared" si="0"/>
        <v>0.7016449234259784</v>
      </c>
    </row>
    <row r="18" spans="1:7" x14ac:dyDescent="0.25">
      <c r="A18" s="49" t="str">
        <f>'Data shares'!C13</f>
        <v>APLAPOLLO</v>
      </c>
      <c r="B18" s="50">
        <f>VLOOKUP($A18,'Data shares'!$C:$FM,102)</f>
        <v>19.13</v>
      </c>
      <c r="C18" s="50">
        <f>VLOOKUP($A18,'Data shares'!$C:$FM,110)</f>
        <v>19.07</v>
      </c>
      <c r="D18" s="50">
        <f>VLOOKUP($A18,'Data shares'!$C:$FM,114)</f>
        <v>19.34</v>
      </c>
      <c r="E18" s="50">
        <f>VLOOKUP($A18,'Data shares'!$C:$FM,106)</f>
        <v>32.25</v>
      </c>
      <c r="F18" s="50">
        <f>VLOOKUP($A18,'Data shares'!$C:$FM,108)</f>
        <v>-13.12</v>
      </c>
      <c r="G18" s="50">
        <f t="shared" si="0"/>
        <v>0.59317829457364335</v>
      </c>
    </row>
    <row r="19" spans="1:7" x14ac:dyDescent="0.25">
      <c r="A19" s="49" t="str">
        <f>'Data shares'!C14</f>
        <v>APOLLOHOSP</v>
      </c>
      <c r="B19" s="50">
        <f>VLOOKUP($A19,'Data shares'!$C:$FM,102)</f>
        <v>18.34</v>
      </c>
      <c r="C19" s="50">
        <f>VLOOKUP($A19,'Data shares'!$C:$FM,110)</f>
        <v>19.23</v>
      </c>
      <c r="D19" s="50">
        <f>VLOOKUP($A19,'Data shares'!$C:$FM,114)</f>
        <v>16.68</v>
      </c>
      <c r="E19" s="50">
        <f>VLOOKUP($A19,'Data shares'!$C:$FM,106)</f>
        <v>24.97</v>
      </c>
      <c r="F19" s="50">
        <f>VLOOKUP($A19,'Data shares'!$C:$FM,108)</f>
        <v>-6.63</v>
      </c>
      <c r="G19" s="50">
        <f t="shared" si="0"/>
        <v>0.73448137765318389</v>
      </c>
    </row>
    <row r="20" spans="1:7" x14ac:dyDescent="0.25">
      <c r="A20" s="49" t="str">
        <f>'Data shares'!C15</f>
        <v>ASHOKLEY</v>
      </c>
      <c r="B20" s="50">
        <f>VLOOKUP($A20,'Data shares'!$C:$FM,102)</f>
        <v>22.84</v>
      </c>
      <c r="C20" s="50">
        <f>VLOOKUP($A20,'Data shares'!$C:$FM,110)</f>
        <v>22.22</v>
      </c>
      <c r="D20" s="50">
        <f>VLOOKUP($A20,'Data shares'!$C:$FM,114)</f>
        <v>23.78</v>
      </c>
      <c r="E20" s="50">
        <f>VLOOKUP($A20,'Data shares'!$C:$FM,106)</f>
        <v>35.1</v>
      </c>
      <c r="F20" s="50">
        <f>VLOOKUP($A20,'Data shares'!$C:$FM,108)</f>
        <v>-12.26</v>
      </c>
      <c r="G20" s="50">
        <f t="shared" si="0"/>
        <v>0.65071225071225069</v>
      </c>
    </row>
    <row r="21" spans="1:7" x14ac:dyDescent="0.25">
      <c r="A21" s="49" t="str">
        <f>'Data shares'!C16</f>
        <v>ASIANPAINT</v>
      </c>
      <c r="B21" s="50">
        <f>VLOOKUP($A21,'Data shares'!$C:$FM,102)</f>
        <v>18.27</v>
      </c>
      <c r="C21" s="50">
        <f>VLOOKUP($A21,'Data shares'!$C:$FM,110)</f>
        <v>18.38</v>
      </c>
      <c r="D21" s="50">
        <f>VLOOKUP($A21,'Data shares'!$C:$FM,114)</f>
        <v>17.97</v>
      </c>
      <c r="E21" s="50">
        <f>VLOOKUP($A21,'Data shares'!$C:$FM,106)</f>
        <v>25.19</v>
      </c>
      <c r="F21" s="50">
        <f>VLOOKUP($A21,'Data shares'!$C:$FM,108)</f>
        <v>-6.92</v>
      </c>
      <c r="G21" s="50">
        <f t="shared" si="0"/>
        <v>0.72528781262405706</v>
      </c>
    </row>
    <row r="22" spans="1:7" x14ac:dyDescent="0.25">
      <c r="A22" s="49" t="str">
        <f>'Data shares'!C17</f>
        <v>ASTRAL</v>
      </c>
      <c r="B22" s="50">
        <f>VLOOKUP($A22,'Data shares'!$C:$FM,102)</f>
        <v>24.27</v>
      </c>
      <c r="C22" s="50">
        <f>VLOOKUP($A22,'Data shares'!$C:$FM,110)</f>
        <v>24.67</v>
      </c>
      <c r="D22" s="50">
        <f>VLOOKUP($A22,'Data shares'!$C:$FM,114)</f>
        <v>23.72</v>
      </c>
      <c r="E22" s="50">
        <f>VLOOKUP($A22,'Data shares'!$C:$FM,106)</f>
        <v>33.74</v>
      </c>
      <c r="F22" s="50">
        <f>VLOOKUP($A22,'Data shares'!$C:$FM,108)</f>
        <v>-9.4700000000000006</v>
      </c>
      <c r="G22" s="50">
        <f t="shared" si="0"/>
        <v>0.71932424422050978</v>
      </c>
    </row>
    <row r="23" spans="1:7" x14ac:dyDescent="0.25">
      <c r="A23" s="49" t="str">
        <f>'Data shares'!C18</f>
        <v>AUBANK</v>
      </c>
      <c r="B23" s="50">
        <f>VLOOKUP($A23,'Data shares'!$C:$FM,102)</f>
        <v>22.57</v>
      </c>
      <c r="C23" s="50">
        <f>VLOOKUP($A23,'Data shares'!$C:$FM,110)</f>
        <v>22.44</v>
      </c>
      <c r="D23" s="50">
        <f>VLOOKUP($A23,'Data shares'!$C:$FM,114)</f>
        <v>22.9</v>
      </c>
      <c r="E23" s="50">
        <f>VLOOKUP($A23,'Data shares'!$C:$FM,106)</f>
        <v>35.700000000000003</v>
      </c>
      <c r="F23" s="50">
        <f>VLOOKUP($A23,'Data shares'!$C:$FM,108)</f>
        <v>-13.13</v>
      </c>
      <c r="G23" s="50">
        <f t="shared" si="0"/>
        <v>0.6322128851540616</v>
      </c>
    </row>
    <row r="24" spans="1:7" x14ac:dyDescent="0.25">
      <c r="A24" s="49" t="str">
        <f>'Data shares'!C19</f>
        <v>AUROPHARMA</v>
      </c>
      <c r="B24" s="50">
        <f>VLOOKUP($A24,'Data shares'!$C:$FM,102)</f>
        <v>24.26</v>
      </c>
      <c r="C24" s="50">
        <f>VLOOKUP($A24,'Data shares'!$C:$FM,110)</f>
        <v>24.32</v>
      </c>
      <c r="D24" s="50">
        <f>VLOOKUP($A24,'Data shares'!$C:$FM,114)</f>
        <v>24.08</v>
      </c>
      <c r="E24" s="50">
        <f>VLOOKUP($A24,'Data shares'!$C:$FM,106)</f>
        <v>33.14</v>
      </c>
      <c r="F24" s="50">
        <f>VLOOKUP($A24,'Data shares'!$C:$FM,108)</f>
        <v>-8.8800000000000008</v>
      </c>
      <c r="G24" s="50">
        <f t="shared" si="0"/>
        <v>0.73204586602293309</v>
      </c>
    </row>
    <row r="25" spans="1:7" x14ac:dyDescent="0.25">
      <c r="A25" s="49" t="str">
        <f>'Data shares'!C20</f>
        <v>AXISBANK</v>
      </c>
      <c r="B25" s="50">
        <f>VLOOKUP($A25,'Data shares'!$C:$FM,102)</f>
        <v>18.07</v>
      </c>
      <c r="C25" s="50">
        <f>VLOOKUP($A25,'Data shares'!$C:$FM,110)</f>
        <v>17.670000000000002</v>
      </c>
      <c r="D25" s="50">
        <f>VLOOKUP($A25,'Data shares'!$C:$FM,114)</f>
        <v>18.670000000000002</v>
      </c>
      <c r="E25" s="50">
        <f>VLOOKUP($A25,'Data shares'!$C:$FM,106)</f>
        <v>26.21</v>
      </c>
      <c r="F25" s="50">
        <f>VLOOKUP($A25,'Data shares'!$C:$FM,108)</f>
        <v>-8.14</v>
      </c>
      <c r="G25" s="50">
        <f t="shared" si="0"/>
        <v>0.68943151468904995</v>
      </c>
    </row>
    <row r="26" spans="1:7" x14ac:dyDescent="0.25">
      <c r="A26" s="49" t="str">
        <f>'Data shares'!C21</f>
        <v>BAJAJ-AUTO</v>
      </c>
      <c r="B26" s="50">
        <f>VLOOKUP($A26,'Data shares'!$C:$FM,102)</f>
        <v>19.55</v>
      </c>
      <c r="C26" s="50">
        <f>VLOOKUP($A26,'Data shares'!$C:$FM,110)</f>
        <v>19.97</v>
      </c>
      <c r="D26" s="50">
        <f>VLOOKUP($A26,'Data shares'!$C:$FM,114)</f>
        <v>18.989999999999998</v>
      </c>
      <c r="E26" s="50">
        <f>VLOOKUP($A26,'Data shares'!$C:$FM,106)</f>
        <v>28.25</v>
      </c>
      <c r="F26" s="50">
        <f>VLOOKUP($A26,'Data shares'!$C:$FM,108)</f>
        <v>-8.6999999999999993</v>
      </c>
      <c r="G26" s="50">
        <f t="shared" si="0"/>
        <v>0.69203539823008853</v>
      </c>
    </row>
    <row r="27" spans="1:7" x14ac:dyDescent="0.25">
      <c r="A27" s="49" t="str">
        <f>'Data shares'!C22</f>
        <v>BAJAJFINSV</v>
      </c>
      <c r="B27" s="50">
        <f>VLOOKUP($A27,'Data shares'!$C:$FM,102)</f>
        <v>19.05</v>
      </c>
      <c r="C27" s="50">
        <f>VLOOKUP($A27,'Data shares'!$C:$FM,110)</f>
        <v>19.670000000000002</v>
      </c>
      <c r="D27" s="50">
        <f>VLOOKUP($A27,'Data shares'!$C:$FM,114)</f>
        <v>18.13</v>
      </c>
      <c r="E27" s="50">
        <f>VLOOKUP($A27,'Data shares'!$C:$FM,106)</f>
        <v>28.74</v>
      </c>
      <c r="F27" s="50">
        <f>VLOOKUP($A27,'Data shares'!$C:$FM,108)</f>
        <v>-9.69</v>
      </c>
      <c r="G27" s="50">
        <f t="shared" si="0"/>
        <v>0.66283924843423803</v>
      </c>
    </row>
    <row r="28" spans="1:7" x14ac:dyDescent="0.25">
      <c r="A28" s="49" t="str">
        <f>'Data shares'!C23</f>
        <v>BAJFINANCE</v>
      </c>
      <c r="B28" s="50">
        <f>VLOOKUP($A28,'Data shares'!$C:$FM,102)</f>
        <v>21.82</v>
      </c>
      <c r="C28" s="50">
        <f>VLOOKUP($A28,'Data shares'!$C:$FM,110)</f>
        <v>22.41</v>
      </c>
      <c r="D28" s="50">
        <f>VLOOKUP($A28,'Data shares'!$C:$FM,114)</f>
        <v>20.55</v>
      </c>
      <c r="E28" s="50">
        <f>VLOOKUP($A28,'Data shares'!$C:$FM,106)</f>
        <v>31.6</v>
      </c>
      <c r="F28" s="50">
        <f>VLOOKUP($A28,'Data shares'!$C:$FM,108)</f>
        <v>-9.7799999999999994</v>
      </c>
      <c r="G28" s="50">
        <f t="shared" si="0"/>
        <v>0.69050632911392407</v>
      </c>
    </row>
    <row r="29" spans="1:7" x14ac:dyDescent="0.25">
      <c r="A29" s="49" t="str">
        <f>'Data shares'!C24</f>
        <v>BANDHANBNK</v>
      </c>
      <c r="B29" s="50">
        <f>VLOOKUP($A29,'Data shares'!$C:$FM,102)</f>
        <v>34.520000000000003</v>
      </c>
      <c r="C29" s="50">
        <f>VLOOKUP($A29,'Data shares'!$C:$FM,110)</f>
        <v>33.28</v>
      </c>
      <c r="D29" s="50">
        <f>VLOOKUP($A29,'Data shares'!$C:$FM,114)</f>
        <v>42.1</v>
      </c>
      <c r="E29" s="50">
        <f>VLOOKUP($A29,'Data shares'!$C:$FM,106)</f>
        <v>42.12</v>
      </c>
      <c r="F29" s="50">
        <f>VLOOKUP($A29,'Data shares'!$C:$FM,108)</f>
        <v>-7.6</v>
      </c>
      <c r="G29" s="50">
        <f t="shared" si="0"/>
        <v>0.8195631528964864</v>
      </c>
    </row>
    <row r="30" spans="1:7" x14ac:dyDescent="0.25">
      <c r="A30" s="49" t="str">
        <f>'Data shares'!C25</f>
        <v>BANKBARODA</v>
      </c>
      <c r="B30" s="50">
        <f>VLOOKUP($A30,'Data shares'!$C:$FM,102)</f>
        <v>23.26</v>
      </c>
      <c r="C30" s="50">
        <f>VLOOKUP($A30,'Data shares'!$C:$FM,110)</f>
        <v>23.07</v>
      </c>
      <c r="D30" s="50">
        <f>VLOOKUP($A30,'Data shares'!$C:$FM,114)</f>
        <v>23.63</v>
      </c>
      <c r="E30" s="50">
        <f>VLOOKUP($A30,'Data shares'!$C:$FM,106)</f>
        <v>34.03</v>
      </c>
      <c r="F30" s="50">
        <f>VLOOKUP($A30,'Data shares'!$C:$FM,108)</f>
        <v>-10.77</v>
      </c>
      <c r="G30" s="50">
        <f t="shared" si="0"/>
        <v>0.68351454598883343</v>
      </c>
    </row>
    <row r="31" spans="1:7" x14ac:dyDescent="0.25">
      <c r="A31" s="49" t="str">
        <f>'Data shares'!C26</f>
        <v>BANKINDIA</v>
      </c>
      <c r="B31" s="50">
        <f>VLOOKUP($A31,'Data shares'!$C:$FM,102)</f>
        <v>25.53</v>
      </c>
      <c r="C31" s="50">
        <f>VLOOKUP($A31,'Data shares'!$C:$FM,110)</f>
        <v>24.61</v>
      </c>
      <c r="D31" s="50">
        <f>VLOOKUP($A31,'Data shares'!$C:$FM,114)</f>
        <v>28.08</v>
      </c>
      <c r="E31" s="50">
        <f>VLOOKUP($A31,'Data shares'!$C:$FM,106)</f>
        <v>38.630000000000003</v>
      </c>
      <c r="F31" s="50">
        <f>VLOOKUP($A31,'Data shares'!$C:$FM,108)</f>
        <v>-13.1</v>
      </c>
      <c r="G31" s="50">
        <f t="shared" si="0"/>
        <v>0.66088532228837693</v>
      </c>
    </row>
    <row r="32" spans="1:7" x14ac:dyDescent="0.25">
      <c r="A32" s="49" t="str">
        <f>'Data shares'!C27</f>
        <v>BANKNIFTY</v>
      </c>
      <c r="B32" s="50">
        <f>VLOOKUP($A32,'Data shares'!$C:$FM,102)</f>
        <v>10.82</v>
      </c>
      <c r="C32" s="50">
        <f>VLOOKUP($A32,'Data shares'!$C:$FM,110)</f>
        <v>10.76</v>
      </c>
      <c r="D32" s="50">
        <f>VLOOKUP($A32,'Data shares'!$C:$FM,114)</f>
        <v>10.89</v>
      </c>
      <c r="E32" s="50">
        <f>VLOOKUP($A32,'Data shares'!$C:$FM,106)</f>
        <v>16.02</v>
      </c>
      <c r="F32" s="50">
        <f>VLOOKUP($A32,'Data shares'!$C:$FM,108)</f>
        <v>-5.2</v>
      </c>
      <c r="G32" s="50">
        <f t="shared" si="0"/>
        <v>0.67540574282147314</v>
      </c>
    </row>
    <row r="33" spans="1:7" x14ac:dyDescent="0.25">
      <c r="A33" s="49" t="str">
        <f>'Data shares'!C28</f>
        <v>BDL</v>
      </c>
      <c r="B33" s="50">
        <f>VLOOKUP($A33,'Data shares'!$C:$FM,102)</f>
        <v>32.04</v>
      </c>
      <c r="C33" s="50">
        <f>VLOOKUP($A33,'Data shares'!$C:$FM,110)</f>
        <v>33.450000000000003</v>
      </c>
      <c r="D33" s="50">
        <f>VLOOKUP($A33,'Data shares'!$C:$FM,114)</f>
        <v>29.81</v>
      </c>
      <c r="E33" s="50">
        <f>VLOOKUP($A33,'Data shares'!$C:$FM,106)</f>
        <v>51.39</v>
      </c>
      <c r="F33" s="50">
        <f>VLOOKUP($A33,'Data shares'!$C:$FM,108)</f>
        <v>-19.350000000000001</v>
      </c>
      <c r="G33" s="50">
        <f t="shared" si="0"/>
        <v>0.62346760070052532</v>
      </c>
    </row>
    <row r="34" spans="1:7" x14ac:dyDescent="0.25">
      <c r="A34" s="49" t="str">
        <f>'Data shares'!C29</f>
        <v>BEL</v>
      </c>
      <c r="B34" s="50">
        <f>VLOOKUP($A34,'Data shares'!$C:$FM,102)</f>
        <v>24.13</v>
      </c>
      <c r="C34" s="50">
        <f>VLOOKUP($A34,'Data shares'!$C:$FM,110)</f>
        <v>25.08</v>
      </c>
      <c r="D34" s="50">
        <f>VLOOKUP($A34,'Data shares'!$C:$FM,114)</f>
        <v>21.72</v>
      </c>
      <c r="E34" s="50">
        <f>VLOOKUP($A34,'Data shares'!$C:$FM,106)</f>
        <v>36.17</v>
      </c>
      <c r="F34" s="50">
        <f>VLOOKUP($A34,'Data shares'!$C:$FM,108)</f>
        <v>-12.04</v>
      </c>
      <c r="G34" s="50">
        <f t="shared" si="0"/>
        <v>0.66712745369090398</v>
      </c>
    </row>
    <row r="35" spans="1:7" x14ac:dyDescent="0.25">
      <c r="A35" s="49" t="str">
        <f>'Data shares'!C30</f>
        <v>BHARATFORG</v>
      </c>
      <c r="B35" s="50">
        <f>VLOOKUP($A35,'Data shares'!$C:$FM,102)</f>
        <v>24</v>
      </c>
      <c r="C35" s="50">
        <f>VLOOKUP($A35,'Data shares'!$C:$FM,110)</f>
        <v>23.78</v>
      </c>
      <c r="D35" s="50">
        <f>VLOOKUP($A35,'Data shares'!$C:$FM,114)</f>
        <v>24.51</v>
      </c>
      <c r="E35" s="50">
        <f>VLOOKUP($A35,'Data shares'!$C:$FM,106)</f>
        <v>37.15</v>
      </c>
      <c r="F35" s="50">
        <f>VLOOKUP($A35,'Data shares'!$C:$FM,108)</f>
        <v>-13.15</v>
      </c>
      <c r="G35" s="50">
        <f t="shared" si="0"/>
        <v>0.64602960969044421</v>
      </c>
    </row>
    <row r="36" spans="1:7" x14ac:dyDescent="0.25">
      <c r="A36" s="49" t="str">
        <f>'Data shares'!C31</f>
        <v>BHARTIARTL</v>
      </c>
      <c r="B36" s="50">
        <f>VLOOKUP($A36,'Data shares'!$C:$FM,102)</f>
        <v>16.13</v>
      </c>
      <c r="C36" s="50">
        <f>VLOOKUP($A36,'Data shares'!$C:$FM,110)</f>
        <v>15.98</v>
      </c>
      <c r="D36" s="50">
        <f>VLOOKUP($A36,'Data shares'!$C:$FM,114)</f>
        <v>16.41</v>
      </c>
      <c r="E36" s="50">
        <f>VLOOKUP($A36,'Data shares'!$C:$FM,106)</f>
        <v>24.59</v>
      </c>
      <c r="F36" s="50">
        <f>VLOOKUP($A36,'Data shares'!$C:$FM,108)</f>
        <v>-8.4600000000000009</v>
      </c>
      <c r="G36" s="50">
        <f t="shared" si="0"/>
        <v>0.65595770638470918</v>
      </c>
    </row>
    <row r="37" spans="1:7" x14ac:dyDescent="0.25">
      <c r="A37" s="49" t="str">
        <f>'Data shares'!C32</f>
        <v>BHEL</v>
      </c>
      <c r="B37" s="50">
        <f>VLOOKUP($A37,'Data shares'!$C:$FM,102)</f>
        <v>28.95</v>
      </c>
      <c r="C37" s="50">
        <f>VLOOKUP($A37,'Data shares'!$C:$FM,110)</f>
        <v>29.41</v>
      </c>
      <c r="D37" s="50">
        <f>VLOOKUP($A37,'Data shares'!$C:$FM,114)</f>
        <v>27.51</v>
      </c>
      <c r="E37" s="50">
        <f>VLOOKUP($A37,'Data shares'!$C:$FM,106)</f>
        <v>44.34</v>
      </c>
      <c r="F37" s="50">
        <f>VLOOKUP($A37,'Data shares'!$C:$FM,108)</f>
        <v>-15.39</v>
      </c>
      <c r="G37" s="50">
        <f t="shared" si="0"/>
        <v>0.65290933694181319</v>
      </c>
    </row>
    <row r="38" spans="1:7" x14ac:dyDescent="0.25">
      <c r="A38" s="49" t="str">
        <f>'Data shares'!C33</f>
        <v>BIOCON</v>
      </c>
      <c r="B38" s="50">
        <f>VLOOKUP($A38,'Data shares'!$C:$FM,102)</f>
        <v>25.88</v>
      </c>
      <c r="C38" s="50">
        <f>VLOOKUP($A38,'Data shares'!$C:$FM,110)</f>
        <v>26.3</v>
      </c>
      <c r="D38" s="50">
        <f>VLOOKUP($A38,'Data shares'!$C:$FM,114)</f>
        <v>24.62</v>
      </c>
      <c r="E38" s="50">
        <f>VLOOKUP($A38,'Data shares'!$C:$FM,106)</f>
        <v>38.56</v>
      </c>
      <c r="F38" s="50">
        <f>VLOOKUP($A38,'Data shares'!$C:$FM,108)</f>
        <v>-12.68</v>
      </c>
      <c r="G38" s="50">
        <f t="shared" si="0"/>
        <v>0.67116182572614103</v>
      </c>
    </row>
    <row r="39" spans="1:7" x14ac:dyDescent="0.25">
      <c r="A39" s="49" t="str">
        <f>'Data shares'!C34</f>
        <v>BLUESTARCO</v>
      </c>
      <c r="B39" s="50">
        <f>VLOOKUP($A39,'Data shares'!$C:$FM,102)</f>
        <v>22.15</v>
      </c>
      <c r="C39" s="50">
        <f>VLOOKUP($A39,'Data shares'!$C:$FM,110)</f>
        <v>22.26</v>
      </c>
      <c r="D39" s="50">
        <f>VLOOKUP($A39,'Data shares'!$C:$FM,114)</f>
        <v>21.68</v>
      </c>
      <c r="E39" s="50">
        <f>VLOOKUP($A39,'Data shares'!$C:$FM,106)</f>
        <v>39.869999999999997</v>
      </c>
      <c r="F39" s="50">
        <f>VLOOKUP($A39,'Data shares'!$C:$FM,108)</f>
        <v>-17.72</v>
      </c>
      <c r="G39" s="50">
        <f t="shared" ref="G39:G70" si="1">B39/E39</f>
        <v>0.55555555555555558</v>
      </c>
    </row>
    <row r="40" spans="1:7" x14ac:dyDescent="0.25">
      <c r="A40" s="49" t="str">
        <f>'Data shares'!C35</f>
        <v>BOSCHLTD</v>
      </c>
      <c r="B40" s="50">
        <f>VLOOKUP($A40,'Data shares'!$C:$FM,102)</f>
        <v>23.07</v>
      </c>
      <c r="C40" s="50">
        <f>VLOOKUP($A40,'Data shares'!$C:$FM,110)</f>
        <v>23.65</v>
      </c>
      <c r="D40" s="50">
        <f>VLOOKUP($A40,'Data shares'!$C:$FM,114)</f>
        <v>19.149999999999999</v>
      </c>
      <c r="E40" s="50">
        <f>VLOOKUP($A40,'Data shares'!$C:$FM,106)</f>
        <v>27.58</v>
      </c>
      <c r="F40" s="50">
        <f>VLOOKUP($A40,'Data shares'!$C:$FM,108)</f>
        <v>-4.51</v>
      </c>
      <c r="G40" s="50">
        <f t="shared" si="1"/>
        <v>0.83647570703408269</v>
      </c>
    </row>
    <row r="41" spans="1:7" x14ac:dyDescent="0.25">
      <c r="A41" s="49" t="str">
        <f>'Data shares'!C36</f>
        <v>BPCL</v>
      </c>
      <c r="B41" s="50">
        <f>VLOOKUP($A41,'Data shares'!$C:$FM,102)</f>
        <v>24.31</v>
      </c>
      <c r="C41" s="50">
        <f>VLOOKUP($A41,'Data shares'!$C:$FM,110)</f>
        <v>24.24</v>
      </c>
      <c r="D41" s="50">
        <f>VLOOKUP($A41,'Data shares'!$C:$FM,114)</f>
        <v>24.55</v>
      </c>
      <c r="E41" s="50">
        <f>VLOOKUP($A41,'Data shares'!$C:$FM,106)</f>
        <v>32.5</v>
      </c>
      <c r="F41" s="50">
        <f>VLOOKUP($A41,'Data shares'!$C:$FM,108)</f>
        <v>-8.19</v>
      </c>
      <c r="G41" s="50">
        <f t="shared" si="1"/>
        <v>0.748</v>
      </c>
    </row>
    <row r="42" spans="1:7" x14ac:dyDescent="0.25">
      <c r="A42" s="49" t="str">
        <f>'Data shares'!C37</f>
        <v>BRITANNIA</v>
      </c>
      <c r="B42" s="50">
        <f>VLOOKUP($A42,'Data shares'!$C:$FM,102)</f>
        <v>18.75</v>
      </c>
      <c r="C42" s="50">
        <f>VLOOKUP($A42,'Data shares'!$C:$FM,110)</f>
        <v>18.72</v>
      </c>
      <c r="D42" s="50">
        <f>VLOOKUP($A42,'Data shares'!$C:$FM,114)</f>
        <v>18.809999999999999</v>
      </c>
      <c r="E42" s="50">
        <f>VLOOKUP($A42,'Data shares'!$C:$FM,106)</f>
        <v>24.17</v>
      </c>
      <c r="F42" s="50">
        <f>VLOOKUP($A42,'Data shares'!$C:$FM,108)</f>
        <v>-5.42</v>
      </c>
      <c r="G42" s="50">
        <f t="shared" si="1"/>
        <v>0.77575506826644591</v>
      </c>
    </row>
    <row r="43" spans="1:7" x14ac:dyDescent="0.25">
      <c r="A43" s="49" t="str">
        <f>'Data shares'!C38</f>
        <v>BSE</v>
      </c>
      <c r="B43" s="50">
        <f>VLOOKUP($A43,'Data shares'!$C:$FM,102)</f>
        <v>39.08</v>
      </c>
      <c r="C43" s="50">
        <f>VLOOKUP($A43,'Data shares'!$C:$FM,110)</f>
        <v>39.340000000000003</v>
      </c>
      <c r="D43" s="50">
        <f>VLOOKUP($A43,'Data shares'!$C:$FM,114)</f>
        <v>38.57</v>
      </c>
      <c r="E43" s="50">
        <f>VLOOKUP($A43,'Data shares'!$C:$FM,106)</f>
        <v>60.62</v>
      </c>
      <c r="F43" s="50">
        <f>VLOOKUP($A43,'Data shares'!$C:$FM,108)</f>
        <v>-21.54</v>
      </c>
      <c r="G43" s="50">
        <f t="shared" si="1"/>
        <v>0.64467172550313423</v>
      </c>
    </row>
    <row r="44" spans="1:7" x14ac:dyDescent="0.25">
      <c r="A44" s="49" t="str">
        <f>'Data shares'!C39</f>
        <v>CAMS</v>
      </c>
      <c r="B44" s="50">
        <f>VLOOKUP($A44,'Data shares'!$C:$FM,102)</f>
        <v>29.44</v>
      </c>
      <c r="C44" s="50">
        <f>VLOOKUP($A44,'Data shares'!$C:$FM,110)</f>
        <v>29.9</v>
      </c>
      <c r="D44" s="50">
        <f>VLOOKUP($A44,'Data shares'!$C:$FM,114)</f>
        <v>28.96</v>
      </c>
      <c r="E44" s="50">
        <f>VLOOKUP($A44,'Data shares'!$C:$FM,106)</f>
        <v>40.6</v>
      </c>
      <c r="F44" s="50">
        <f>VLOOKUP($A44,'Data shares'!$C:$FM,108)</f>
        <v>-11.16</v>
      </c>
      <c r="G44" s="50">
        <f t="shared" si="1"/>
        <v>0.72512315270935956</v>
      </c>
    </row>
    <row r="45" spans="1:7" x14ac:dyDescent="0.25">
      <c r="A45" s="49" t="str">
        <f>'Data shares'!C40</f>
        <v>CANBK</v>
      </c>
      <c r="B45" s="50">
        <f>VLOOKUP($A45,'Data shares'!$C:$FM,102)</f>
        <v>25.05</v>
      </c>
      <c r="C45" s="50">
        <f>VLOOKUP($A45,'Data shares'!$C:$FM,110)</f>
        <v>24.78</v>
      </c>
      <c r="D45" s="50">
        <f>VLOOKUP($A45,'Data shares'!$C:$FM,114)</f>
        <v>25.59</v>
      </c>
      <c r="E45" s="50">
        <f>VLOOKUP($A45,'Data shares'!$C:$FM,106)</f>
        <v>36.14</v>
      </c>
      <c r="F45" s="50">
        <f>VLOOKUP($A45,'Data shares'!$C:$FM,108)</f>
        <v>-11.09</v>
      </c>
      <c r="G45" s="50">
        <f t="shared" si="1"/>
        <v>0.69313779745434423</v>
      </c>
    </row>
    <row r="46" spans="1:7" x14ac:dyDescent="0.25">
      <c r="A46" s="49" t="str">
        <f>'Data shares'!C41</f>
        <v>CDSL</v>
      </c>
      <c r="B46" s="50">
        <f>VLOOKUP($A46,'Data shares'!$C:$FM,102)</f>
        <v>29.96</v>
      </c>
      <c r="C46" s="50">
        <f>VLOOKUP($A46,'Data shares'!$C:$FM,110)</f>
        <v>31.1</v>
      </c>
      <c r="D46" s="50">
        <f>VLOOKUP($A46,'Data shares'!$C:$FM,114)</f>
        <v>26.68</v>
      </c>
      <c r="E46" s="50">
        <f>VLOOKUP($A46,'Data shares'!$C:$FM,106)</f>
        <v>45.05</v>
      </c>
      <c r="F46" s="50">
        <f>VLOOKUP($A46,'Data shares'!$C:$FM,108)</f>
        <v>-15.09</v>
      </c>
      <c r="G46" s="50">
        <f t="shared" si="1"/>
        <v>0.66503884572697014</v>
      </c>
    </row>
    <row r="47" spans="1:7" x14ac:dyDescent="0.25">
      <c r="A47" s="49" t="str">
        <f>'Data shares'!C42</f>
        <v>CGPOWER</v>
      </c>
      <c r="B47" s="50">
        <f>VLOOKUP($A47,'Data shares'!$C:$FM,102)</f>
        <v>27.94</v>
      </c>
      <c r="C47" s="50">
        <f>VLOOKUP($A47,'Data shares'!$C:$FM,110)</f>
        <v>28.27</v>
      </c>
      <c r="D47" s="50">
        <f>VLOOKUP($A47,'Data shares'!$C:$FM,114)</f>
        <v>26.44</v>
      </c>
      <c r="E47" s="50">
        <f>VLOOKUP($A47,'Data shares'!$C:$FM,106)</f>
        <v>39.25</v>
      </c>
      <c r="F47" s="50">
        <f>VLOOKUP($A47,'Data shares'!$C:$FM,108)</f>
        <v>-11.31</v>
      </c>
      <c r="G47" s="50">
        <f t="shared" si="1"/>
        <v>0.71184713375796183</v>
      </c>
    </row>
    <row r="48" spans="1:7" x14ac:dyDescent="0.25">
      <c r="A48" s="49" t="str">
        <f>'Data shares'!C43</f>
        <v>CHOLAFIN</v>
      </c>
      <c r="B48" s="50">
        <f>VLOOKUP($A48,'Data shares'!$C:$FM,102)</f>
        <v>25.71</v>
      </c>
      <c r="C48" s="50">
        <f>VLOOKUP($A48,'Data shares'!$C:$FM,110)</f>
        <v>25.51</v>
      </c>
      <c r="D48" s="50">
        <f>VLOOKUP($A48,'Data shares'!$C:$FM,114)</f>
        <v>26.04</v>
      </c>
      <c r="E48" s="50">
        <f>VLOOKUP($A48,'Data shares'!$C:$FM,106)</f>
        <v>36.979999999999997</v>
      </c>
      <c r="F48" s="50">
        <f>VLOOKUP($A48,'Data shares'!$C:$FM,108)</f>
        <v>-11.27</v>
      </c>
      <c r="G48" s="50">
        <f t="shared" si="1"/>
        <v>0.6952406706327745</v>
      </c>
    </row>
    <row r="49" spans="1:7" x14ac:dyDescent="0.25">
      <c r="A49" s="49" t="str">
        <f>'Data shares'!C44</f>
        <v>CIPLA</v>
      </c>
      <c r="B49" s="50">
        <f>VLOOKUP($A49,'Data shares'!$C:$FM,102)</f>
        <v>15.48</v>
      </c>
      <c r="C49" s="50">
        <f>VLOOKUP($A49,'Data shares'!$C:$FM,110)</f>
        <v>15.67</v>
      </c>
      <c r="D49" s="50">
        <f>VLOOKUP($A49,'Data shares'!$C:$FM,114)</f>
        <v>14.99</v>
      </c>
      <c r="E49" s="50">
        <f>VLOOKUP($A49,'Data shares'!$C:$FM,106)</f>
        <v>25.68</v>
      </c>
      <c r="F49" s="50">
        <f>VLOOKUP($A49,'Data shares'!$C:$FM,108)</f>
        <v>-10.199999999999999</v>
      </c>
      <c r="G49" s="50">
        <f t="shared" si="1"/>
        <v>0.60280373831775702</v>
      </c>
    </row>
    <row r="50" spans="1:7" x14ac:dyDescent="0.25">
      <c r="A50" s="49" t="str">
        <f>'Data shares'!C45</f>
        <v>COALINDIA</v>
      </c>
      <c r="B50" s="50">
        <f>VLOOKUP($A50,'Data shares'!$C:$FM,102)</f>
        <v>13.7</v>
      </c>
      <c r="C50" s="50">
        <f>VLOOKUP($A50,'Data shares'!$C:$FM,110)</f>
        <v>13.31</v>
      </c>
      <c r="D50" s="50">
        <f>VLOOKUP($A50,'Data shares'!$C:$FM,114)</f>
        <v>14.39</v>
      </c>
      <c r="E50" s="50">
        <f>VLOOKUP($A50,'Data shares'!$C:$FM,106)</f>
        <v>26.85</v>
      </c>
      <c r="F50" s="50">
        <f>VLOOKUP($A50,'Data shares'!$C:$FM,108)</f>
        <v>-13.15</v>
      </c>
      <c r="G50" s="50">
        <f t="shared" si="1"/>
        <v>0.51024208566107998</v>
      </c>
    </row>
    <row r="51" spans="1:7" x14ac:dyDescent="0.25">
      <c r="A51" s="49" t="str">
        <f>'Data shares'!C46</f>
        <v>COFORGE</v>
      </c>
      <c r="B51" s="50">
        <f>VLOOKUP($A51,'Data shares'!$C:$FM,102)</f>
        <v>27.9</v>
      </c>
      <c r="C51" s="50">
        <f>VLOOKUP($A51,'Data shares'!$C:$FM,110)</f>
        <v>28.21</v>
      </c>
      <c r="D51" s="50">
        <f>VLOOKUP($A51,'Data shares'!$C:$FM,114)</f>
        <v>27.16</v>
      </c>
      <c r="E51" s="50">
        <f>VLOOKUP($A51,'Data shares'!$C:$FM,106)</f>
        <v>41.11</v>
      </c>
      <c r="F51" s="50">
        <f>VLOOKUP($A51,'Data shares'!$C:$FM,108)</f>
        <v>-13.21</v>
      </c>
      <c r="G51" s="50">
        <f t="shared" si="1"/>
        <v>0.67866699099975669</v>
      </c>
    </row>
    <row r="52" spans="1:7" x14ac:dyDescent="0.25">
      <c r="A52" s="49" t="str">
        <f>'Data shares'!C47</f>
        <v>COLPAL</v>
      </c>
      <c r="B52" s="50">
        <f>VLOOKUP($A52,'Data shares'!$C:$FM,102)</f>
        <v>22.16</v>
      </c>
      <c r="C52" s="50">
        <f>VLOOKUP($A52,'Data shares'!$C:$FM,110)</f>
        <v>23.06</v>
      </c>
      <c r="D52" s="50">
        <f>VLOOKUP($A52,'Data shares'!$C:$FM,114)</f>
        <v>20.97</v>
      </c>
      <c r="E52" s="50">
        <f>VLOOKUP($A52,'Data shares'!$C:$FM,106)</f>
        <v>27.14</v>
      </c>
      <c r="F52" s="50">
        <f>VLOOKUP($A52,'Data shares'!$C:$FM,108)</f>
        <v>-4.9800000000000004</v>
      </c>
      <c r="G52" s="50">
        <f t="shared" si="1"/>
        <v>0.81650700073691962</v>
      </c>
    </row>
    <row r="53" spans="1:7" x14ac:dyDescent="0.25">
      <c r="A53" s="49" t="str">
        <f>'Data shares'!C48</f>
        <v>CONCOR</v>
      </c>
      <c r="B53" s="50">
        <f>VLOOKUP($A53,'Data shares'!$C:$FM,102)</f>
        <v>20.81</v>
      </c>
      <c r="C53" s="50">
        <f>VLOOKUP($A53,'Data shares'!$C:$FM,110)</f>
        <v>21.45</v>
      </c>
      <c r="D53" s="50">
        <f>VLOOKUP($A53,'Data shares'!$C:$FM,114)</f>
        <v>19.37</v>
      </c>
      <c r="E53" s="50">
        <f>VLOOKUP($A53,'Data shares'!$C:$FM,106)</f>
        <v>34.08</v>
      </c>
      <c r="F53" s="50">
        <f>VLOOKUP($A53,'Data shares'!$C:$FM,108)</f>
        <v>-13.27</v>
      </c>
      <c r="G53" s="50">
        <f t="shared" si="1"/>
        <v>0.6106220657276995</v>
      </c>
    </row>
    <row r="54" spans="1:7" x14ac:dyDescent="0.25">
      <c r="A54" s="49" t="str">
        <f>'Data shares'!C49</f>
        <v>CROMPTON</v>
      </c>
      <c r="B54" s="50">
        <f>VLOOKUP($A54,'Data shares'!$C:$FM,102)</f>
        <v>26.22</v>
      </c>
      <c r="C54" s="50">
        <f>VLOOKUP($A54,'Data shares'!$C:$FM,110)</f>
        <v>26.6</v>
      </c>
      <c r="D54" s="50">
        <f>VLOOKUP($A54,'Data shares'!$C:$FM,114)</f>
        <v>24.93</v>
      </c>
      <c r="E54" s="50">
        <f>VLOOKUP($A54,'Data shares'!$C:$FM,106)</f>
        <v>30.79</v>
      </c>
      <c r="F54" s="50">
        <f>VLOOKUP($A54,'Data shares'!$C:$FM,108)</f>
        <v>-4.57</v>
      </c>
      <c r="G54" s="50">
        <f t="shared" si="1"/>
        <v>0.8515751867489445</v>
      </c>
    </row>
    <row r="55" spans="1:7" x14ac:dyDescent="0.25">
      <c r="A55" s="49" t="str">
        <f>'Data shares'!C50</f>
        <v>CUMMINSIND</v>
      </c>
      <c r="B55" s="50">
        <f>VLOOKUP($A55,'Data shares'!$C:$FM,102)</f>
        <v>20.47</v>
      </c>
      <c r="C55" s="50">
        <f>VLOOKUP($A55,'Data shares'!$C:$FM,110)</f>
        <v>20.25</v>
      </c>
      <c r="D55" s="50">
        <f>VLOOKUP($A55,'Data shares'!$C:$FM,114)</f>
        <v>21.15</v>
      </c>
      <c r="E55" s="50">
        <f>VLOOKUP($A55,'Data shares'!$C:$FM,106)</f>
        <v>33.47</v>
      </c>
      <c r="F55" s="50">
        <f>VLOOKUP($A55,'Data shares'!$C:$FM,108)</f>
        <v>-13</v>
      </c>
      <c r="G55" s="50">
        <f t="shared" si="1"/>
        <v>0.61159247086943536</v>
      </c>
    </row>
    <row r="56" spans="1:7" x14ac:dyDescent="0.25">
      <c r="A56" s="49" t="str">
        <f>'Data shares'!C51</f>
        <v>CYIENT</v>
      </c>
      <c r="B56" s="50">
        <f>VLOOKUP($A56,'Data shares'!$C:$FM,102)</f>
        <v>26.27</v>
      </c>
      <c r="C56" s="50">
        <f>VLOOKUP($A56,'Data shares'!$C:$FM,110)</f>
        <v>27.27</v>
      </c>
      <c r="D56" s="50">
        <f>VLOOKUP($A56,'Data shares'!$C:$FM,114)</f>
        <v>24.96</v>
      </c>
      <c r="E56" s="50">
        <f>VLOOKUP($A56,'Data shares'!$C:$FM,106)</f>
        <v>41.84</v>
      </c>
      <c r="F56" s="50">
        <f>VLOOKUP($A56,'Data shares'!$C:$FM,108)</f>
        <v>-15.57</v>
      </c>
      <c r="G56" s="50">
        <f t="shared" si="1"/>
        <v>0.62786806883365198</v>
      </c>
    </row>
    <row r="57" spans="1:7" x14ac:dyDescent="0.25">
      <c r="A57" s="49" t="str">
        <f>'Data shares'!C52</f>
        <v>DABUR</v>
      </c>
      <c r="B57" s="50">
        <f>VLOOKUP($A57,'Data shares'!$C:$FM,102)</f>
        <v>20.47</v>
      </c>
      <c r="C57" s="50">
        <f>VLOOKUP($A57,'Data shares'!$C:$FM,110)</f>
        <v>20.76</v>
      </c>
      <c r="D57" s="50">
        <f>VLOOKUP($A57,'Data shares'!$C:$FM,114)</f>
        <v>19.68</v>
      </c>
      <c r="E57" s="50">
        <f>VLOOKUP($A57,'Data shares'!$C:$FM,106)</f>
        <v>24.64</v>
      </c>
      <c r="F57" s="50">
        <f>VLOOKUP($A57,'Data shares'!$C:$FM,108)</f>
        <v>-4.17</v>
      </c>
      <c r="G57" s="50">
        <f t="shared" si="1"/>
        <v>0.8307629870129869</v>
      </c>
    </row>
    <row r="58" spans="1:7" x14ac:dyDescent="0.25">
      <c r="A58" s="49" t="str">
        <f>'Data shares'!C53</f>
        <v>DALBHARAT</v>
      </c>
      <c r="B58" s="50">
        <f>VLOOKUP($A58,'Data shares'!$C:$FM,102)</f>
        <v>21.57</v>
      </c>
      <c r="C58" s="50">
        <f>VLOOKUP($A58,'Data shares'!$C:$FM,110)</f>
        <v>21.42</v>
      </c>
      <c r="D58" s="50">
        <f>VLOOKUP($A58,'Data shares'!$C:$FM,114)</f>
        <v>21.95</v>
      </c>
      <c r="E58" s="50">
        <f>VLOOKUP($A58,'Data shares'!$C:$FM,106)</f>
        <v>29.08</v>
      </c>
      <c r="F58" s="50">
        <f>VLOOKUP($A58,'Data shares'!$C:$FM,108)</f>
        <v>-7.51</v>
      </c>
      <c r="G58" s="50">
        <f t="shared" si="1"/>
        <v>0.74174690508940855</v>
      </c>
    </row>
    <row r="59" spans="1:7" x14ac:dyDescent="0.25">
      <c r="A59" s="49" t="str">
        <f>'Data shares'!C54</f>
        <v>DELHIVERY</v>
      </c>
      <c r="B59" s="50">
        <f>VLOOKUP($A59,'Data shares'!$C:$FM,102)</f>
        <v>28.08</v>
      </c>
      <c r="C59" s="50">
        <f>VLOOKUP($A59,'Data shares'!$C:$FM,110)</f>
        <v>28.65</v>
      </c>
      <c r="D59" s="50">
        <f>VLOOKUP($A59,'Data shares'!$C:$FM,114)</f>
        <v>26.94</v>
      </c>
      <c r="E59" s="50">
        <f>VLOOKUP($A59,'Data shares'!$C:$FM,106)</f>
        <v>41.02</v>
      </c>
      <c r="F59" s="50">
        <f>VLOOKUP($A59,'Data shares'!$C:$FM,108)</f>
        <v>-12.94</v>
      </c>
      <c r="G59" s="50">
        <f t="shared" si="1"/>
        <v>0.68454412481716231</v>
      </c>
    </row>
    <row r="60" spans="1:7" x14ac:dyDescent="0.25">
      <c r="A60" s="49" t="str">
        <f>'Data shares'!C55</f>
        <v>DIVISLAB</v>
      </c>
      <c r="B60" s="50">
        <f>VLOOKUP($A60,'Data shares'!$C:$FM,102)</f>
        <v>20.46</v>
      </c>
      <c r="C60" s="50">
        <f>VLOOKUP($A60,'Data shares'!$C:$FM,110)</f>
        <v>20.97</v>
      </c>
      <c r="D60" s="50">
        <f>VLOOKUP($A60,'Data shares'!$C:$FM,114)</f>
        <v>19.32</v>
      </c>
      <c r="E60" s="50">
        <f>VLOOKUP($A60,'Data shares'!$C:$FM,106)</f>
        <v>30.39</v>
      </c>
      <c r="F60" s="50">
        <f>VLOOKUP($A60,'Data shares'!$C:$FM,108)</f>
        <v>-9.93</v>
      </c>
      <c r="G60" s="50">
        <f t="shared" si="1"/>
        <v>0.67324777887462983</v>
      </c>
    </row>
    <row r="61" spans="1:7" x14ac:dyDescent="0.25">
      <c r="A61" s="49" t="str">
        <f>'Data shares'!C56</f>
        <v>DIXON</v>
      </c>
      <c r="B61" s="50">
        <f>VLOOKUP($A61,'Data shares'!$C:$FM,102)</f>
        <v>35.229999999999997</v>
      </c>
      <c r="C61" s="50">
        <f>VLOOKUP($A61,'Data shares'!$C:$FM,110)</f>
        <v>35.28</v>
      </c>
      <c r="D61" s="50">
        <f>VLOOKUP($A61,'Data shares'!$C:$FM,114)</f>
        <v>35.18</v>
      </c>
      <c r="E61" s="50">
        <f>VLOOKUP($A61,'Data shares'!$C:$FM,106)</f>
        <v>44.97</v>
      </c>
      <c r="F61" s="50">
        <f>VLOOKUP($A61,'Data shares'!$C:$FM,108)</f>
        <v>-9.74</v>
      </c>
      <c r="G61" s="50">
        <f t="shared" si="1"/>
        <v>0.78341116299755387</v>
      </c>
    </row>
    <row r="62" spans="1:7" x14ac:dyDescent="0.25">
      <c r="A62" s="49" t="str">
        <f>'Data shares'!C57</f>
        <v>DLF</v>
      </c>
      <c r="B62" s="50">
        <f>VLOOKUP($A62,'Data shares'!$C:$FM,102)</f>
        <v>24.27</v>
      </c>
      <c r="C62" s="50">
        <f>VLOOKUP($A62,'Data shares'!$C:$FM,110)</f>
        <v>24.67</v>
      </c>
      <c r="D62" s="50">
        <f>VLOOKUP($A62,'Data shares'!$C:$FM,114)</f>
        <v>23.23</v>
      </c>
      <c r="E62" s="50">
        <f>VLOOKUP($A62,'Data shares'!$C:$FM,106)</f>
        <v>35.049999999999997</v>
      </c>
      <c r="F62" s="50">
        <f>VLOOKUP($A62,'Data shares'!$C:$FM,108)</f>
        <v>-10.78</v>
      </c>
      <c r="G62" s="50">
        <f t="shared" si="1"/>
        <v>0.69243937232524966</v>
      </c>
    </row>
    <row r="63" spans="1:7" x14ac:dyDescent="0.25">
      <c r="A63" s="49" t="str">
        <f>'Data shares'!C58</f>
        <v>DMART</v>
      </c>
      <c r="B63" s="50">
        <f>VLOOKUP($A63,'Data shares'!$C:$FM,102)</f>
        <v>22.57</v>
      </c>
      <c r="C63" s="50">
        <f>VLOOKUP($A63,'Data shares'!$C:$FM,110)</f>
        <v>22.89</v>
      </c>
      <c r="D63" s="50">
        <f>VLOOKUP($A63,'Data shares'!$C:$FM,114)</f>
        <v>21.76</v>
      </c>
      <c r="E63" s="50">
        <f>VLOOKUP($A63,'Data shares'!$C:$FM,106)</f>
        <v>30.73</v>
      </c>
      <c r="F63" s="50">
        <f>VLOOKUP($A63,'Data shares'!$C:$FM,108)</f>
        <v>-8.16</v>
      </c>
      <c r="G63" s="50">
        <f t="shared" si="1"/>
        <v>0.73446143833387567</v>
      </c>
    </row>
    <row r="64" spans="1:7" x14ac:dyDescent="0.25">
      <c r="A64" s="49" t="str">
        <f>'Data shares'!C59</f>
        <v>DRREDDY</v>
      </c>
      <c r="B64" s="50">
        <f>VLOOKUP($A64,'Data shares'!$C:$FM,102)</f>
        <v>14.89</v>
      </c>
      <c r="C64" s="50">
        <f>VLOOKUP($A64,'Data shares'!$C:$FM,110)</f>
        <v>14.74</v>
      </c>
      <c r="D64" s="50">
        <f>VLOOKUP($A64,'Data shares'!$C:$FM,114)</f>
        <v>15.17</v>
      </c>
      <c r="E64" s="50">
        <f>VLOOKUP($A64,'Data shares'!$C:$FM,106)</f>
        <v>24.02</v>
      </c>
      <c r="F64" s="50">
        <f>VLOOKUP($A64,'Data shares'!$C:$FM,108)</f>
        <v>-9.1300000000000008</v>
      </c>
      <c r="G64" s="50">
        <f t="shared" si="1"/>
        <v>0.61990008326394674</v>
      </c>
    </row>
    <row r="65" spans="1:7" x14ac:dyDescent="0.25">
      <c r="A65" s="49" t="str">
        <f>'Data shares'!C60</f>
        <v>EICHERMOT</v>
      </c>
      <c r="B65" s="50">
        <f>VLOOKUP($A65,'Data shares'!$C:$FM,102)</f>
        <v>20.09</v>
      </c>
      <c r="C65" s="50">
        <f>VLOOKUP($A65,'Data shares'!$C:$FM,110)</f>
        <v>20.12</v>
      </c>
      <c r="D65" s="50">
        <f>VLOOKUP($A65,'Data shares'!$C:$FM,114)</f>
        <v>20.05</v>
      </c>
      <c r="E65" s="50">
        <f>VLOOKUP($A65,'Data shares'!$C:$FM,106)</f>
        <v>27.15</v>
      </c>
      <c r="F65" s="50">
        <f>VLOOKUP($A65,'Data shares'!$C:$FM,108)</f>
        <v>-7.06</v>
      </c>
      <c r="G65" s="50">
        <f t="shared" si="1"/>
        <v>0.73996316758747704</v>
      </c>
    </row>
    <row r="66" spans="1:7" x14ac:dyDescent="0.25">
      <c r="A66" s="49" t="str">
        <f>'Data shares'!C61</f>
        <v>ETERNAL</v>
      </c>
      <c r="B66" s="50">
        <f>VLOOKUP($A66,'Data shares'!$C:$FM,102)</f>
        <v>29.47</v>
      </c>
      <c r="C66" s="50">
        <f>VLOOKUP($A66,'Data shares'!$C:$FM,110)</f>
        <v>30.08</v>
      </c>
      <c r="D66" s="50">
        <f>VLOOKUP($A66,'Data shares'!$C:$FM,114)</f>
        <v>28.43</v>
      </c>
      <c r="E66" s="50">
        <f>VLOOKUP($A66,'Data shares'!$C:$FM,106)</f>
        <v>43.94</v>
      </c>
      <c r="F66" s="50">
        <f>VLOOKUP($A66,'Data shares'!$C:$FM,108)</f>
        <v>-14.47</v>
      </c>
      <c r="G66" s="50">
        <f t="shared" si="1"/>
        <v>0.67068730086481565</v>
      </c>
    </row>
    <row r="67" spans="1:7" x14ac:dyDescent="0.25">
      <c r="A67" s="49" t="str">
        <f>'Data shares'!C62</f>
        <v>EXIDEIND</v>
      </c>
      <c r="B67" s="50">
        <f>VLOOKUP($A67,'Data shares'!$C:$FM,102)</f>
        <v>22.73</v>
      </c>
      <c r="C67" s="50">
        <f>VLOOKUP($A67,'Data shares'!$C:$FM,110)</f>
        <v>22.9</v>
      </c>
      <c r="D67" s="50">
        <f>VLOOKUP($A67,'Data shares'!$C:$FM,114)</f>
        <v>22.3</v>
      </c>
      <c r="E67" s="50">
        <f>VLOOKUP($A67,'Data shares'!$C:$FM,106)</f>
        <v>33.479999999999997</v>
      </c>
      <c r="F67" s="50">
        <f>VLOOKUP($A67,'Data shares'!$C:$FM,108)</f>
        <v>-10.75</v>
      </c>
      <c r="G67" s="50">
        <f t="shared" si="1"/>
        <v>0.67891278375149355</v>
      </c>
    </row>
    <row r="68" spans="1:7" x14ac:dyDescent="0.25">
      <c r="A68" s="49" t="str">
        <f>'Data shares'!C63</f>
        <v>FEDERALBNK</v>
      </c>
      <c r="B68" s="50">
        <f>VLOOKUP($A68,'Data shares'!$C:$FM,102)</f>
        <v>19.47</v>
      </c>
      <c r="C68" s="50">
        <f>VLOOKUP($A68,'Data shares'!$C:$FM,110)</f>
        <v>19.079999999999998</v>
      </c>
      <c r="D68" s="50">
        <f>VLOOKUP($A68,'Data shares'!$C:$FM,114)</f>
        <v>20.13</v>
      </c>
      <c r="E68" s="50">
        <f>VLOOKUP($A68,'Data shares'!$C:$FM,106)</f>
        <v>28.37</v>
      </c>
      <c r="F68" s="50">
        <f>VLOOKUP($A68,'Data shares'!$C:$FM,108)</f>
        <v>-8.9</v>
      </c>
      <c r="G68" s="50">
        <f t="shared" si="1"/>
        <v>0.68628833274585821</v>
      </c>
    </row>
    <row r="69" spans="1:7" x14ac:dyDescent="0.25">
      <c r="A69" s="49" t="str">
        <f>'Data shares'!C64</f>
        <v>FINNIFTY</v>
      </c>
      <c r="B69" s="50">
        <f>VLOOKUP($A69,'Data shares'!$C:$FM,102)</f>
        <v>10.71</v>
      </c>
      <c r="C69" s="50">
        <f>VLOOKUP($A69,'Data shares'!$C:$FM,110)</f>
        <v>10.62</v>
      </c>
      <c r="D69" s="50">
        <f>VLOOKUP($A69,'Data shares'!$C:$FM,114)</f>
        <v>10.85</v>
      </c>
      <c r="E69" s="50">
        <f>VLOOKUP($A69,'Data shares'!$C:$FM,106)</f>
        <v>16.63</v>
      </c>
      <c r="F69" s="50">
        <f>VLOOKUP($A69,'Data shares'!$C:$FM,108)</f>
        <v>-5.92</v>
      </c>
      <c r="G69" s="50">
        <f t="shared" si="1"/>
        <v>0.64401683704149137</v>
      </c>
    </row>
    <row r="70" spans="1:7" x14ac:dyDescent="0.25">
      <c r="A70" s="49" t="str">
        <f>'Data shares'!C65</f>
        <v>FORTIS</v>
      </c>
      <c r="B70" s="50">
        <f>VLOOKUP($A70,'Data shares'!$C:$FM,102)</f>
        <v>23.33</v>
      </c>
      <c r="C70" s="50">
        <f>VLOOKUP($A70,'Data shares'!$C:$FM,110)</f>
        <v>23.52</v>
      </c>
      <c r="D70" s="50">
        <f>VLOOKUP($A70,'Data shares'!$C:$FM,114)</f>
        <v>22.86</v>
      </c>
      <c r="E70" s="50">
        <f>VLOOKUP($A70,'Data shares'!$C:$FM,106)</f>
        <v>35.270000000000003</v>
      </c>
      <c r="F70" s="50">
        <f>VLOOKUP($A70,'Data shares'!$C:$FM,108)</f>
        <v>-11.94</v>
      </c>
      <c r="G70" s="50">
        <f t="shared" si="1"/>
        <v>0.66146867025800948</v>
      </c>
    </row>
    <row r="71" spans="1:7" x14ac:dyDescent="0.25">
      <c r="A71" s="49" t="str">
        <f>'Data shares'!C66</f>
        <v>GAIL</v>
      </c>
      <c r="B71" s="50">
        <f>VLOOKUP($A71,'Data shares'!$C:$FM,102)</f>
        <v>23.5</v>
      </c>
      <c r="C71" s="50">
        <f>VLOOKUP($A71,'Data shares'!$C:$FM,110)</f>
        <v>23.98</v>
      </c>
      <c r="D71" s="50">
        <f>VLOOKUP($A71,'Data shares'!$C:$FM,114)</f>
        <v>22.26</v>
      </c>
      <c r="E71" s="50">
        <f>VLOOKUP($A71,'Data shares'!$C:$FM,106)</f>
        <v>34.51</v>
      </c>
      <c r="F71" s="50">
        <f>VLOOKUP($A71,'Data shares'!$C:$FM,108)</f>
        <v>-11.01</v>
      </c>
      <c r="G71" s="50">
        <f t="shared" ref="G71:G102" si="2">B71/E71</f>
        <v>0.68096203998840921</v>
      </c>
    </row>
    <row r="72" spans="1:7" x14ac:dyDescent="0.25">
      <c r="A72" s="49" t="str">
        <f>'Data shares'!C67</f>
        <v>GLENMARK</v>
      </c>
      <c r="B72" s="50">
        <f>VLOOKUP($A72,'Data shares'!$C:$FM,102)</f>
        <v>23.41</v>
      </c>
      <c r="C72" s="50">
        <f>VLOOKUP($A72,'Data shares'!$C:$FM,110)</f>
        <v>23.62</v>
      </c>
      <c r="D72" s="50">
        <f>VLOOKUP($A72,'Data shares'!$C:$FM,114)</f>
        <v>22.97</v>
      </c>
      <c r="E72" s="50">
        <f>VLOOKUP($A72,'Data shares'!$C:$FM,106)</f>
        <v>35.950000000000003</v>
      </c>
      <c r="F72" s="50">
        <f>VLOOKUP($A72,'Data shares'!$C:$FM,108)</f>
        <v>-12.54</v>
      </c>
      <c r="G72" s="50">
        <f t="shared" si="2"/>
        <v>0.65118219749652295</v>
      </c>
    </row>
    <row r="73" spans="1:7" x14ac:dyDescent="0.25">
      <c r="A73" s="49" t="str">
        <f>'Data shares'!C68</f>
        <v>GMRAIRPORT</v>
      </c>
      <c r="B73" s="50">
        <f>VLOOKUP($A73,'Data shares'!$C:$FM,102)</f>
        <v>28.38</v>
      </c>
      <c r="C73" s="50">
        <f>VLOOKUP($A73,'Data shares'!$C:$FM,110)</f>
        <v>29.75</v>
      </c>
      <c r="D73" s="50">
        <f>VLOOKUP($A73,'Data shares'!$C:$FM,114)</f>
        <v>25.43</v>
      </c>
      <c r="E73" s="50">
        <f>VLOOKUP($A73,'Data shares'!$C:$FM,106)</f>
        <v>37.19</v>
      </c>
      <c r="F73" s="50">
        <f>VLOOKUP($A73,'Data shares'!$C:$FM,108)</f>
        <v>-8.81</v>
      </c>
      <c r="G73" s="50">
        <f t="shared" si="2"/>
        <v>0.76310836246302771</v>
      </c>
    </row>
    <row r="74" spans="1:7" x14ac:dyDescent="0.25">
      <c r="A74" s="49" t="str">
        <f>'Data shares'!C69</f>
        <v>GODREJCP</v>
      </c>
      <c r="B74" s="50">
        <f>VLOOKUP($A74,'Data shares'!$C:$FM,102)</f>
        <v>21.28</v>
      </c>
      <c r="C74" s="50">
        <f>VLOOKUP($A74,'Data shares'!$C:$FM,110)</f>
        <v>20.99</v>
      </c>
      <c r="D74" s="50">
        <f>VLOOKUP($A74,'Data shares'!$C:$FM,114)</f>
        <v>21.87</v>
      </c>
      <c r="E74" s="50">
        <f>VLOOKUP($A74,'Data shares'!$C:$FM,106)</f>
        <v>28.86</v>
      </c>
      <c r="F74" s="50">
        <f>VLOOKUP($A74,'Data shares'!$C:$FM,108)</f>
        <v>-7.58</v>
      </c>
      <c r="G74" s="50">
        <f t="shared" si="2"/>
        <v>0.73735273735273743</v>
      </c>
    </row>
    <row r="75" spans="1:7" x14ac:dyDescent="0.25">
      <c r="A75" s="49" t="str">
        <f>'Data shares'!C70</f>
        <v>GODREJPROP</v>
      </c>
      <c r="B75" s="50">
        <f>VLOOKUP($A75,'Data shares'!$C:$FM,102)</f>
        <v>27.34</v>
      </c>
      <c r="C75" s="50">
        <f>VLOOKUP($A75,'Data shares'!$C:$FM,110)</f>
        <v>28.14</v>
      </c>
      <c r="D75" s="50">
        <f>VLOOKUP($A75,'Data shares'!$C:$FM,114)</f>
        <v>26.03</v>
      </c>
      <c r="E75" s="50">
        <f>VLOOKUP($A75,'Data shares'!$C:$FM,106)</f>
        <v>42.44</v>
      </c>
      <c r="F75" s="50">
        <f>VLOOKUP($A75,'Data shares'!$C:$FM,108)</f>
        <v>-15.1</v>
      </c>
      <c r="G75" s="50">
        <f t="shared" si="2"/>
        <v>0.64420358152686152</v>
      </c>
    </row>
    <row r="76" spans="1:7" x14ac:dyDescent="0.25">
      <c r="A76" s="49" t="str">
        <f>'Data shares'!C71</f>
        <v>GRASIM</v>
      </c>
      <c r="B76" s="50">
        <f>VLOOKUP($A76,'Data shares'!$C:$FM,102)</f>
        <v>16.62</v>
      </c>
      <c r="C76" s="50">
        <f>VLOOKUP($A76,'Data shares'!$C:$FM,110)</f>
        <v>16.91</v>
      </c>
      <c r="D76" s="50">
        <f>VLOOKUP($A76,'Data shares'!$C:$FM,114)</f>
        <v>16.059999999999999</v>
      </c>
      <c r="E76" s="50">
        <f>VLOOKUP($A76,'Data shares'!$C:$FM,106)</f>
        <v>25.55</v>
      </c>
      <c r="F76" s="50">
        <f>VLOOKUP($A76,'Data shares'!$C:$FM,108)</f>
        <v>-8.93</v>
      </c>
      <c r="G76" s="50">
        <f t="shared" si="2"/>
        <v>0.65048923679060666</v>
      </c>
    </row>
    <row r="77" spans="1:7" x14ac:dyDescent="0.25">
      <c r="A77" s="49" t="str">
        <f>'Data shares'!C72</f>
        <v>HAL</v>
      </c>
      <c r="B77" s="50">
        <f>VLOOKUP($A77,'Data shares'!$C:$FM,102)</f>
        <v>25.34</v>
      </c>
      <c r="C77" s="50">
        <f>VLOOKUP($A77,'Data shares'!$C:$FM,110)</f>
        <v>26.25</v>
      </c>
      <c r="D77" s="50">
        <f>VLOOKUP($A77,'Data shares'!$C:$FM,114)</f>
        <v>23.29</v>
      </c>
      <c r="E77" s="50">
        <f>VLOOKUP($A77,'Data shares'!$C:$FM,106)</f>
        <v>37.72</v>
      </c>
      <c r="F77" s="50">
        <f>VLOOKUP($A77,'Data shares'!$C:$FM,108)</f>
        <v>-12.38</v>
      </c>
      <c r="G77" s="50">
        <f t="shared" si="2"/>
        <v>0.67179215270413573</v>
      </c>
    </row>
    <row r="78" spans="1:7" x14ac:dyDescent="0.25">
      <c r="A78" s="49" t="str">
        <f>'Data shares'!C73</f>
        <v>HAVELLS</v>
      </c>
      <c r="B78" s="50">
        <f>VLOOKUP($A78,'Data shares'!$C:$FM,102)</f>
        <v>19.350000000000001</v>
      </c>
      <c r="C78" s="50">
        <f>VLOOKUP($A78,'Data shares'!$C:$FM,110)</f>
        <v>20.07</v>
      </c>
      <c r="D78" s="50">
        <f>VLOOKUP($A78,'Data shares'!$C:$FM,114)</f>
        <v>18.36</v>
      </c>
      <c r="E78" s="50">
        <f>VLOOKUP($A78,'Data shares'!$C:$FM,106)</f>
        <v>27.12</v>
      </c>
      <c r="F78" s="50">
        <f>VLOOKUP($A78,'Data shares'!$C:$FM,108)</f>
        <v>-7.77</v>
      </c>
      <c r="G78" s="50">
        <f t="shared" si="2"/>
        <v>0.71349557522123896</v>
      </c>
    </row>
    <row r="79" spans="1:7" x14ac:dyDescent="0.25">
      <c r="A79" s="49" t="str">
        <f>'Data shares'!C74</f>
        <v>HCLTECH</v>
      </c>
      <c r="B79" s="50">
        <f>VLOOKUP($A79,'Data shares'!$C:$FM,102)</f>
        <v>18.809999999999999</v>
      </c>
      <c r="C79" s="50">
        <f>VLOOKUP($A79,'Data shares'!$C:$FM,110)</f>
        <v>18.649999999999999</v>
      </c>
      <c r="D79" s="50">
        <f>VLOOKUP($A79,'Data shares'!$C:$FM,114)</f>
        <v>19.11</v>
      </c>
      <c r="E79" s="50">
        <f>VLOOKUP($A79,'Data shares'!$C:$FM,106)</f>
        <v>28.04</v>
      </c>
      <c r="F79" s="50">
        <f>VLOOKUP($A79,'Data shares'!$C:$FM,108)</f>
        <v>-9.23</v>
      </c>
      <c r="G79" s="50">
        <f t="shared" si="2"/>
        <v>0.67082738944365194</v>
      </c>
    </row>
    <row r="80" spans="1:7" x14ac:dyDescent="0.25">
      <c r="A80" s="49" t="str">
        <f>'Data shares'!C75</f>
        <v>HDFCAMC</v>
      </c>
      <c r="B80" s="50">
        <f>VLOOKUP($A80,'Data shares'!$C:$FM,102)</f>
        <v>25.85</v>
      </c>
      <c r="C80" s="50">
        <f>VLOOKUP($A80,'Data shares'!$C:$FM,110)</f>
        <v>25.76</v>
      </c>
      <c r="D80" s="50">
        <f>VLOOKUP($A80,'Data shares'!$C:$FM,114)</f>
        <v>25.94</v>
      </c>
      <c r="E80" s="50">
        <f>VLOOKUP($A80,'Data shares'!$C:$FM,106)</f>
        <v>33.090000000000003</v>
      </c>
      <c r="F80" s="50">
        <f>VLOOKUP($A80,'Data shares'!$C:$FM,108)</f>
        <v>-7.24</v>
      </c>
      <c r="G80" s="50">
        <f t="shared" si="2"/>
        <v>0.78120278029616197</v>
      </c>
    </row>
    <row r="81" spans="1:7" x14ac:dyDescent="0.25">
      <c r="A81" s="49" t="str">
        <f>'Data shares'!C76</f>
        <v>HDFCBANK</v>
      </c>
      <c r="B81" s="50">
        <f>VLOOKUP($A81,'Data shares'!$C:$FM,102)</f>
        <v>15.62</v>
      </c>
      <c r="C81" s="50">
        <f>VLOOKUP($A81,'Data shares'!$C:$FM,110)</f>
        <v>15.83</v>
      </c>
      <c r="D81" s="50">
        <f>VLOOKUP($A81,'Data shares'!$C:$FM,114)</f>
        <v>15.28</v>
      </c>
      <c r="E81" s="50">
        <f>VLOOKUP($A81,'Data shares'!$C:$FM,106)</f>
        <v>20</v>
      </c>
      <c r="F81" s="50">
        <f>VLOOKUP($A81,'Data shares'!$C:$FM,108)</f>
        <v>-4.38</v>
      </c>
      <c r="G81" s="50">
        <f t="shared" si="2"/>
        <v>0.78099999999999992</v>
      </c>
    </row>
    <row r="82" spans="1:7" x14ac:dyDescent="0.25">
      <c r="A82" s="49" t="str">
        <f>'Data shares'!C77</f>
        <v>HDFCLIFE</v>
      </c>
      <c r="B82" s="50">
        <f>VLOOKUP($A82,'Data shares'!$C:$FM,102)</f>
        <v>19.82</v>
      </c>
      <c r="C82" s="50">
        <f>VLOOKUP($A82,'Data shares'!$C:$FM,110)</f>
        <v>20.440000000000001</v>
      </c>
      <c r="D82" s="50">
        <f>VLOOKUP($A82,'Data shares'!$C:$FM,114)</f>
        <v>17.89</v>
      </c>
      <c r="E82" s="50">
        <f>VLOOKUP($A82,'Data shares'!$C:$FM,106)</f>
        <v>25.32</v>
      </c>
      <c r="F82" s="50">
        <f>VLOOKUP($A82,'Data shares'!$C:$FM,108)</f>
        <v>-5.5</v>
      </c>
      <c r="G82" s="50">
        <f t="shared" si="2"/>
        <v>0.78278041074249605</v>
      </c>
    </row>
    <row r="83" spans="1:7" x14ac:dyDescent="0.25">
      <c r="A83" s="49" t="str">
        <f>'Data shares'!C78</f>
        <v>HEROMOTOCO</v>
      </c>
      <c r="B83" s="50">
        <f>VLOOKUP($A83,'Data shares'!$C:$FM,102)</f>
        <v>22.65</v>
      </c>
      <c r="C83" s="50">
        <f>VLOOKUP($A83,'Data shares'!$C:$FM,110)</f>
        <v>23.64</v>
      </c>
      <c r="D83" s="50">
        <f>VLOOKUP($A83,'Data shares'!$C:$FM,114)</f>
        <v>21.38</v>
      </c>
      <c r="E83" s="50">
        <f>VLOOKUP($A83,'Data shares'!$C:$FM,106)</f>
        <v>30.4</v>
      </c>
      <c r="F83" s="50">
        <f>VLOOKUP($A83,'Data shares'!$C:$FM,108)</f>
        <v>-7.75</v>
      </c>
      <c r="G83" s="50">
        <f t="shared" si="2"/>
        <v>0.74506578947368418</v>
      </c>
    </row>
    <row r="84" spans="1:7" x14ac:dyDescent="0.25">
      <c r="A84" s="49" t="str">
        <f>'Data shares'!C79</f>
        <v>HFCL</v>
      </c>
      <c r="B84" s="50">
        <f>VLOOKUP($A84,'Data shares'!$C:$FM,102)</f>
        <v>40.04</v>
      </c>
      <c r="C84" s="50">
        <f>VLOOKUP($A84,'Data shares'!$C:$FM,110)</f>
        <v>40.74</v>
      </c>
      <c r="D84" s="50">
        <f>VLOOKUP($A84,'Data shares'!$C:$FM,114)</f>
        <v>38.94</v>
      </c>
      <c r="E84" s="50">
        <f>VLOOKUP($A84,'Data shares'!$C:$FM,106)</f>
        <v>52.26</v>
      </c>
      <c r="F84" s="50">
        <f>VLOOKUP($A84,'Data shares'!$C:$FM,108)</f>
        <v>-12.22</v>
      </c>
      <c r="G84" s="50">
        <f t="shared" si="2"/>
        <v>0.76616915422885579</v>
      </c>
    </row>
    <row r="85" spans="1:7" x14ac:dyDescent="0.25">
      <c r="A85" s="49" t="str">
        <f>'Data shares'!C80</f>
        <v>HINDALCO</v>
      </c>
      <c r="B85" s="50">
        <f>VLOOKUP($A85,'Data shares'!$C:$FM,102)</f>
        <v>22.4</v>
      </c>
      <c r="C85" s="50">
        <f>VLOOKUP($A85,'Data shares'!$C:$FM,110)</f>
        <v>21.89</v>
      </c>
      <c r="D85" s="50">
        <f>VLOOKUP($A85,'Data shares'!$C:$FM,114)</f>
        <v>23.55</v>
      </c>
      <c r="E85" s="50">
        <f>VLOOKUP($A85,'Data shares'!$C:$FM,106)</f>
        <v>32.590000000000003</v>
      </c>
      <c r="F85" s="50">
        <f>VLOOKUP($A85,'Data shares'!$C:$FM,108)</f>
        <v>-10.19</v>
      </c>
      <c r="G85" s="50">
        <f t="shared" si="2"/>
        <v>0.68732740104326473</v>
      </c>
    </row>
    <row r="86" spans="1:7" x14ac:dyDescent="0.25">
      <c r="A86" s="49" t="str">
        <f>'Data shares'!C81</f>
        <v>HINDPETRO</v>
      </c>
      <c r="B86" s="50">
        <f>VLOOKUP($A86,'Data shares'!$C:$FM,102)</f>
        <v>23.87</v>
      </c>
      <c r="C86" s="50">
        <f>VLOOKUP($A86,'Data shares'!$C:$FM,110)</f>
        <v>23.88</v>
      </c>
      <c r="D86" s="50">
        <f>VLOOKUP($A86,'Data shares'!$C:$FM,114)</f>
        <v>23.83</v>
      </c>
      <c r="E86" s="50">
        <f>VLOOKUP($A86,'Data shares'!$C:$FM,106)</f>
        <v>38.380000000000003</v>
      </c>
      <c r="F86" s="50">
        <f>VLOOKUP($A86,'Data shares'!$C:$FM,108)</f>
        <v>-14.51</v>
      </c>
      <c r="G86" s="50">
        <f t="shared" si="2"/>
        <v>0.62193850964043773</v>
      </c>
    </row>
    <row r="87" spans="1:7" x14ac:dyDescent="0.25">
      <c r="A87" s="49" t="str">
        <f>'Data shares'!C82</f>
        <v>HINDUNILVR</v>
      </c>
      <c r="B87" s="50">
        <f>VLOOKUP($A87,'Data shares'!$C:$FM,102)</f>
        <v>16.53</v>
      </c>
      <c r="C87" s="50">
        <f>VLOOKUP($A87,'Data shares'!$C:$FM,110)</f>
        <v>16.64</v>
      </c>
      <c r="D87" s="50">
        <f>VLOOKUP($A87,'Data shares'!$C:$FM,114)</f>
        <v>16.18</v>
      </c>
      <c r="E87" s="50">
        <f>VLOOKUP($A87,'Data shares'!$C:$FM,106)</f>
        <v>22.15</v>
      </c>
      <c r="F87" s="50">
        <f>VLOOKUP($A87,'Data shares'!$C:$FM,108)</f>
        <v>-5.62</v>
      </c>
      <c r="G87" s="50">
        <f t="shared" si="2"/>
        <v>0.74627539503386009</v>
      </c>
    </row>
    <row r="88" spans="1:7" x14ac:dyDescent="0.25">
      <c r="A88" s="49" t="str">
        <f>'Data shares'!C83</f>
        <v>HINDZINC</v>
      </c>
      <c r="B88" s="50">
        <f>VLOOKUP($A88,'Data shares'!$C:$FM,102)</f>
        <v>36.72</v>
      </c>
      <c r="C88" s="50">
        <f>VLOOKUP($A88,'Data shares'!$C:$FM,110)</f>
        <v>36.81</v>
      </c>
      <c r="D88" s="50">
        <f>VLOOKUP($A88,'Data shares'!$C:$FM,114)</f>
        <v>36.49</v>
      </c>
      <c r="E88" s="50">
        <f>VLOOKUP($A88,'Data shares'!$C:$FM,106)</f>
        <v>43.61</v>
      </c>
      <c r="F88" s="50">
        <f>VLOOKUP($A88,'Data shares'!$C:$FM,108)</f>
        <v>-6.89</v>
      </c>
      <c r="G88" s="50">
        <f t="shared" si="2"/>
        <v>0.84200871359779861</v>
      </c>
    </row>
    <row r="89" spans="1:7" x14ac:dyDescent="0.25">
      <c r="A89" s="49" t="str">
        <f>'Data shares'!C84</f>
        <v>HUDCO</v>
      </c>
      <c r="B89" s="50">
        <f>VLOOKUP($A89,'Data shares'!$C:$FM,102)</f>
        <v>30.33</v>
      </c>
      <c r="C89" s="50">
        <f>VLOOKUP($A89,'Data shares'!$C:$FM,110)</f>
        <v>32.18</v>
      </c>
      <c r="D89" s="50">
        <f>VLOOKUP($A89,'Data shares'!$C:$FM,114)</f>
        <v>26.47</v>
      </c>
      <c r="E89" s="50">
        <f>VLOOKUP($A89,'Data shares'!$C:$FM,106)</f>
        <v>51.3</v>
      </c>
      <c r="F89" s="50">
        <f>VLOOKUP($A89,'Data shares'!$C:$FM,108)</f>
        <v>-20.97</v>
      </c>
      <c r="G89" s="50">
        <f t="shared" si="2"/>
        <v>0.59122807017543855</v>
      </c>
    </row>
    <row r="90" spans="1:7" x14ac:dyDescent="0.25">
      <c r="A90" s="49" t="str">
        <f>'Data shares'!C85</f>
        <v>ICICIBANK</v>
      </c>
      <c r="B90" s="50">
        <f>VLOOKUP($A90,'Data shares'!$C:$FM,102)</f>
        <v>15.35</v>
      </c>
      <c r="C90" s="50">
        <f>VLOOKUP($A90,'Data shares'!$C:$FM,110)</f>
        <v>15.43</v>
      </c>
      <c r="D90" s="50">
        <f>VLOOKUP($A90,'Data shares'!$C:$FM,114)</f>
        <v>15.25</v>
      </c>
      <c r="E90" s="50">
        <f>VLOOKUP($A90,'Data shares'!$C:$FM,106)</f>
        <v>20.5</v>
      </c>
      <c r="F90" s="50">
        <f>VLOOKUP($A90,'Data shares'!$C:$FM,108)</f>
        <v>-5.15</v>
      </c>
      <c r="G90" s="50">
        <f t="shared" si="2"/>
        <v>0.74878048780487805</v>
      </c>
    </row>
    <row r="91" spans="1:7" x14ac:dyDescent="0.25">
      <c r="A91" s="49" t="str">
        <f>'Data shares'!C86</f>
        <v>ICICIGI</v>
      </c>
      <c r="B91" s="50">
        <f>VLOOKUP($A91,'Data shares'!$C:$FM,102)</f>
        <v>20.71</v>
      </c>
      <c r="C91" s="50">
        <f>VLOOKUP($A91,'Data shares'!$C:$FM,110)</f>
        <v>21.04</v>
      </c>
      <c r="D91" s="50">
        <f>VLOOKUP($A91,'Data shares'!$C:$FM,114)</f>
        <v>19.649999999999999</v>
      </c>
      <c r="E91" s="50">
        <f>VLOOKUP($A91,'Data shares'!$C:$FM,106)</f>
        <v>28.3</v>
      </c>
      <c r="F91" s="50">
        <f>VLOOKUP($A91,'Data shares'!$C:$FM,108)</f>
        <v>-7.59</v>
      </c>
      <c r="G91" s="50">
        <f t="shared" si="2"/>
        <v>0.73180212014134272</v>
      </c>
    </row>
    <row r="92" spans="1:7" x14ac:dyDescent="0.25">
      <c r="A92" s="49" t="str">
        <f>'Data shares'!C87</f>
        <v>ICICIPRULI</v>
      </c>
      <c r="B92" s="50">
        <f>VLOOKUP($A92,'Data shares'!$C:$FM,102)</f>
        <v>21.92</v>
      </c>
      <c r="C92" s="50">
        <f>VLOOKUP($A92,'Data shares'!$C:$FM,110)</f>
        <v>22.38</v>
      </c>
      <c r="D92" s="50">
        <f>VLOOKUP($A92,'Data shares'!$C:$FM,114)</f>
        <v>20.72</v>
      </c>
      <c r="E92" s="50">
        <f>VLOOKUP($A92,'Data shares'!$C:$FM,106)</f>
        <v>27.3</v>
      </c>
      <c r="F92" s="50">
        <f>VLOOKUP($A92,'Data shares'!$C:$FM,108)</f>
        <v>-5.38</v>
      </c>
      <c r="G92" s="50">
        <f t="shared" si="2"/>
        <v>0.80293040293040296</v>
      </c>
    </row>
    <row r="93" spans="1:7" x14ac:dyDescent="0.25">
      <c r="A93" s="49" t="str">
        <f>'Data shares'!C88</f>
        <v>IDEA</v>
      </c>
      <c r="B93" s="50">
        <f>VLOOKUP($A93,'Data shares'!$C:$FM,102)</f>
        <v>57.42</v>
      </c>
      <c r="C93" s="50">
        <f>VLOOKUP($A93,'Data shares'!$C:$FM,110)</f>
        <v>58.52</v>
      </c>
      <c r="D93" s="50">
        <f>VLOOKUP($A93,'Data shares'!$C:$FM,114)</f>
        <v>53.2</v>
      </c>
      <c r="E93" s="50">
        <f>VLOOKUP($A93,'Data shares'!$C:$FM,106)</f>
        <v>67.45</v>
      </c>
      <c r="F93" s="50">
        <f>VLOOKUP($A93,'Data shares'!$C:$FM,108)</f>
        <v>-10.029999999999999</v>
      </c>
      <c r="G93" s="50">
        <f t="shared" si="2"/>
        <v>0.85129725722757599</v>
      </c>
    </row>
    <row r="94" spans="1:7" x14ac:dyDescent="0.25">
      <c r="A94" s="49" t="str">
        <f>'Data shares'!C89</f>
        <v>IDFCFIRSTB</v>
      </c>
      <c r="B94" s="50">
        <f>VLOOKUP($A94,'Data shares'!$C:$FM,102)</f>
        <v>23.45</v>
      </c>
      <c r="C94" s="50">
        <f>VLOOKUP($A94,'Data shares'!$C:$FM,110)</f>
        <v>23.05</v>
      </c>
      <c r="D94" s="50">
        <f>VLOOKUP($A94,'Data shares'!$C:$FM,114)</f>
        <v>24.28</v>
      </c>
      <c r="E94" s="50">
        <f>VLOOKUP($A94,'Data shares'!$C:$FM,106)</f>
        <v>33.18</v>
      </c>
      <c r="F94" s="50">
        <f>VLOOKUP($A94,'Data shares'!$C:$FM,108)</f>
        <v>-9.73</v>
      </c>
      <c r="G94" s="50">
        <f t="shared" si="2"/>
        <v>0.7067510548523207</v>
      </c>
    </row>
    <row r="95" spans="1:7" x14ac:dyDescent="0.25">
      <c r="A95" s="49" t="str">
        <f>'Data shares'!C90</f>
        <v>IEX</v>
      </c>
      <c r="B95" s="50">
        <f>VLOOKUP($A95,'Data shares'!$C:$FM,102)</f>
        <v>29.05</v>
      </c>
      <c r="C95" s="50">
        <f>VLOOKUP($A95,'Data shares'!$C:$FM,110)</f>
        <v>29.28</v>
      </c>
      <c r="D95" s="50">
        <f>VLOOKUP($A95,'Data shares'!$C:$FM,114)</f>
        <v>28.32</v>
      </c>
      <c r="E95" s="50">
        <f>VLOOKUP($A95,'Data shares'!$C:$FM,106)</f>
        <v>53.4</v>
      </c>
      <c r="F95" s="50">
        <f>VLOOKUP($A95,'Data shares'!$C:$FM,108)</f>
        <v>-24.35</v>
      </c>
      <c r="G95" s="50">
        <f t="shared" si="2"/>
        <v>0.54400749063670417</v>
      </c>
    </row>
    <row r="96" spans="1:7" x14ac:dyDescent="0.25">
      <c r="A96" s="49" t="str">
        <f>'Data shares'!C91</f>
        <v>IIFL</v>
      </c>
      <c r="B96" s="50">
        <f>VLOOKUP($A96,'Data shares'!$C:$FM,102)</f>
        <v>31.01</v>
      </c>
      <c r="C96" s="50">
        <f>VLOOKUP($A96,'Data shares'!$C:$FM,110)</f>
        <v>31.34</v>
      </c>
      <c r="D96" s="50">
        <f>VLOOKUP($A96,'Data shares'!$C:$FM,114)</f>
        <v>29.55</v>
      </c>
      <c r="E96" s="50">
        <f>VLOOKUP($A96,'Data shares'!$C:$FM,106)</f>
        <v>49.41</v>
      </c>
      <c r="F96" s="50">
        <f>VLOOKUP($A96,'Data shares'!$C:$FM,108)</f>
        <v>-18.399999999999999</v>
      </c>
      <c r="G96" s="50">
        <f t="shared" si="2"/>
        <v>0.6276057478243271</v>
      </c>
    </row>
    <row r="97" spans="1:7" x14ac:dyDescent="0.25">
      <c r="A97" s="49" t="str">
        <f>'Data shares'!C92</f>
        <v>INDHOTEL</v>
      </c>
      <c r="B97" s="50">
        <f>VLOOKUP($A97,'Data shares'!$C:$FM,102)</f>
        <v>22.63</v>
      </c>
      <c r="C97" s="50">
        <f>VLOOKUP($A97,'Data shares'!$C:$FM,110)</f>
        <v>23.46</v>
      </c>
      <c r="D97" s="50">
        <f>VLOOKUP($A97,'Data shares'!$C:$FM,114)</f>
        <v>20.6</v>
      </c>
      <c r="E97" s="50">
        <f>VLOOKUP($A97,'Data shares'!$C:$FM,106)</f>
        <v>34.08</v>
      </c>
      <c r="F97" s="50">
        <f>VLOOKUP($A97,'Data shares'!$C:$FM,108)</f>
        <v>-11.45</v>
      </c>
      <c r="G97" s="50">
        <f t="shared" si="2"/>
        <v>0.66402582159624413</v>
      </c>
    </row>
    <row r="98" spans="1:7" x14ac:dyDescent="0.25">
      <c r="A98" s="49" t="str">
        <f>'Data shares'!C93</f>
        <v>INDIANB</v>
      </c>
      <c r="B98" s="50">
        <f>VLOOKUP($A98,'Data shares'!$C:$FM,102)</f>
        <v>27.51</v>
      </c>
      <c r="C98" s="50">
        <f>VLOOKUP($A98,'Data shares'!$C:$FM,110)</f>
        <v>27.94</v>
      </c>
      <c r="D98" s="50">
        <f>VLOOKUP($A98,'Data shares'!$C:$FM,114)</f>
        <v>26.32</v>
      </c>
      <c r="E98" s="50">
        <f>VLOOKUP($A98,'Data shares'!$C:$FM,106)</f>
        <v>37.71</v>
      </c>
      <c r="F98" s="50">
        <f>VLOOKUP($A98,'Data shares'!$C:$FM,108)</f>
        <v>-10.199999999999999</v>
      </c>
      <c r="G98" s="50">
        <f t="shared" si="2"/>
        <v>0.7295147175815434</v>
      </c>
    </row>
    <row r="99" spans="1:7" x14ac:dyDescent="0.25">
      <c r="A99" s="49" t="str">
        <f>'Data shares'!C94</f>
        <v>INDIAVIX</v>
      </c>
      <c r="B99" s="50">
        <f>VLOOKUP($A99,'Data shares'!$C:$FM,102)</f>
        <v>0</v>
      </c>
      <c r="C99" s="50">
        <f>VLOOKUP($A99,'Data shares'!$C:$FM,110)</f>
        <v>0</v>
      </c>
      <c r="D99" s="50">
        <f>VLOOKUP($A99,'Data shares'!$C:$FM,114)</f>
        <v>0</v>
      </c>
      <c r="E99" s="50">
        <f>VLOOKUP($A99,'Data shares'!$C:$FM,106)</f>
        <v>0</v>
      </c>
      <c r="F99" s="50">
        <f>VLOOKUP($A99,'Data shares'!$C:$FM,108)</f>
        <v>0</v>
      </c>
      <c r="G99" s="50" t="e">
        <f t="shared" si="2"/>
        <v>#DIV/0!</v>
      </c>
    </row>
    <row r="100" spans="1:7" x14ac:dyDescent="0.25">
      <c r="A100" s="49" t="str">
        <f>'Data shares'!C95</f>
        <v>INDIGO</v>
      </c>
      <c r="B100" s="50">
        <f>VLOOKUP($A100,'Data shares'!$C:$FM,102)</f>
        <v>29.86</v>
      </c>
      <c r="C100" s="50">
        <f>VLOOKUP($A100,'Data shares'!$C:$FM,110)</f>
        <v>29.87</v>
      </c>
      <c r="D100" s="50">
        <f>VLOOKUP($A100,'Data shares'!$C:$FM,114)</f>
        <v>29.83</v>
      </c>
      <c r="E100" s="50">
        <f>VLOOKUP($A100,'Data shares'!$C:$FM,106)</f>
        <v>33.799999999999997</v>
      </c>
      <c r="F100" s="50">
        <f>VLOOKUP($A100,'Data shares'!$C:$FM,108)</f>
        <v>-3.94</v>
      </c>
      <c r="G100" s="50">
        <f t="shared" si="2"/>
        <v>0.8834319526627219</v>
      </c>
    </row>
    <row r="101" spans="1:7" x14ac:dyDescent="0.25">
      <c r="A101" s="49" t="str">
        <f>'Data shares'!C96</f>
        <v>INDUSINDBK</v>
      </c>
      <c r="B101" s="50">
        <f>VLOOKUP($A101,'Data shares'!$C:$FM,102)</f>
        <v>27.21</v>
      </c>
      <c r="C101" s="50">
        <f>VLOOKUP($A101,'Data shares'!$C:$FM,110)</f>
        <v>27.55</v>
      </c>
      <c r="D101" s="50">
        <f>VLOOKUP($A101,'Data shares'!$C:$FM,114)</f>
        <v>26.82</v>
      </c>
      <c r="E101" s="50">
        <f>VLOOKUP($A101,'Data shares'!$C:$FM,106)</f>
        <v>44.31</v>
      </c>
      <c r="F101" s="50">
        <f>VLOOKUP($A101,'Data shares'!$C:$FM,108)</f>
        <v>-17.100000000000001</v>
      </c>
      <c r="G101" s="50">
        <f t="shared" si="2"/>
        <v>0.61408259986459035</v>
      </c>
    </row>
    <row r="102" spans="1:7" x14ac:dyDescent="0.25">
      <c r="A102" s="49" t="str">
        <f>'Data shares'!C97</f>
        <v>INDUSTOWER</v>
      </c>
      <c r="B102" s="50">
        <f>VLOOKUP($A102,'Data shares'!$C:$FM,102)</f>
        <v>26.8</v>
      </c>
      <c r="C102" s="50">
        <f>VLOOKUP($A102,'Data shares'!$C:$FM,110)</f>
        <v>26.84</v>
      </c>
      <c r="D102" s="50">
        <f>VLOOKUP($A102,'Data shares'!$C:$FM,114)</f>
        <v>26.65</v>
      </c>
      <c r="E102" s="50">
        <f>VLOOKUP($A102,'Data shares'!$C:$FM,106)</f>
        <v>38.61</v>
      </c>
      <c r="F102" s="50">
        <f>VLOOKUP($A102,'Data shares'!$C:$FM,108)</f>
        <v>-11.81</v>
      </c>
      <c r="G102" s="50">
        <f t="shared" si="2"/>
        <v>0.6941206941206941</v>
      </c>
    </row>
    <row r="103" spans="1:7" x14ac:dyDescent="0.25">
      <c r="A103" s="49" t="str">
        <f>'Data shares'!C98</f>
        <v>INFY</v>
      </c>
      <c r="B103" s="50">
        <f>VLOOKUP($A103,'Data shares'!$C:$FM,102)</f>
        <v>17.12</v>
      </c>
      <c r="C103" s="50">
        <f>VLOOKUP($A103,'Data shares'!$C:$FM,110)</f>
        <v>16.32</v>
      </c>
      <c r="D103" s="50">
        <f>VLOOKUP($A103,'Data shares'!$C:$FM,114)</f>
        <v>18.61</v>
      </c>
      <c r="E103" s="50">
        <f>VLOOKUP($A103,'Data shares'!$C:$FM,106)</f>
        <v>28.4</v>
      </c>
      <c r="F103" s="50">
        <f>VLOOKUP($A103,'Data shares'!$C:$FM,108)</f>
        <v>-11.28</v>
      </c>
      <c r="G103" s="50">
        <f t="shared" ref="G103:G134" si="3">B103/E103</f>
        <v>0.60281690140845079</v>
      </c>
    </row>
    <row r="104" spans="1:7" x14ac:dyDescent="0.25">
      <c r="A104" s="49" t="str">
        <f>'Data shares'!C99</f>
        <v>INOXWIND</v>
      </c>
      <c r="B104" s="50">
        <f>VLOOKUP($A104,'Data shares'!$C:$FM,102)</f>
        <v>31.19</v>
      </c>
      <c r="C104" s="50">
        <f>VLOOKUP($A104,'Data shares'!$C:$FM,110)</f>
        <v>32.22</v>
      </c>
      <c r="D104" s="50">
        <f>VLOOKUP($A104,'Data shares'!$C:$FM,114)</f>
        <v>29.46</v>
      </c>
      <c r="E104" s="50">
        <f>VLOOKUP($A104,'Data shares'!$C:$FM,106)</f>
        <v>53.1</v>
      </c>
      <c r="F104" s="50">
        <f>VLOOKUP($A104,'Data shares'!$C:$FM,108)</f>
        <v>-21.91</v>
      </c>
      <c r="G104" s="50">
        <f t="shared" si="3"/>
        <v>0.58738229755178906</v>
      </c>
    </row>
    <row r="105" spans="1:7" x14ac:dyDescent="0.25">
      <c r="A105" s="49" t="str">
        <f>'Data shares'!C100</f>
        <v>IOC</v>
      </c>
      <c r="B105" s="50">
        <f>VLOOKUP($A105,'Data shares'!$C:$FM,102)</f>
        <v>22.08</v>
      </c>
      <c r="C105" s="50">
        <f>VLOOKUP($A105,'Data shares'!$C:$FM,110)</f>
        <v>21.72</v>
      </c>
      <c r="D105" s="50">
        <f>VLOOKUP($A105,'Data shares'!$C:$FM,114)</f>
        <v>22.68</v>
      </c>
      <c r="E105" s="50">
        <f>VLOOKUP($A105,'Data shares'!$C:$FM,106)</f>
        <v>31.05</v>
      </c>
      <c r="F105" s="50">
        <f>VLOOKUP($A105,'Data shares'!$C:$FM,108)</f>
        <v>-8.9700000000000006</v>
      </c>
      <c r="G105" s="50">
        <f t="shared" si="3"/>
        <v>0.71111111111111103</v>
      </c>
    </row>
    <row r="106" spans="1:7" x14ac:dyDescent="0.25">
      <c r="A106" s="49" t="str">
        <f>'Data shares'!C101</f>
        <v>IRCTC</v>
      </c>
      <c r="B106" s="50">
        <f>VLOOKUP($A106,'Data shares'!$C:$FM,102)</f>
        <v>18.05</v>
      </c>
      <c r="C106" s="50">
        <f>VLOOKUP($A106,'Data shares'!$C:$FM,110)</f>
        <v>18.739999999999998</v>
      </c>
      <c r="D106" s="50">
        <f>VLOOKUP($A106,'Data shares'!$C:$FM,114)</f>
        <v>16.940000000000001</v>
      </c>
      <c r="E106" s="50">
        <f>VLOOKUP($A106,'Data shares'!$C:$FM,106)</f>
        <v>29.05</v>
      </c>
      <c r="F106" s="50">
        <f>VLOOKUP($A106,'Data shares'!$C:$FM,108)</f>
        <v>-11</v>
      </c>
      <c r="G106" s="50">
        <f t="shared" si="3"/>
        <v>0.62134251290877796</v>
      </c>
    </row>
    <row r="107" spans="1:7" x14ac:dyDescent="0.25">
      <c r="A107" s="49" t="str">
        <f>'Data shares'!C102</f>
        <v>IREDA</v>
      </c>
      <c r="B107" s="50">
        <f>VLOOKUP($A107,'Data shares'!$C:$FM,102)</f>
        <v>32.090000000000003</v>
      </c>
      <c r="C107" s="50">
        <f>VLOOKUP($A107,'Data shares'!$C:$FM,110)</f>
        <v>32.450000000000003</v>
      </c>
      <c r="D107" s="50">
        <f>VLOOKUP($A107,'Data shares'!$C:$FM,114)</f>
        <v>30.98</v>
      </c>
      <c r="E107" s="50">
        <f>VLOOKUP($A107,'Data shares'!$C:$FM,106)</f>
        <v>48.72</v>
      </c>
      <c r="F107" s="50">
        <f>VLOOKUP($A107,'Data shares'!$C:$FM,108)</f>
        <v>-16.63</v>
      </c>
      <c r="G107" s="50">
        <f t="shared" si="3"/>
        <v>0.65866174055829241</v>
      </c>
    </row>
    <row r="108" spans="1:7" x14ac:dyDescent="0.25">
      <c r="A108" s="49" t="str">
        <f>'Data shares'!C103</f>
        <v>IRFC</v>
      </c>
      <c r="B108" s="50">
        <f>VLOOKUP($A108,'Data shares'!$C:$FM,102)</f>
        <v>25.13</v>
      </c>
      <c r="C108" s="50">
        <f>VLOOKUP($A108,'Data shares'!$C:$FM,110)</f>
        <v>26.31</v>
      </c>
      <c r="D108" s="50">
        <f>VLOOKUP($A108,'Data shares'!$C:$FM,114)</f>
        <v>22.29</v>
      </c>
      <c r="E108" s="50">
        <f>VLOOKUP($A108,'Data shares'!$C:$FM,106)</f>
        <v>43.89</v>
      </c>
      <c r="F108" s="50">
        <f>VLOOKUP($A108,'Data shares'!$C:$FM,108)</f>
        <v>-18.760000000000002</v>
      </c>
      <c r="G108" s="50">
        <f t="shared" si="3"/>
        <v>0.57256778309409884</v>
      </c>
    </row>
    <row r="109" spans="1:7" x14ac:dyDescent="0.25">
      <c r="A109" s="49" t="str">
        <f>'Data shares'!C104</f>
        <v>ITC</v>
      </c>
      <c r="B109" s="50">
        <f>VLOOKUP($A109,'Data shares'!$C:$FM,102)</f>
        <v>13.12</v>
      </c>
      <c r="C109" s="50">
        <f>VLOOKUP($A109,'Data shares'!$C:$FM,110)</f>
        <v>13.35</v>
      </c>
      <c r="D109" s="50">
        <f>VLOOKUP($A109,'Data shares'!$C:$FM,114)</f>
        <v>12.62</v>
      </c>
      <c r="E109" s="50">
        <f>VLOOKUP($A109,'Data shares'!$C:$FM,106)</f>
        <v>18.48</v>
      </c>
      <c r="F109" s="50">
        <f>VLOOKUP($A109,'Data shares'!$C:$FM,108)</f>
        <v>-5.36</v>
      </c>
      <c r="G109" s="50">
        <f t="shared" si="3"/>
        <v>0.7099567099567099</v>
      </c>
    </row>
    <row r="110" spans="1:7" x14ac:dyDescent="0.25">
      <c r="A110" s="49" t="str">
        <f>'Data shares'!C105</f>
        <v>JINDALSTEL</v>
      </c>
      <c r="B110" s="50">
        <f>VLOOKUP($A110,'Data shares'!$C:$FM,102)</f>
        <v>24.35</v>
      </c>
      <c r="C110" s="50">
        <f>VLOOKUP($A110,'Data shares'!$C:$FM,110)</f>
        <v>25</v>
      </c>
      <c r="D110" s="50">
        <f>VLOOKUP($A110,'Data shares'!$C:$FM,114)</f>
        <v>23.17</v>
      </c>
      <c r="E110" s="50">
        <f>VLOOKUP($A110,'Data shares'!$C:$FM,106)</f>
        <v>34.409999999999997</v>
      </c>
      <c r="F110" s="50">
        <f>VLOOKUP($A110,'Data shares'!$C:$FM,108)</f>
        <v>-10.06</v>
      </c>
      <c r="G110" s="50">
        <f t="shared" si="3"/>
        <v>0.70764312699796583</v>
      </c>
    </row>
    <row r="111" spans="1:7" x14ac:dyDescent="0.25">
      <c r="A111" s="49" t="str">
        <f>'Data shares'!C106</f>
        <v>JIOFIN</v>
      </c>
      <c r="B111" s="50">
        <f>VLOOKUP($A111,'Data shares'!$C:$FM,102)</f>
        <v>23.08</v>
      </c>
      <c r="C111" s="50">
        <f>VLOOKUP($A111,'Data shares'!$C:$FM,110)</f>
        <v>23.74</v>
      </c>
      <c r="D111" s="50">
        <f>VLOOKUP($A111,'Data shares'!$C:$FM,114)</f>
        <v>21.23</v>
      </c>
      <c r="E111" s="50">
        <f>VLOOKUP($A111,'Data shares'!$C:$FM,106)</f>
        <v>34.049999999999997</v>
      </c>
      <c r="F111" s="50">
        <f>VLOOKUP($A111,'Data shares'!$C:$FM,108)</f>
        <v>-10.97</v>
      </c>
      <c r="G111" s="50">
        <f t="shared" si="3"/>
        <v>0.67782672540381794</v>
      </c>
    </row>
    <row r="112" spans="1:7" x14ac:dyDescent="0.25">
      <c r="A112" s="49" t="str">
        <f>'Data shares'!C107</f>
        <v>JSWENERGY</v>
      </c>
      <c r="B112" s="50">
        <f>VLOOKUP($A112,'Data shares'!$C:$FM,102)</f>
        <v>28.17</v>
      </c>
      <c r="C112" s="50">
        <f>VLOOKUP($A112,'Data shares'!$C:$FM,110)</f>
        <v>28.84</v>
      </c>
      <c r="D112" s="50">
        <f>VLOOKUP($A112,'Data shares'!$C:$FM,114)</f>
        <v>27.05</v>
      </c>
      <c r="E112" s="50">
        <f>VLOOKUP($A112,'Data shares'!$C:$FM,106)</f>
        <v>43.09</v>
      </c>
      <c r="F112" s="50">
        <f>VLOOKUP($A112,'Data shares'!$C:$FM,108)</f>
        <v>-14.92</v>
      </c>
      <c r="G112" s="50">
        <f t="shared" si="3"/>
        <v>0.65374796936644231</v>
      </c>
    </row>
    <row r="113" spans="1:7" x14ac:dyDescent="0.25">
      <c r="A113" s="49" t="str">
        <f>'Data shares'!C108</f>
        <v>JSWSTEEL</v>
      </c>
      <c r="B113" s="50">
        <f>VLOOKUP($A113,'Data shares'!$C:$FM,102)</f>
        <v>23.24</v>
      </c>
      <c r="C113" s="50">
        <f>VLOOKUP($A113,'Data shares'!$C:$FM,110)</f>
        <v>23.88</v>
      </c>
      <c r="D113" s="50">
        <f>VLOOKUP($A113,'Data shares'!$C:$FM,114)</f>
        <v>21.54</v>
      </c>
      <c r="E113" s="50">
        <f>VLOOKUP($A113,'Data shares'!$C:$FM,106)</f>
        <v>29.36</v>
      </c>
      <c r="F113" s="50">
        <f>VLOOKUP($A113,'Data shares'!$C:$FM,108)</f>
        <v>-6.12</v>
      </c>
      <c r="G113" s="50">
        <f t="shared" si="3"/>
        <v>0.79155313351498635</v>
      </c>
    </row>
    <row r="114" spans="1:7" x14ac:dyDescent="0.25">
      <c r="A114" s="49" t="str">
        <f>'Data shares'!C109</f>
        <v>JUBLFOOD</v>
      </c>
      <c r="B114" s="50">
        <f>VLOOKUP($A114,'Data shares'!$C:$FM,102)</f>
        <v>26.83</v>
      </c>
      <c r="C114" s="50">
        <f>VLOOKUP($A114,'Data shares'!$C:$FM,110)</f>
        <v>27.24</v>
      </c>
      <c r="D114" s="50">
        <f>VLOOKUP($A114,'Data shares'!$C:$FM,114)</f>
        <v>26.18</v>
      </c>
      <c r="E114" s="50">
        <f>VLOOKUP($A114,'Data shares'!$C:$FM,106)</f>
        <v>33.82</v>
      </c>
      <c r="F114" s="50">
        <f>VLOOKUP($A114,'Data shares'!$C:$FM,108)</f>
        <v>-6.99</v>
      </c>
      <c r="G114" s="50">
        <f t="shared" si="3"/>
        <v>0.7933175635718509</v>
      </c>
    </row>
    <row r="115" spans="1:7" x14ac:dyDescent="0.25">
      <c r="A115" s="49" t="str">
        <f>'Data shares'!C110</f>
        <v>KALYANKJIL</v>
      </c>
      <c r="B115" s="50">
        <f>VLOOKUP($A115,'Data shares'!$C:$FM,102)</f>
        <v>30.15</v>
      </c>
      <c r="C115" s="50">
        <f>VLOOKUP($A115,'Data shares'!$C:$FM,110)</f>
        <v>30.81</v>
      </c>
      <c r="D115" s="50">
        <f>VLOOKUP($A115,'Data shares'!$C:$FM,114)</f>
        <v>28.94</v>
      </c>
      <c r="E115" s="50">
        <f>VLOOKUP($A115,'Data shares'!$C:$FM,106)</f>
        <v>48.12</v>
      </c>
      <c r="F115" s="50">
        <f>VLOOKUP($A115,'Data shares'!$C:$FM,108)</f>
        <v>-17.97</v>
      </c>
      <c r="G115" s="50">
        <f t="shared" si="3"/>
        <v>0.62655860349127179</v>
      </c>
    </row>
    <row r="116" spans="1:7" x14ac:dyDescent="0.25">
      <c r="A116" s="49" t="str">
        <f>'Data shares'!C111</f>
        <v>KAYNES</v>
      </c>
      <c r="B116" s="50">
        <f>VLOOKUP($A116,'Data shares'!$C:$FM,102)</f>
        <v>56.54</v>
      </c>
      <c r="C116" s="50">
        <f>VLOOKUP($A116,'Data shares'!$C:$FM,110)</f>
        <v>54.62</v>
      </c>
      <c r="D116" s="50">
        <f>VLOOKUP($A116,'Data shares'!$C:$FM,114)</f>
        <v>60.43</v>
      </c>
      <c r="E116" s="50">
        <f>VLOOKUP($A116,'Data shares'!$C:$FM,106)</f>
        <v>63.17</v>
      </c>
      <c r="F116" s="50">
        <f>VLOOKUP($A116,'Data shares'!$C:$FM,108)</f>
        <v>-6.63</v>
      </c>
      <c r="G116" s="50">
        <f t="shared" si="3"/>
        <v>0.89504511635269901</v>
      </c>
    </row>
    <row r="117" spans="1:7" x14ac:dyDescent="0.25">
      <c r="A117" s="49" t="str">
        <f>'Data shares'!C112</f>
        <v>KEI</v>
      </c>
      <c r="B117" s="50">
        <f>VLOOKUP($A117,'Data shares'!$C:$FM,102)</f>
        <v>25.08</v>
      </c>
      <c r="C117" s="50">
        <f>VLOOKUP($A117,'Data shares'!$C:$FM,110)</f>
        <v>24.68</v>
      </c>
      <c r="D117" s="50">
        <f>VLOOKUP($A117,'Data shares'!$C:$FM,114)</f>
        <v>25.32</v>
      </c>
      <c r="E117" s="50">
        <f>VLOOKUP($A117,'Data shares'!$C:$FM,106)</f>
        <v>45.7</v>
      </c>
      <c r="F117" s="50">
        <f>VLOOKUP($A117,'Data shares'!$C:$FM,108)</f>
        <v>-20.62</v>
      </c>
      <c r="G117" s="50">
        <f t="shared" si="3"/>
        <v>0.54879649890590798</v>
      </c>
    </row>
    <row r="118" spans="1:7" x14ac:dyDescent="0.25">
      <c r="A118" s="49" t="str">
        <f>'Data shares'!C113</f>
        <v>KFINTECH</v>
      </c>
      <c r="B118" s="50">
        <f>VLOOKUP($A118,'Data shares'!$C:$FM,102)</f>
        <v>30</v>
      </c>
      <c r="C118" s="50">
        <f>VLOOKUP($A118,'Data shares'!$C:$FM,110)</f>
        <v>30.71</v>
      </c>
      <c r="D118" s="50">
        <f>VLOOKUP($A118,'Data shares'!$C:$FM,114)</f>
        <v>28.49</v>
      </c>
      <c r="E118" s="50">
        <f>VLOOKUP($A118,'Data shares'!$C:$FM,106)</f>
        <v>52.8</v>
      </c>
      <c r="F118" s="50">
        <f>VLOOKUP($A118,'Data shares'!$C:$FM,108)</f>
        <v>-22.8</v>
      </c>
      <c r="G118" s="50">
        <f t="shared" si="3"/>
        <v>0.56818181818181823</v>
      </c>
    </row>
    <row r="119" spans="1:7" x14ac:dyDescent="0.25">
      <c r="A119" s="49" t="str">
        <f>'Data shares'!C114</f>
        <v>KOTAKBANK</v>
      </c>
      <c r="B119" s="50">
        <f>VLOOKUP($A119,'Data shares'!$C:$FM,102)</f>
        <v>16.190000000000001</v>
      </c>
      <c r="C119" s="50">
        <f>VLOOKUP($A119,'Data shares'!$C:$FM,110)</f>
        <v>16.350000000000001</v>
      </c>
      <c r="D119" s="50">
        <f>VLOOKUP($A119,'Data shares'!$C:$FM,114)</f>
        <v>15.93</v>
      </c>
      <c r="E119" s="50">
        <f>VLOOKUP($A119,'Data shares'!$C:$FM,106)</f>
        <v>25.81</v>
      </c>
      <c r="F119" s="50">
        <f>VLOOKUP($A119,'Data shares'!$C:$FM,108)</f>
        <v>-9.6199999999999992</v>
      </c>
      <c r="G119" s="50">
        <f t="shared" si="3"/>
        <v>0.62727624951569172</v>
      </c>
    </row>
    <row r="120" spans="1:7" x14ac:dyDescent="0.25">
      <c r="A120" s="49" t="str">
        <f>'Data shares'!C115</f>
        <v>KPITTECH</v>
      </c>
      <c r="B120" s="50">
        <f>VLOOKUP($A120,'Data shares'!$C:$FM,102)</f>
        <v>29.17</v>
      </c>
      <c r="C120" s="50">
        <f>VLOOKUP($A120,'Data shares'!$C:$FM,110)</f>
        <v>30.04</v>
      </c>
      <c r="D120" s="50">
        <f>VLOOKUP($A120,'Data shares'!$C:$FM,114)</f>
        <v>27.85</v>
      </c>
      <c r="E120" s="50">
        <f>VLOOKUP($A120,'Data shares'!$C:$FM,106)</f>
        <v>42.73</v>
      </c>
      <c r="F120" s="50">
        <f>VLOOKUP($A120,'Data shares'!$C:$FM,108)</f>
        <v>-13.56</v>
      </c>
      <c r="G120" s="50">
        <f t="shared" si="3"/>
        <v>0.68265855370933781</v>
      </c>
    </row>
    <row r="121" spans="1:7" x14ac:dyDescent="0.25">
      <c r="A121" s="49" t="str">
        <f>'Data shares'!C116</f>
        <v>LAURUSLABS</v>
      </c>
      <c r="B121" s="50">
        <f>VLOOKUP($A121,'Data shares'!$C:$FM,102)</f>
        <v>25.41</v>
      </c>
      <c r="C121" s="50">
        <f>VLOOKUP($A121,'Data shares'!$C:$FM,110)</f>
        <v>25.45</v>
      </c>
      <c r="D121" s="50">
        <f>VLOOKUP($A121,'Data shares'!$C:$FM,114)</f>
        <v>25.28</v>
      </c>
      <c r="E121" s="50">
        <f>VLOOKUP($A121,'Data shares'!$C:$FM,106)</f>
        <v>38.340000000000003</v>
      </c>
      <c r="F121" s="50">
        <f>VLOOKUP($A121,'Data shares'!$C:$FM,108)</f>
        <v>-12.93</v>
      </c>
      <c r="G121" s="50">
        <f t="shared" si="3"/>
        <v>0.66275430359937393</v>
      </c>
    </row>
    <row r="122" spans="1:7" x14ac:dyDescent="0.25">
      <c r="A122" s="49" t="str">
        <f>'Data shares'!C117</f>
        <v>LICHSGFIN</v>
      </c>
      <c r="B122" s="50">
        <f>VLOOKUP($A122,'Data shares'!$C:$FM,102)</f>
        <v>19.36</v>
      </c>
      <c r="C122" s="50">
        <f>VLOOKUP($A122,'Data shares'!$C:$FM,110)</f>
        <v>19.420000000000002</v>
      </c>
      <c r="D122" s="50">
        <f>VLOOKUP($A122,'Data shares'!$C:$FM,114)</f>
        <v>19.18</v>
      </c>
      <c r="E122" s="50">
        <f>VLOOKUP($A122,'Data shares'!$C:$FM,106)</f>
        <v>32.72</v>
      </c>
      <c r="F122" s="50">
        <f>VLOOKUP($A122,'Data shares'!$C:$FM,108)</f>
        <v>-13.36</v>
      </c>
      <c r="G122" s="50">
        <f t="shared" si="3"/>
        <v>0.59168704156479213</v>
      </c>
    </row>
    <row r="123" spans="1:7" x14ac:dyDescent="0.25">
      <c r="A123" s="49" t="str">
        <f>'Data shares'!C118</f>
        <v>LICI</v>
      </c>
      <c r="B123" s="50">
        <f>VLOOKUP($A123,'Data shares'!$C:$FM,102)</f>
        <v>19.329999999999998</v>
      </c>
      <c r="C123" s="50">
        <f>VLOOKUP($A123,'Data shares'!$C:$FM,110)</f>
        <v>19.989999999999998</v>
      </c>
      <c r="D123" s="50">
        <f>VLOOKUP($A123,'Data shares'!$C:$FM,114)</f>
        <v>17.940000000000001</v>
      </c>
      <c r="E123" s="50">
        <f>VLOOKUP($A123,'Data shares'!$C:$FM,106)</f>
        <v>30.53</v>
      </c>
      <c r="F123" s="50">
        <f>VLOOKUP($A123,'Data shares'!$C:$FM,108)</f>
        <v>-11.2</v>
      </c>
      <c r="G123" s="50">
        <f t="shared" si="3"/>
        <v>0.63314772355060589</v>
      </c>
    </row>
    <row r="124" spans="1:7" x14ac:dyDescent="0.25">
      <c r="A124" s="49" t="str">
        <f>'Data shares'!C119</f>
        <v>LODHA</v>
      </c>
      <c r="B124" s="50">
        <f>VLOOKUP($A124,'Data shares'!$C:$FM,102)</f>
        <v>28.75</v>
      </c>
      <c r="C124" s="50">
        <f>VLOOKUP($A124,'Data shares'!$C:$FM,110)</f>
        <v>29.48</v>
      </c>
      <c r="D124" s="50">
        <f>VLOOKUP($A124,'Data shares'!$C:$FM,114)</f>
        <v>26.56</v>
      </c>
      <c r="E124" s="50">
        <f>VLOOKUP($A124,'Data shares'!$C:$FM,106)</f>
        <v>44.01</v>
      </c>
      <c r="F124" s="50">
        <f>VLOOKUP($A124,'Data shares'!$C:$FM,108)</f>
        <v>-15.26</v>
      </c>
      <c r="G124" s="50">
        <f t="shared" si="3"/>
        <v>0.653260622585776</v>
      </c>
    </row>
    <row r="125" spans="1:7" x14ac:dyDescent="0.25">
      <c r="A125" s="49" t="str">
        <f>'Data shares'!C120</f>
        <v>LT</v>
      </c>
      <c r="B125" s="50">
        <f>VLOOKUP($A125,'Data shares'!$C:$FM,102)</f>
        <v>14.65</v>
      </c>
      <c r="C125" s="50">
        <f>VLOOKUP($A125,'Data shares'!$C:$FM,110)</f>
        <v>14.64</v>
      </c>
      <c r="D125" s="50">
        <f>VLOOKUP($A125,'Data shares'!$C:$FM,114)</f>
        <v>14.68</v>
      </c>
      <c r="E125" s="50">
        <f>VLOOKUP($A125,'Data shares'!$C:$FM,106)</f>
        <v>26.08</v>
      </c>
      <c r="F125" s="50">
        <f>VLOOKUP($A125,'Data shares'!$C:$FM,108)</f>
        <v>-11.43</v>
      </c>
      <c r="G125" s="50">
        <f t="shared" si="3"/>
        <v>0.56173312883435589</v>
      </c>
    </row>
    <row r="126" spans="1:7" x14ac:dyDescent="0.25">
      <c r="A126" s="49" t="str">
        <f>'Data shares'!C121</f>
        <v>LTF</v>
      </c>
      <c r="B126" s="50">
        <f>VLOOKUP($A126,'Data shares'!$C:$FM,102)</f>
        <v>26.78</v>
      </c>
      <c r="C126" s="50">
        <f>VLOOKUP($A126,'Data shares'!$C:$FM,110)</f>
        <v>26.78</v>
      </c>
      <c r="D126" s="50">
        <f>VLOOKUP($A126,'Data shares'!$C:$FM,114)</f>
        <v>26.79</v>
      </c>
      <c r="E126" s="50">
        <f>VLOOKUP($A126,'Data shares'!$C:$FM,106)</f>
        <v>39</v>
      </c>
      <c r="F126" s="50">
        <f>VLOOKUP($A126,'Data shares'!$C:$FM,108)</f>
        <v>-12.22</v>
      </c>
      <c r="G126" s="50">
        <f t="shared" si="3"/>
        <v>0.68666666666666665</v>
      </c>
    </row>
    <row r="127" spans="1:7" x14ac:dyDescent="0.25">
      <c r="A127" s="49" t="str">
        <f>'Data shares'!C122</f>
        <v>LTIM</v>
      </c>
      <c r="B127" s="50">
        <f>VLOOKUP($A127,'Data shares'!$C:$FM,102)</f>
        <v>22.48</v>
      </c>
      <c r="C127" s="50">
        <f>VLOOKUP($A127,'Data shares'!$C:$FM,110)</f>
        <v>22.3</v>
      </c>
      <c r="D127" s="50">
        <f>VLOOKUP($A127,'Data shares'!$C:$FM,114)</f>
        <v>23.06</v>
      </c>
      <c r="E127" s="50">
        <f>VLOOKUP($A127,'Data shares'!$C:$FM,106)</f>
        <v>32.26</v>
      </c>
      <c r="F127" s="50">
        <f>VLOOKUP($A127,'Data shares'!$C:$FM,108)</f>
        <v>-9.7799999999999994</v>
      </c>
      <c r="G127" s="50">
        <f t="shared" si="3"/>
        <v>0.69683818970861755</v>
      </c>
    </row>
    <row r="128" spans="1:7" x14ac:dyDescent="0.25">
      <c r="A128" s="49" t="str">
        <f>'Data shares'!C123</f>
        <v>LUPIN</v>
      </c>
      <c r="B128" s="50">
        <f>VLOOKUP($A128,'Data shares'!$C:$FM,102)</f>
        <v>19.68</v>
      </c>
      <c r="C128" s="50">
        <f>VLOOKUP($A128,'Data shares'!$C:$FM,110)</f>
        <v>19.489999999999998</v>
      </c>
      <c r="D128" s="50">
        <f>VLOOKUP($A128,'Data shares'!$C:$FM,114)</f>
        <v>20.3</v>
      </c>
      <c r="E128" s="50">
        <f>VLOOKUP($A128,'Data shares'!$C:$FM,106)</f>
        <v>30.35</v>
      </c>
      <c r="F128" s="50">
        <f>VLOOKUP($A128,'Data shares'!$C:$FM,108)</f>
        <v>-10.67</v>
      </c>
      <c r="G128" s="50">
        <f t="shared" si="3"/>
        <v>0.64843492586490936</v>
      </c>
    </row>
    <row r="129" spans="1:7" x14ac:dyDescent="0.25">
      <c r="A129" s="49" t="str">
        <f>'Data shares'!C124</f>
        <v>M&amp;M</v>
      </c>
      <c r="B129" s="50">
        <f>VLOOKUP($A129,'Data shares'!$C:$FM,102)</f>
        <v>21.27</v>
      </c>
      <c r="C129" s="50">
        <f>VLOOKUP($A129,'Data shares'!$C:$FM,110)</f>
        <v>21.65</v>
      </c>
      <c r="D129" s="50">
        <f>VLOOKUP($A129,'Data shares'!$C:$FM,114)</f>
        <v>20.52</v>
      </c>
      <c r="E129" s="50">
        <f>VLOOKUP($A129,'Data shares'!$C:$FM,106)</f>
        <v>32.18</v>
      </c>
      <c r="F129" s="50">
        <f>VLOOKUP($A129,'Data shares'!$C:$FM,108)</f>
        <v>-10.91</v>
      </c>
      <c r="G129" s="50">
        <f t="shared" si="3"/>
        <v>0.66096954630205096</v>
      </c>
    </row>
    <row r="130" spans="1:7" x14ac:dyDescent="0.25">
      <c r="A130" s="49" t="str">
        <f>'Data shares'!C125</f>
        <v>MANAPPURAM</v>
      </c>
      <c r="B130" s="50">
        <f>VLOOKUP($A130,'Data shares'!$C:$FM,102)</f>
        <v>24.57</v>
      </c>
      <c r="C130" s="50">
        <f>VLOOKUP($A130,'Data shares'!$C:$FM,110)</f>
        <v>24.12</v>
      </c>
      <c r="D130" s="50">
        <f>VLOOKUP($A130,'Data shares'!$C:$FM,114)</f>
        <v>25.71</v>
      </c>
      <c r="E130" s="50">
        <f>VLOOKUP($A130,'Data shares'!$C:$FM,106)</f>
        <v>40.64</v>
      </c>
      <c r="F130" s="50">
        <f>VLOOKUP($A130,'Data shares'!$C:$FM,108)</f>
        <v>-16.07</v>
      </c>
      <c r="G130" s="50">
        <f t="shared" si="3"/>
        <v>0.60457677165354329</v>
      </c>
    </row>
    <row r="131" spans="1:7" x14ac:dyDescent="0.25">
      <c r="A131" s="49" t="str">
        <f>'Data shares'!C126</f>
        <v>MANKIND</v>
      </c>
      <c r="B131" s="50">
        <f>VLOOKUP($A131,'Data shares'!$C:$FM,102)</f>
        <v>22.16</v>
      </c>
      <c r="C131" s="50">
        <f>VLOOKUP($A131,'Data shares'!$C:$FM,110)</f>
        <v>23.08</v>
      </c>
      <c r="D131" s="50">
        <f>VLOOKUP($A131,'Data shares'!$C:$FM,114)</f>
        <v>20.239999999999998</v>
      </c>
      <c r="E131" s="50">
        <f>VLOOKUP($A131,'Data shares'!$C:$FM,106)</f>
        <v>32.380000000000003</v>
      </c>
      <c r="F131" s="50">
        <f>VLOOKUP($A131,'Data shares'!$C:$FM,108)</f>
        <v>-10.220000000000001</v>
      </c>
      <c r="G131" s="50">
        <f t="shared" si="3"/>
        <v>0.68437306979617041</v>
      </c>
    </row>
    <row r="132" spans="1:7" x14ac:dyDescent="0.25">
      <c r="A132" s="49" t="str">
        <f>'Data shares'!C127</f>
        <v>MARICO</v>
      </c>
      <c r="B132" s="50">
        <f>VLOOKUP($A132,'Data shares'!$C:$FM,102)</f>
        <v>18.41</v>
      </c>
      <c r="C132" s="50">
        <f>VLOOKUP($A132,'Data shares'!$C:$FM,110)</f>
        <v>18.46</v>
      </c>
      <c r="D132" s="50">
        <f>VLOOKUP($A132,'Data shares'!$C:$FM,114)</f>
        <v>18.260000000000002</v>
      </c>
      <c r="E132" s="50">
        <f>VLOOKUP($A132,'Data shares'!$C:$FM,106)</f>
        <v>24.8</v>
      </c>
      <c r="F132" s="50">
        <f>VLOOKUP($A132,'Data shares'!$C:$FM,108)</f>
        <v>-6.39</v>
      </c>
      <c r="G132" s="50">
        <f t="shared" si="3"/>
        <v>0.74233870967741933</v>
      </c>
    </row>
    <row r="133" spans="1:7" x14ac:dyDescent="0.25">
      <c r="A133" s="49" t="str">
        <f>'Data shares'!C128</f>
        <v>MARUTI</v>
      </c>
      <c r="B133" s="50">
        <f>VLOOKUP($A133,'Data shares'!$C:$FM,102)</f>
        <v>15.73</v>
      </c>
      <c r="C133" s="50">
        <f>VLOOKUP($A133,'Data shares'!$C:$FM,110)</f>
        <v>15.24</v>
      </c>
      <c r="D133" s="50">
        <f>VLOOKUP($A133,'Data shares'!$C:$FM,114)</f>
        <v>16.350000000000001</v>
      </c>
      <c r="E133" s="50">
        <f>VLOOKUP($A133,'Data shares'!$C:$FM,106)</f>
        <v>24.6</v>
      </c>
      <c r="F133" s="50">
        <f>VLOOKUP($A133,'Data shares'!$C:$FM,108)</f>
        <v>-8.8699999999999992</v>
      </c>
      <c r="G133" s="50">
        <f t="shared" si="3"/>
        <v>0.63943089430894307</v>
      </c>
    </row>
    <row r="134" spans="1:7" x14ac:dyDescent="0.25">
      <c r="A134" s="49" t="str">
        <f>'Data shares'!C129</f>
        <v>MAXHEALTH</v>
      </c>
      <c r="B134" s="50">
        <f>VLOOKUP($A134,'Data shares'!$C:$FM,102)</f>
        <v>27.79</v>
      </c>
      <c r="C134" s="50">
        <f>VLOOKUP($A134,'Data shares'!$C:$FM,110)</f>
        <v>28.93</v>
      </c>
      <c r="D134" s="50">
        <f>VLOOKUP($A134,'Data shares'!$C:$FM,114)</f>
        <v>26.93</v>
      </c>
      <c r="E134" s="50">
        <f>VLOOKUP($A134,'Data shares'!$C:$FM,106)</f>
        <v>39.32</v>
      </c>
      <c r="F134" s="50">
        <f>VLOOKUP($A134,'Data shares'!$C:$FM,108)</f>
        <v>-11.53</v>
      </c>
      <c r="G134" s="50">
        <f t="shared" si="3"/>
        <v>0.70676500508647</v>
      </c>
    </row>
    <row r="135" spans="1:7" x14ac:dyDescent="0.25">
      <c r="A135" s="49" t="str">
        <f>'Data shares'!C130</f>
        <v>MAZDOCK</v>
      </c>
      <c r="B135" s="50">
        <f>VLOOKUP($A135,'Data shares'!$C:$FM,102)</f>
        <v>30.87</v>
      </c>
      <c r="C135" s="50">
        <f>VLOOKUP($A135,'Data shares'!$C:$FM,110)</f>
        <v>32.49</v>
      </c>
      <c r="D135" s="50">
        <f>VLOOKUP($A135,'Data shares'!$C:$FM,114)</f>
        <v>28.17</v>
      </c>
      <c r="E135" s="50">
        <f>VLOOKUP($A135,'Data shares'!$C:$FM,106)</f>
        <v>55.4</v>
      </c>
      <c r="F135" s="50">
        <f>VLOOKUP($A135,'Data shares'!$C:$FM,108)</f>
        <v>-24.53</v>
      </c>
      <c r="G135" s="50">
        <f t="shared" ref="G135:G166" si="4">B135/E135</f>
        <v>0.55722021660649823</v>
      </c>
    </row>
    <row r="136" spans="1:7" x14ac:dyDescent="0.25">
      <c r="A136" s="49" t="str">
        <f>'Data shares'!C131</f>
        <v>MCX</v>
      </c>
      <c r="B136" s="50">
        <f>VLOOKUP($A136,'Data shares'!$C:$FM,102)</f>
        <v>30.89</v>
      </c>
      <c r="C136" s="50">
        <f>VLOOKUP($A136,'Data shares'!$C:$FM,110)</f>
        <v>31.11</v>
      </c>
      <c r="D136" s="50">
        <f>VLOOKUP($A136,'Data shares'!$C:$FM,114)</f>
        <v>30.54</v>
      </c>
      <c r="E136" s="50">
        <f>VLOOKUP($A136,'Data shares'!$C:$FM,106)</f>
        <v>45.24</v>
      </c>
      <c r="F136" s="50">
        <f>VLOOKUP($A136,'Data shares'!$C:$FM,108)</f>
        <v>-14.35</v>
      </c>
      <c r="G136" s="50">
        <f t="shared" si="4"/>
        <v>0.6828028293545535</v>
      </c>
    </row>
    <row r="137" spans="1:7" x14ac:dyDescent="0.25">
      <c r="A137" s="49" t="str">
        <f>'Data shares'!C132</f>
        <v>MFSL</v>
      </c>
      <c r="B137" s="50">
        <f>VLOOKUP($A137,'Data shares'!$C:$FM,102)</f>
        <v>22.84</v>
      </c>
      <c r="C137" s="50">
        <f>VLOOKUP($A137,'Data shares'!$C:$FM,110)</f>
        <v>23.23</v>
      </c>
      <c r="D137" s="50">
        <f>VLOOKUP($A137,'Data shares'!$C:$FM,114)</f>
        <v>22.21</v>
      </c>
      <c r="E137" s="50">
        <f>VLOOKUP($A137,'Data shares'!$C:$FM,106)</f>
        <v>29.97</v>
      </c>
      <c r="F137" s="50">
        <f>VLOOKUP($A137,'Data shares'!$C:$FM,108)</f>
        <v>-7.13</v>
      </c>
      <c r="G137" s="50">
        <f t="shared" si="4"/>
        <v>0.76209542876209546</v>
      </c>
    </row>
    <row r="138" spans="1:7" x14ac:dyDescent="0.25">
      <c r="A138" s="49" t="str">
        <f>'Data shares'!C133</f>
        <v>MIDCPNIFTY</v>
      </c>
      <c r="B138" s="50">
        <f>VLOOKUP($A138,'Data shares'!$C:$FM,102)</f>
        <v>15.39</v>
      </c>
      <c r="C138" s="50">
        <f>VLOOKUP($A138,'Data shares'!$C:$FM,110)</f>
        <v>15.23</v>
      </c>
      <c r="D138" s="50">
        <f>VLOOKUP($A138,'Data shares'!$C:$FM,114)</f>
        <v>15.59</v>
      </c>
      <c r="E138" s="50">
        <f>VLOOKUP($A138,'Data shares'!$C:$FM,106)</f>
        <v>21.83</v>
      </c>
      <c r="F138" s="50">
        <f>VLOOKUP($A138,'Data shares'!$C:$FM,108)</f>
        <v>-6.44</v>
      </c>
      <c r="G138" s="50">
        <f t="shared" si="4"/>
        <v>0.70499312872194231</v>
      </c>
    </row>
    <row r="139" spans="1:7" x14ac:dyDescent="0.25">
      <c r="A139" s="49" t="str">
        <f>'Data shares'!C134</f>
        <v>MOTHERSON</v>
      </c>
      <c r="B139" s="50">
        <f>VLOOKUP($A139,'Data shares'!$C:$FM,102)</f>
        <v>26.75</v>
      </c>
      <c r="C139" s="50">
        <f>VLOOKUP($A139,'Data shares'!$C:$FM,110)</f>
        <v>26.63</v>
      </c>
      <c r="D139" s="50">
        <f>VLOOKUP($A139,'Data shares'!$C:$FM,114)</f>
        <v>27.01</v>
      </c>
      <c r="E139" s="50">
        <f>VLOOKUP($A139,'Data shares'!$C:$FM,106)</f>
        <v>39.020000000000003</v>
      </c>
      <c r="F139" s="50">
        <f>VLOOKUP($A139,'Data shares'!$C:$FM,108)</f>
        <v>-12.27</v>
      </c>
      <c r="G139" s="50">
        <f t="shared" si="4"/>
        <v>0.6855458739108149</v>
      </c>
    </row>
    <row r="140" spans="1:7" x14ac:dyDescent="0.25">
      <c r="A140" s="49" t="str">
        <f>'Data shares'!C135</f>
        <v>MPHASIS</v>
      </c>
      <c r="B140" s="50">
        <f>VLOOKUP($A140,'Data shares'!$C:$FM,102)</f>
        <v>25.56</v>
      </c>
      <c r="C140" s="50">
        <f>VLOOKUP($A140,'Data shares'!$C:$FM,110)</f>
        <v>25.5</v>
      </c>
      <c r="D140" s="50">
        <f>VLOOKUP($A140,'Data shares'!$C:$FM,114)</f>
        <v>25.81</v>
      </c>
      <c r="E140" s="50">
        <f>VLOOKUP($A140,'Data shares'!$C:$FM,106)</f>
        <v>36</v>
      </c>
      <c r="F140" s="50">
        <f>VLOOKUP($A140,'Data shares'!$C:$FM,108)</f>
        <v>-10.44</v>
      </c>
      <c r="G140" s="50">
        <f t="shared" si="4"/>
        <v>0.71</v>
      </c>
    </row>
    <row r="141" spans="1:7" x14ac:dyDescent="0.25">
      <c r="A141" s="49" t="str">
        <f>'Data shares'!C136</f>
        <v>MUTHOOTFIN</v>
      </c>
      <c r="B141" s="50">
        <f>VLOOKUP($A141,'Data shares'!$C:$FM,102)</f>
        <v>24.12</v>
      </c>
      <c r="C141" s="50">
        <f>VLOOKUP($A141,'Data shares'!$C:$FM,110)</f>
        <v>24.42</v>
      </c>
      <c r="D141" s="50">
        <f>VLOOKUP($A141,'Data shares'!$C:$FM,114)</f>
        <v>23.38</v>
      </c>
      <c r="E141" s="50">
        <f>VLOOKUP($A141,'Data shares'!$C:$FM,106)</f>
        <v>36.36</v>
      </c>
      <c r="F141" s="50">
        <f>VLOOKUP($A141,'Data shares'!$C:$FM,108)</f>
        <v>-12.24</v>
      </c>
      <c r="G141" s="50">
        <f t="shared" si="4"/>
        <v>0.6633663366336634</v>
      </c>
    </row>
    <row r="142" spans="1:7" x14ac:dyDescent="0.25">
      <c r="A142" s="49" t="str">
        <f>'Data shares'!C137</f>
        <v>NATIONALUM</v>
      </c>
      <c r="B142" s="50">
        <f>VLOOKUP($A142,'Data shares'!$C:$FM,102)</f>
        <v>28.24</v>
      </c>
      <c r="C142" s="50">
        <f>VLOOKUP($A142,'Data shares'!$C:$FM,110)</f>
        <v>28.15</v>
      </c>
      <c r="D142" s="50">
        <f>VLOOKUP($A142,'Data shares'!$C:$FM,114)</f>
        <v>28.42</v>
      </c>
      <c r="E142" s="50">
        <f>VLOOKUP($A142,'Data shares'!$C:$FM,106)</f>
        <v>46.18</v>
      </c>
      <c r="F142" s="50">
        <f>VLOOKUP($A142,'Data shares'!$C:$FM,108)</f>
        <v>-17.940000000000001</v>
      </c>
      <c r="G142" s="50">
        <f t="shared" si="4"/>
        <v>0.61152013858813337</v>
      </c>
    </row>
    <row r="143" spans="1:7" x14ac:dyDescent="0.25">
      <c r="A143" s="49" t="str">
        <f>'Data shares'!C138</f>
        <v>NAUKRI</v>
      </c>
      <c r="B143" s="50">
        <f>VLOOKUP($A143,'Data shares'!$C:$FM,102)</f>
        <v>26.16</v>
      </c>
      <c r="C143" s="50">
        <f>VLOOKUP($A143,'Data shares'!$C:$FM,110)</f>
        <v>26.04</v>
      </c>
      <c r="D143" s="50">
        <f>VLOOKUP($A143,'Data shares'!$C:$FM,114)</f>
        <v>26.56</v>
      </c>
      <c r="E143" s="50">
        <f>VLOOKUP($A143,'Data shares'!$C:$FM,106)</f>
        <v>36.450000000000003</v>
      </c>
      <c r="F143" s="50">
        <f>VLOOKUP($A143,'Data shares'!$C:$FM,108)</f>
        <v>-10.29</v>
      </c>
      <c r="G143" s="50">
        <f t="shared" si="4"/>
        <v>0.71769547325102878</v>
      </c>
    </row>
    <row r="144" spans="1:7" x14ac:dyDescent="0.25">
      <c r="A144" s="49" t="str">
        <f>'Data shares'!C139</f>
        <v>NBCC</v>
      </c>
      <c r="B144" s="50">
        <f>VLOOKUP($A144,'Data shares'!$C:$FM,102)</f>
        <v>32.85</v>
      </c>
      <c r="C144" s="50">
        <f>VLOOKUP($A144,'Data shares'!$C:$FM,110)</f>
        <v>33.76</v>
      </c>
      <c r="D144" s="50">
        <f>VLOOKUP($A144,'Data shares'!$C:$FM,114)</f>
        <v>29.63</v>
      </c>
      <c r="E144" s="50">
        <f>VLOOKUP($A144,'Data shares'!$C:$FM,106)</f>
        <v>51.07</v>
      </c>
      <c r="F144" s="50">
        <f>VLOOKUP($A144,'Data shares'!$C:$FM,108)</f>
        <v>-18.22</v>
      </c>
      <c r="G144" s="50">
        <f t="shared" si="4"/>
        <v>0.64323477579792443</v>
      </c>
    </row>
    <row r="145" spans="1:7" x14ac:dyDescent="0.25">
      <c r="A145" s="49" t="str">
        <f>'Data shares'!C140</f>
        <v>NCC</v>
      </c>
      <c r="B145" s="50">
        <f>VLOOKUP($A145,'Data shares'!$C:$FM,102)</f>
        <v>31.9</v>
      </c>
      <c r="C145" s="50">
        <f>VLOOKUP($A145,'Data shares'!$C:$FM,110)</f>
        <v>33.26</v>
      </c>
      <c r="D145" s="50">
        <f>VLOOKUP($A145,'Data shares'!$C:$FM,114)</f>
        <v>28.85</v>
      </c>
      <c r="E145" s="50">
        <f>VLOOKUP($A145,'Data shares'!$C:$FM,106)</f>
        <v>45.03</v>
      </c>
      <c r="F145" s="50">
        <f>VLOOKUP($A145,'Data shares'!$C:$FM,108)</f>
        <v>-13.13</v>
      </c>
      <c r="G145" s="50">
        <f t="shared" si="4"/>
        <v>0.70841661114812338</v>
      </c>
    </row>
    <row r="146" spans="1:7" x14ac:dyDescent="0.25">
      <c r="A146" s="49" t="str">
        <f>'Data shares'!C141</f>
        <v>NESTLEIND</v>
      </c>
      <c r="B146" s="50">
        <f>VLOOKUP($A146,'Data shares'!$C:$FM,102)</f>
        <v>18.63</v>
      </c>
      <c r="C146" s="50">
        <f>VLOOKUP($A146,'Data shares'!$C:$FM,110)</f>
        <v>19.09</v>
      </c>
      <c r="D146" s="50">
        <f>VLOOKUP($A146,'Data shares'!$C:$FM,114)</f>
        <v>17.350000000000001</v>
      </c>
      <c r="E146" s="50">
        <f>VLOOKUP($A146,'Data shares'!$C:$FM,106)</f>
        <v>22.99</v>
      </c>
      <c r="F146" s="50">
        <f>VLOOKUP($A146,'Data shares'!$C:$FM,108)</f>
        <v>-4.3600000000000003</v>
      </c>
      <c r="G146" s="50">
        <f t="shared" si="4"/>
        <v>0.81035232709873861</v>
      </c>
    </row>
    <row r="147" spans="1:7" x14ac:dyDescent="0.25">
      <c r="A147" s="49" t="str">
        <f>'Data shares'!C142</f>
        <v>NHPC</v>
      </c>
      <c r="B147" s="50">
        <f>VLOOKUP($A147,'Data shares'!$C:$FM,102)</f>
        <v>24.71</v>
      </c>
      <c r="C147" s="50">
        <f>VLOOKUP($A147,'Data shares'!$C:$FM,110)</f>
        <v>25.2</v>
      </c>
      <c r="D147" s="50">
        <f>VLOOKUP($A147,'Data shares'!$C:$FM,114)</f>
        <v>23.06</v>
      </c>
      <c r="E147" s="50">
        <f>VLOOKUP($A147,'Data shares'!$C:$FM,106)</f>
        <v>36.72</v>
      </c>
      <c r="F147" s="50">
        <f>VLOOKUP($A147,'Data shares'!$C:$FM,108)</f>
        <v>-12.01</v>
      </c>
      <c r="G147" s="50">
        <f t="shared" si="4"/>
        <v>0.67293028322440096</v>
      </c>
    </row>
    <row r="148" spans="1:7" x14ac:dyDescent="0.25">
      <c r="A148" s="49" t="str">
        <f>'Data shares'!C143</f>
        <v>NIFTY</v>
      </c>
      <c r="B148" s="50">
        <f>VLOOKUP($A148,'Data shares'!$C:$FM,102)</f>
        <v>9.8000000000000007</v>
      </c>
      <c r="C148" s="50">
        <f>VLOOKUP($A148,'Data shares'!$C:$FM,110)</f>
        <v>9.86</v>
      </c>
      <c r="D148" s="50">
        <f>VLOOKUP($A148,'Data shares'!$C:$FM,114)</f>
        <v>9.74</v>
      </c>
      <c r="E148" s="50">
        <f>VLOOKUP($A148,'Data shares'!$C:$FM,106)</f>
        <v>14.13</v>
      </c>
      <c r="F148" s="50">
        <f>VLOOKUP($A148,'Data shares'!$C:$FM,108)</f>
        <v>-4.33</v>
      </c>
      <c r="G148" s="50">
        <f t="shared" si="4"/>
        <v>0.69355980184005661</v>
      </c>
    </row>
    <row r="149" spans="1:7" x14ac:dyDescent="0.25">
      <c r="A149" s="49" t="str">
        <f>'Data shares'!C144</f>
        <v>NIFTYNXT50</v>
      </c>
      <c r="B149" s="50">
        <f>VLOOKUP($A149,'Data shares'!$C:$FM,102)</f>
        <v>14.41</v>
      </c>
      <c r="C149" s="50">
        <f>VLOOKUP($A149,'Data shares'!$C:$FM,110)</f>
        <v>13.51</v>
      </c>
      <c r="D149" s="50">
        <f>VLOOKUP($A149,'Data shares'!$C:$FM,114)</f>
        <v>15.06</v>
      </c>
      <c r="E149" s="50">
        <f>VLOOKUP($A149,'Data shares'!$C:$FM,106)</f>
        <v>19.940000000000001</v>
      </c>
      <c r="F149" s="50">
        <f>VLOOKUP($A149,'Data shares'!$C:$FM,108)</f>
        <v>-5.53</v>
      </c>
      <c r="G149" s="50">
        <f t="shared" si="4"/>
        <v>0.72266800401203601</v>
      </c>
    </row>
    <row r="150" spans="1:7" x14ac:dyDescent="0.25">
      <c r="A150" s="49" t="str">
        <f>'Data shares'!C145</f>
        <v>NMDC</v>
      </c>
      <c r="B150" s="50">
        <f>VLOOKUP($A150,'Data shares'!$C:$FM,102)</f>
        <v>23.65</v>
      </c>
      <c r="C150" s="50">
        <f>VLOOKUP($A150,'Data shares'!$C:$FM,110)</f>
        <v>23.55</v>
      </c>
      <c r="D150" s="50">
        <f>VLOOKUP($A150,'Data shares'!$C:$FM,114)</f>
        <v>23.98</v>
      </c>
      <c r="E150" s="50">
        <f>VLOOKUP($A150,'Data shares'!$C:$FM,106)</f>
        <v>37.229999999999997</v>
      </c>
      <c r="F150" s="50">
        <f>VLOOKUP($A150,'Data shares'!$C:$FM,108)</f>
        <v>-13.58</v>
      </c>
      <c r="G150" s="50">
        <f t="shared" si="4"/>
        <v>0.63524039752887462</v>
      </c>
    </row>
    <row r="151" spans="1:7" x14ac:dyDescent="0.25">
      <c r="A151" s="49" t="str">
        <f>'Data shares'!C146</f>
        <v>NTPC</v>
      </c>
      <c r="B151" s="50">
        <f>VLOOKUP($A151,'Data shares'!$C:$FM,102)</f>
        <v>14.38</v>
      </c>
      <c r="C151" s="50">
        <f>VLOOKUP($A151,'Data shares'!$C:$FM,110)</f>
        <v>14.53</v>
      </c>
      <c r="D151" s="50">
        <f>VLOOKUP($A151,'Data shares'!$C:$FM,114)</f>
        <v>14.1</v>
      </c>
      <c r="E151" s="50">
        <f>VLOOKUP($A151,'Data shares'!$C:$FM,106)</f>
        <v>26.7</v>
      </c>
      <c r="F151" s="50">
        <f>VLOOKUP($A151,'Data shares'!$C:$FM,108)</f>
        <v>-12.32</v>
      </c>
      <c r="G151" s="50">
        <f t="shared" si="4"/>
        <v>0.53857677902621726</v>
      </c>
    </row>
    <row r="152" spans="1:7" x14ac:dyDescent="0.25">
      <c r="A152" s="49" t="str">
        <f>'Data shares'!C147</f>
        <v>NUVAMA</v>
      </c>
      <c r="B152" s="50">
        <f>VLOOKUP($A152,'Data shares'!$C:$FM,102)</f>
        <v>30.96</v>
      </c>
      <c r="C152" s="50">
        <f>VLOOKUP($A152,'Data shares'!$C:$FM,110)</f>
        <v>29.27</v>
      </c>
      <c r="D152" s="50">
        <f>VLOOKUP($A152,'Data shares'!$C:$FM,114)</f>
        <v>32.76</v>
      </c>
      <c r="E152" s="50">
        <f>VLOOKUP($A152,'Data shares'!$C:$FM,106)</f>
        <v>48.95</v>
      </c>
      <c r="F152" s="50">
        <f>VLOOKUP($A152,'Data shares'!$C:$FM,108)</f>
        <v>-17.989999999999998</v>
      </c>
      <c r="G152" s="50">
        <f t="shared" si="4"/>
        <v>0.63248212461695608</v>
      </c>
    </row>
    <row r="153" spans="1:7" x14ac:dyDescent="0.25">
      <c r="A153" s="49" t="str">
        <f>'Data shares'!C148</f>
        <v>NYKAA</v>
      </c>
      <c r="B153" s="50">
        <f>VLOOKUP($A153,'Data shares'!$C:$FM,102)</f>
        <v>26.65</v>
      </c>
      <c r="C153" s="50">
        <f>VLOOKUP($A153,'Data shares'!$C:$FM,110)</f>
        <v>27.16</v>
      </c>
      <c r="D153" s="50">
        <f>VLOOKUP($A153,'Data shares'!$C:$FM,114)</f>
        <v>25.55</v>
      </c>
      <c r="E153" s="50">
        <f>VLOOKUP($A153,'Data shares'!$C:$FM,106)</f>
        <v>36.08</v>
      </c>
      <c r="F153" s="50">
        <f>VLOOKUP($A153,'Data shares'!$C:$FM,108)</f>
        <v>-9.43</v>
      </c>
      <c r="G153" s="50">
        <f t="shared" si="4"/>
        <v>0.73863636363636365</v>
      </c>
    </row>
    <row r="154" spans="1:7" x14ac:dyDescent="0.25">
      <c r="A154" s="49" t="str">
        <f>'Data shares'!C149</f>
        <v>OBEROIRLTY</v>
      </c>
      <c r="B154" s="50">
        <f>VLOOKUP($A154,'Data shares'!$C:$FM,102)</f>
        <v>24.35</v>
      </c>
      <c r="C154" s="50">
        <f>VLOOKUP($A154,'Data shares'!$C:$FM,110)</f>
        <v>24.67</v>
      </c>
      <c r="D154" s="50">
        <f>VLOOKUP($A154,'Data shares'!$C:$FM,114)</f>
        <v>23.9</v>
      </c>
      <c r="E154" s="50">
        <f>VLOOKUP($A154,'Data shares'!$C:$FM,106)</f>
        <v>36.799999999999997</v>
      </c>
      <c r="F154" s="50">
        <f>VLOOKUP($A154,'Data shares'!$C:$FM,108)</f>
        <v>-12.45</v>
      </c>
      <c r="G154" s="50">
        <f t="shared" si="4"/>
        <v>0.66168478260869579</v>
      </c>
    </row>
    <row r="155" spans="1:7" x14ac:dyDescent="0.25">
      <c r="A155" s="49" t="str">
        <f>'Data shares'!C150</f>
        <v>OFSS</v>
      </c>
      <c r="B155" s="50">
        <f>VLOOKUP($A155,'Data shares'!$C:$FM,102)</f>
        <v>27.76</v>
      </c>
      <c r="C155" s="50">
        <f>VLOOKUP($A155,'Data shares'!$C:$FM,110)</f>
        <v>28.25</v>
      </c>
      <c r="D155" s="50">
        <f>VLOOKUP($A155,'Data shares'!$C:$FM,114)</f>
        <v>26.89</v>
      </c>
      <c r="E155" s="50">
        <f>VLOOKUP($A155,'Data shares'!$C:$FM,106)</f>
        <v>39.01</v>
      </c>
      <c r="F155" s="50">
        <f>VLOOKUP($A155,'Data shares'!$C:$FM,108)</f>
        <v>-11.25</v>
      </c>
      <c r="G155" s="50">
        <f t="shared" si="4"/>
        <v>0.71161240707510898</v>
      </c>
    </row>
    <row r="156" spans="1:7" x14ac:dyDescent="0.25">
      <c r="A156" s="49" t="str">
        <f>'Data shares'!C151</f>
        <v>OIL</v>
      </c>
      <c r="B156" s="50">
        <f>VLOOKUP($A156,'Data shares'!$C:$FM,102)</f>
        <v>23.28</v>
      </c>
      <c r="C156" s="50">
        <f>VLOOKUP($A156,'Data shares'!$C:$FM,110)</f>
        <v>23.89</v>
      </c>
      <c r="D156" s="50">
        <f>VLOOKUP($A156,'Data shares'!$C:$FM,114)</f>
        <v>21.48</v>
      </c>
      <c r="E156" s="50">
        <f>VLOOKUP($A156,'Data shares'!$C:$FM,106)</f>
        <v>41.31</v>
      </c>
      <c r="F156" s="50">
        <f>VLOOKUP($A156,'Data shares'!$C:$FM,108)</f>
        <v>-18.03</v>
      </c>
      <c r="G156" s="50">
        <f t="shared" si="4"/>
        <v>0.56354393609295572</v>
      </c>
    </row>
    <row r="157" spans="1:7" x14ac:dyDescent="0.25">
      <c r="A157" s="49" t="str">
        <f>'Data shares'!C152</f>
        <v>ONGC</v>
      </c>
      <c r="B157" s="50">
        <f>VLOOKUP($A157,'Data shares'!$C:$FM,102)</f>
        <v>17.78</v>
      </c>
      <c r="C157" s="50">
        <f>VLOOKUP($A157,'Data shares'!$C:$FM,110)</f>
        <v>17.18</v>
      </c>
      <c r="D157" s="50">
        <f>VLOOKUP($A157,'Data shares'!$C:$FM,114)</f>
        <v>18.68</v>
      </c>
      <c r="E157" s="50">
        <f>VLOOKUP($A157,'Data shares'!$C:$FM,106)</f>
        <v>30</v>
      </c>
      <c r="F157" s="50">
        <f>VLOOKUP($A157,'Data shares'!$C:$FM,108)</f>
        <v>-12.22</v>
      </c>
      <c r="G157" s="50">
        <f t="shared" si="4"/>
        <v>0.59266666666666667</v>
      </c>
    </row>
    <row r="158" spans="1:7" x14ac:dyDescent="0.25">
      <c r="A158" s="49" t="str">
        <f>'Data shares'!C153</f>
        <v>PAGEIND</v>
      </c>
      <c r="B158" s="50">
        <f>VLOOKUP($A158,'Data shares'!$C:$FM,102)</f>
        <v>25.1</v>
      </c>
      <c r="C158" s="50">
        <f>VLOOKUP($A158,'Data shares'!$C:$FM,110)</f>
        <v>26.14</v>
      </c>
      <c r="D158" s="50">
        <f>VLOOKUP($A158,'Data shares'!$C:$FM,114)</f>
        <v>20.8</v>
      </c>
      <c r="E158" s="50">
        <f>VLOOKUP($A158,'Data shares'!$C:$FM,106)</f>
        <v>27.84</v>
      </c>
      <c r="F158" s="50">
        <f>VLOOKUP($A158,'Data shares'!$C:$FM,108)</f>
        <v>-2.74</v>
      </c>
      <c r="G158" s="50">
        <f t="shared" si="4"/>
        <v>0.90158045977011503</v>
      </c>
    </row>
    <row r="159" spans="1:7" x14ac:dyDescent="0.25">
      <c r="A159" s="49" t="str">
        <f>'Data shares'!C154</f>
        <v>PATANJALI</v>
      </c>
      <c r="B159" s="50">
        <f>VLOOKUP($A159,'Data shares'!$C:$FM,102)</f>
        <v>25.73</v>
      </c>
      <c r="C159" s="50">
        <f>VLOOKUP($A159,'Data shares'!$C:$FM,110)</f>
        <v>25.47</v>
      </c>
      <c r="D159" s="50">
        <f>VLOOKUP($A159,'Data shares'!$C:$FM,114)</f>
        <v>26.53</v>
      </c>
      <c r="E159" s="50">
        <f>VLOOKUP($A159,'Data shares'!$C:$FM,106)</f>
        <v>33.49</v>
      </c>
      <c r="F159" s="50">
        <f>VLOOKUP($A159,'Data shares'!$C:$FM,108)</f>
        <v>-7.76</v>
      </c>
      <c r="G159" s="50">
        <f t="shared" si="4"/>
        <v>0.76828904150492683</v>
      </c>
    </row>
    <row r="160" spans="1:7" x14ac:dyDescent="0.25">
      <c r="A160" s="49" t="str">
        <f>'Data shares'!C155</f>
        <v>PAYTM</v>
      </c>
      <c r="B160" s="50">
        <f>VLOOKUP($A160,'Data shares'!$C:$FM,102)</f>
        <v>29.56</v>
      </c>
      <c r="C160" s="50">
        <f>VLOOKUP($A160,'Data shares'!$C:$FM,110)</f>
        <v>29.97</v>
      </c>
      <c r="D160" s="50">
        <f>VLOOKUP($A160,'Data shares'!$C:$FM,114)</f>
        <v>28.63</v>
      </c>
      <c r="E160" s="50">
        <f>VLOOKUP($A160,'Data shares'!$C:$FM,106)</f>
        <v>52.36</v>
      </c>
      <c r="F160" s="50">
        <f>VLOOKUP($A160,'Data shares'!$C:$FM,108)</f>
        <v>-22.8</v>
      </c>
      <c r="G160" s="50">
        <f t="shared" si="4"/>
        <v>0.56455309396485864</v>
      </c>
    </row>
    <row r="161" spans="1:7" x14ac:dyDescent="0.25">
      <c r="A161" s="49" t="str">
        <f>'Data shares'!C156</f>
        <v>PERSISTENT</v>
      </c>
      <c r="B161" s="50">
        <f>VLOOKUP($A161,'Data shares'!$C:$FM,102)</f>
        <v>28.05</v>
      </c>
      <c r="C161" s="50">
        <f>VLOOKUP($A161,'Data shares'!$C:$FM,110)</f>
        <v>28.02</v>
      </c>
      <c r="D161" s="50">
        <f>VLOOKUP($A161,'Data shares'!$C:$FM,114)</f>
        <v>28.11</v>
      </c>
      <c r="E161" s="50">
        <f>VLOOKUP($A161,'Data shares'!$C:$FM,106)</f>
        <v>40.19</v>
      </c>
      <c r="F161" s="50">
        <f>VLOOKUP($A161,'Data shares'!$C:$FM,108)</f>
        <v>-12.14</v>
      </c>
      <c r="G161" s="50">
        <f t="shared" si="4"/>
        <v>0.6979348096541429</v>
      </c>
    </row>
    <row r="162" spans="1:7" x14ac:dyDescent="0.25">
      <c r="A162" s="49" t="str">
        <f>'Data shares'!C157</f>
        <v>PETRONET</v>
      </c>
      <c r="B162" s="50">
        <f>VLOOKUP($A162,'Data shares'!$C:$FM,102)</f>
        <v>20.2</v>
      </c>
      <c r="C162" s="50">
        <f>VLOOKUP($A162,'Data shares'!$C:$FM,110)</f>
        <v>20.25</v>
      </c>
      <c r="D162" s="50">
        <f>VLOOKUP($A162,'Data shares'!$C:$FM,114)</f>
        <v>20.13</v>
      </c>
      <c r="E162" s="50">
        <f>VLOOKUP($A162,'Data shares'!$C:$FM,106)</f>
        <v>31.26</v>
      </c>
      <c r="F162" s="50">
        <f>VLOOKUP($A162,'Data shares'!$C:$FM,108)</f>
        <v>-11.06</v>
      </c>
      <c r="G162" s="50">
        <f t="shared" si="4"/>
        <v>0.64619321817018549</v>
      </c>
    </row>
    <row r="163" spans="1:7" x14ac:dyDescent="0.25">
      <c r="A163" s="49" t="str">
        <f>'Data shares'!C158</f>
        <v>PFC</v>
      </c>
      <c r="B163" s="50">
        <f>VLOOKUP($A163,'Data shares'!$C:$FM,102)</f>
        <v>23.22</v>
      </c>
      <c r="C163" s="50">
        <f>VLOOKUP($A163,'Data shares'!$C:$FM,110)</f>
        <v>24.08</v>
      </c>
      <c r="D163" s="50">
        <f>VLOOKUP($A163,'Data shares'!$C:$FM,114)</f>
        <v>20.96</v>
      </c>
      <c r="E163" s="50">
        <f>VLOOKUP($A163,'Data shares'!$C:$FM,106)</f>
        <v>41.44</v>
      </c>
      <c r="F163" s="50">
        <f>VLOOKUP($A163,'Data shares'!$C:$FM,108)</f>
        <v>-18.22</v>
      </c>
      <c r="G163" s="50">
        <f t="shared" si="4"/>
        <v>0.56032818532818529</v>
      </c>
    </row>
    <row r="164" spans="1:7" x14ac:dyDescent="0.25">
      <c r="A164" s="49" t="str">
        <f>'Data shares'!C159</f>
        <v>PGEL</v>
      </c>
      <c r="B164" s="50">
        <f>VLOOKUP($A164,'Data shares'!$C:$FM,102)</f>
        <v>37.03</v>
      </c>
      <c r="C164" s="50">
        <f>VLOOKUP($A164,'Data shares'!$C:$FM,110)</f>
        <v>37.44</v>
      </c>
      <c r="D164" s="50">
        <f>VLOOKUP($A164,'Data shares'!$C:$FM,114)</f>
        <v>36.06</v>
      </c>
      <c r="E164" s="50">
        <f>VLOOKUP($A164,'Data shares'!$C:$FM,106)</f>
        <v>66.28</v>
      </c>
      <c r="F164" s="50">
        <f>VLOOKUP($A164,'Data shares'!$C:$FM,108)</f>
        <v>-29.25</v>
      </c>
      <c r="G164" s="50">
        <f t="shared" si="4"/>
        <v>0.55869040434520223</v>
      </c>
    </row>
    <row r="165" spans="1:7" x14ac:dyDescent="0.25">
      <c r="A165" s="49" t="str">
        <f>'Data shares'!C160</f>
        <v>PHOENIXLTD</v>
      </c>
      <c r="B165" s="50">
        <f>VLOOKUP($A165,'Data shares'!$C:$FM,102)</f>
        <v>22.95</v>
      </c>
      <c r="C165" s="50">
        <f>VLOOKUP($A165,'Data shares'!$C:$FM,110)</f>
        <v>22.44</v>
      </c>
      <c r="D165" s="50">
        <f>VLOOKUP($A165,'Data shares'!$C:$FM,114)</f>
        <v>24.16</v>
      </c>
      <c r="E165" s="50">
        <f>VLOOKUP($A165,'Data shares'!$C:$FM,106)</f>
        <v>41.22</v>
      </c>
      <c r="F165" s="50">
        <f>VLOOKUP($A165,'Data shares'!$C:$FM,108)</f>
        <v>-18.27</v>
      </c>
      <c r="G165" s="50">
        <f t="shared" si="4"/>
        <v>0.55676855895196509</v>
      </c>
    </row>
    <row r="166" spans="1:7" x14ac:dyDescent="0.25">
      <c r="A166" s="49" t="str">
        <f>'Data shares'!C161</f>
        <v>PIDILITIND</v>
      </c>
      <c r="B166" s="50">
        <f>VLOOKUP($A166,'Data shares'!$C:$FM,102)</f>
        <v>16.829999999999998</v>
      </c>
      <c r="C166" s="50">
        <f>VLOOKUP($A166,'Data shares'!$C:$FM,110)</f>
        <v>16.91</v>
      </c>
      <c r="D166" s="50">
        <f>VLOOKUP($A166,'Data shares'!$C:$FM,114)</f>
        <v>16.73</v>
      </c>
      <c r="E166" s="50">
        <f>VLOOKUP($A166,'Data shares'!$C:$FM,106)</f>
        <v>21.37</v>
      </c>
      <c r="F166" s="50">
        <f>VLOOKUP($A166,'Data shares'!$C:$FM,108)</f>
        <v>-4.54</v>
      </c>
      <c r="G166" s="50">
        <f t="shared" si="4"/>
        <v>0.78755264389330826</v>
      </c>
    </row>
    <row r="167" spans="1:7" x14ac:dyDescent="0.25">
      <c r="A167" s="49" t="str">
        <f>'Data shares'!C162</f>
        <v>PIIND</v>
      </c>
      <c r="B167" s="50">
        <f>VLOOKUP($A167,'Data shares'!$C:$FM,102)</f>
        <v>24.41</v>
      </c>
      <c r="C167" s="50">
        <f>VLOOKUP($A167,'Data shares'!$C:$FM,110)</f>
        <v>24.34</v>
      </c>
      <c r="D167" s="50">
        <f>VLOOKUP($A167,'Data shares'!$C:$FM,114)</f>
        <v>24.52</v>
      </c>
      <c r="E167" s="50">
        <f>VLOOKUP($A167,'Data shares'!$C:$FM,106)</f>
        <v>29.42</v>
      </c>
      <c r="F167" s="50">
        <f>VLOOKUP($A167,'Data shares'!$C:$FM,108)</f>
        <v>-5.01</v>
      </c>
      <c r="G167" s="50">
        <f t="shared" ref="G167:G189" si="5">B167/E167</f>
        <v>0.82970768184908217</v>
      </c>
    </row>
    <row r="168" spans="1:7" x14ac:dyDescent="0.25">
      <c r="A168" s="49" t="str">
        <f>'Data shares'!C163</f>
        <v>PNB</v>
      </c>
      <c r="B168" s="50">
        <f>VLOOKUP($A168,'Data shares'!$C:$FM,102)</f>
        <v>23.98</v>
      </c>
      <c r="C168" s="50">
        <f>VLOOKUP($A168,'Data shares'!$C:$FM,110)</f>
        <v>24.1</v>
      </c>
      <c r="D168" s="50">
        <f>VLOOKUP($A168,'Data shares'!$C:$FM,114)</f>
        <v>23.69</v>
      </c>
      <c r="E168" s="50">
        <f>VLOOKUP($A168,'Data shares'!$C:$FM,106)</f>
        <v>35.9</v>
      </c>
      <c r="F168" s="50">
        <f>VLOOKUP($A168,'Data shares'!$C:$FM,108)</f>
        <v>-11.92</v>
      </c>
      <c r="G168" s="50">
        <f t="shared" si="5"/>
        <v>0.66796657381615598</v>
      </c>
    </row>
    <row r="169" spans="1:7" x14ac:dyDescent="0.25">
      <c r="A169" s="49" t="str">
        <f>'Data shares'!C164</f>
        <v>PNBHOUSING</v>
      </c>
      <c r="B169" s="50">
        <f>VLOOKUP($A169,'Data shares'!$C:$FM,102)</f>
        <v>28.92</v>
      </c>
      <c r="C169" s="50">
        <f>VLOOKUP($A169,'Data shares'!$C:$FM,110)</f>
        <v>29.5</v>
      </c>
      <c r="D169" s="50">
        <f>VLOOKUP($A169,'Data shares'!$C:$FM,114)</f>
        <v>27.74</v>
      </c>
      <c r="E169" s="50">
        <f>VLOOKUP($A169,'Data shares'!$C:$FM,106)</f>
        <v>46.33</v>
      </c>
      <c r="F169" s="50">
        <f>VLOOKUP($A169,'Data shares'!$C:$FM,108)</f>
        <v>-17.41</v>
      </c>
      <c r="G169" s="50">
        <f t="shared" si="5"/>
        <v>0.62421756960932451</v>
      </c>
    </row>
    <row r="170" spans="1:7" x14ac:dyDescent="0.25">
      <c r="A170" s="49" t="str">
        <f>'Data shares'!C165</f>
        <v>POLICYBZR</v>
      </c>
      <c r="B170" s="50">
        <f>VLOOKUP($A170,'Data shares'!$C:$FM,102)</f>
        <v>32.68</v>
      </c>
      <c r="C170" s="50">
        <f>VLOOKUP($A170,'Data shares'!$C:$FM,110)</f>
        <v>33.35</v>
      </c>
      <c r="D170" s="50">
        <f>VLOOKUP($A170,'Data shares'!$C:$FM,114)</f>
        <v>32.07</v>
      </c>
      <c r="E170" s="50">
        <f>VLOOKUP($A170,'Data shares'!$C:$FM,106)</f>
        <v>46.9</v>
      </c>
      <c r="F170" s="50">
        <f>VLOOKUP($A170,'Data shares'!$C:$FM,108)</f>
        <v>-14.22</v>
      </c>
      <c r="G170" s="50">
        <f t="shared" si="5"/>
        <v>0.69680170575692968</v>
      </c>
    </row>
    <row r="171" spans="1:7" x14ac:dyDescent="0.25">
      <c r="A171" s="49" t="str">
        <f>'Data shares'!C166</f>
        <v>POLYCAB</v>
      </c>
      <c r="B171" s="50">
        <f>VLOOKUP($A171,'Data shares'!$C:$FM,102)</f>
        <v>26.06</v>
      </c>
      <c r="C171" s="50">
        <f>VLOOKUP($A171,'Data shares'!$C:$FM,110)</f>
        <v>25.81</v>
      </c>
      <c r="D171" s="50">
        <f>VLOOKUP($A171,'Data shares'!$C:$FM,114)</f>
        <v>26.27</v>
      </c>
      <c r="E171" s="50">
        <f>VLOOKUP($A171,'Data shares'!$C:$FM,106)</f>
        <v>38.79</v>
      </c>
      <c r="F171" s="50">
        <f>VLOOKUP($A171,'Data shares'!$C:$FM,108)</f>
        <v>-12.73</v>
      </c>
      <c r="G171" s="50">
        <f t="shared" si="5"/>
        <v>0.67182263469966486</v>
      </c>
    </row>
    <row r="172" spans="1:7" x14ac:dyDescent="0.25">
      <c r="A172" s="49" t="str">
        <f>'Data shares'!C167</f>
        <v>POWERGRID</v>
      </c>
      <c r="B172" s="50">
        <f>VLOOKUP($A172,'Data shares'!$C:$FM,102)</f>
        <v>17.27</v>
      </c>
      <c r="C172" s="50">
        <f>VLOOKUP($A172,'Data shares'!$C:$FM,110)</f>
        <v>17.45</v>
      </c>
      <c r="D172" s="50">
        <f>VLOOKUP($A172,'Data shares'!$C:$FM,114)</f>
        <v>16.72</v>
      </c>
      <c r="E172" s="50">
        <f>VLOOKUP($A172,'Data shares'!$C:$FM,106)</f>
        <v>27.77</v>
      </c>
      <c r="F172" s="50">
        <f>VLOOKUP($A172,'Data shares'!$C:$FM,108)</f>
        <v>-10.5</v>
      </c>
      <c r="G172" s="50">
        <f t="shared" si="5"/>
        <v>0.62189413035649976</v>
      </c>
    </row>
    <row r="173" spans="1:7" x14ac:dyDescent="0.25">
      <c r="A173" s="49" t="str">
        <f>'Data shares'!C168</f>
        <v>POWERINDIA</v>
      </c>
      <c r="B173" s="50">
        <f>VLOOKUP($A173,'Data shares'!$C:$FM,102)</f>
        <v>35.520000000000003</v>
      </c>
      <c r="C173" s="50">
        <f>VLOOKUP($A173,'Data shares'!$C:$FM,110)</f>
        <v>36.67</v>
      </c>
      <c r="D173" s="50">
        <f>VLOOKUP($A173,'Data shares'!$C:$FM,114)</f>
        <v>31.36</v>
      </c>
      <c r="E173" s="50">
        <f>VLOOKUP($A173,'Data shares'!$C:$FM,106)</f>
        <v>58.22</v>
      </c>
      <c r="F173" s="50">
        <f>VLOOKUP($A173,'Data shares'!$C:$FM,108)</f>
        <v>-22.7</v>
      </c>
      <c r="G173" s="50">
        <f t="shared" si="5"/>
        <v>0.61009962212298186</v>
      </c>
    </row>
    <row r="174" spans="1:7" x14ac:dyDescent="0.25">
      <c r="A174" s="49" t="str">
        <f>'Data shares'!C169</f>
        <v>PPLPHARMA</v>
      </c>
      <c r="B174" s="50">
        <f>VLOOKUP($A174,'Data shares'!$C:$FM,102)</f>
        <v>30.07</v>
      </c>
      <c r="C174" s="50">
        <f>VLOOKUP($A174,'Data shares'!$C:$FM,110)</f>
        <v>31.07</v>
      </c>
      <c r="D174" s="50">
        <f>VLOOKUP($A174,'Data shares'!$C:$FM,114)</f>
        <v>27.55</v>
      </c>
      <c r="E174" s="50">
        <f>VLOOKUP($A174,'Data shares'!$C:$FM,106)</f>
        <v>43.73</v>
      </c>
      <c r="F174" s="50">
        <f>VLOOKUP($A174,'Data shares'!$C:$FM,108)</f>
        <v>-13.66</v>
      </c>
      <c r="G174" s="50">
        <f t="shared" si="5"/>
        <v>0.68762863023096277</v>
      </c>
    </row>
    <row r="175" spans="1:7" x14ac:dyDescent="0.25">
      <c r="A175" s="49" t="str">
        <f>'Data shares'!C170</f>
        <v>PRESTIGE</v>
      </c>
      <c r="B175" s="50">
        <f>VLOOKUP($A175,'Data shares'!$C:$FM,102)</f>
        <v>28.83</v>
      </c>
      <c r="C175" s="50">
        <f>VLOOKUP($A175,'Data shares'!$C:$FM,110)</f>
        <v>29.43</v>
      </c>
      <c r="D175" s="50">
        <f>VLOOKUP($A175,'Data shares'!$C:$FM,114)</f>
        <v>27.66</v>
      </c>
      <c r="E175" s="50">
        <f>VLOOKUP($A175,'Data shares'!$C:$FM,106)</f>
        <v>44.8</v>
      </c>
      <c r="F175" s="50">
        <f>VLOOKUP($A175,'Data shares'!$C:$FM,108)</f>
        <v>-15.97</v>
      </c>
      <c r="G175" s="50">
        <f t="shared" si="5"/>
        <v>0.64352678571428568</v>
      </c>
    </row>
    <row r="176" spans="1:7" x14ac:dyDescent="0.25">
      <c r="A176" s="49" t="str">
        <f>'Data shares'!C171</f>
        <v>RBLBANK</v>
      </c>
      <c r="B176" s="50">
        <f>VLOOKUP($A176,'Data shares'!$C:$FM,102)</f>
        <v>28.68</v>
      </c>
      <c r="C176" s="50">
        <f>VLOOKUP($A176,'Data shares'!$C:$FM,110)</f>
        <v>29.5</v>
      </c>
      <c r="D176" s="50">
        <f>VLOOKUP($A176,'Data shares'!$C:$FM,114)</f>
        <v>27.84</v>
      </c>
      <c r="E176" s="50">
        <f>VLOOKUP($A176,'Data shares'!$C:$FM,106)</f>
        <v>44.74</v>
      </c>
      <c r="F176" s="50">
        <f>VLOOKUP($A176,'Data shares'!$C:$FM,108)</f>
        <v>-16.059999999999999</v>
      </c>
      <c r="G176" s="50">
        <f t="shared" si="5"/>
        <v>0.64103710326329899</v>
      </c>
    </row>
    <row r="177" spans="1:7" x14ac:dyDescent="0.25">
      <c r="A177" s="49" t="str">
        <f>'Data shares'!C172</f>
        <v>RECLTD</v>
      </c>
      <c r="B177" s="50">
        <f>VLOOKUP($A177,'Data shares'!$C:$FM,102)</f>
        <v>22.9</v>
      </c>
      <c r="C177" s="50">
        <f>VLOOKUP($A177,'Data shares'!$C:$FM,110)</f>
        <v>23.32</v>
      </c>
      <c r="D177" s="50">
        <f>VLOOKUP($A177,'Data shares'!$C:$FM,114)</f>
        <v>21.95</v>
      </c>
      <c r="E177" s="50">
        <f>VLOOKUP($A177,'Data shares'!$C:$FM,106)</f>
        <v>42.08</v>
      </c>
      <c r="F177" s="50">
        <f>VLOOKUP($A177,'Data shares'!$C:$FM,108)</f>
        <v>-19.18</v>
      </c>
      <c r="G177" s="50">
        <f t="shared" si="5"/>
        <v>0.54420152091254748</v>
      </c>
    </row>
    <row r="178" spans="1:7" x14ac:dyDescent="0.25">
      <c r="A178" s="49" t="str">
        <f>'Data shares'!C173</f>
        <v>RELIANCE</v>
      </c>
      <c r="B178" s="50">
        <f>VLOOKUP($A178,'Data shares'!$C:$FM,102)</f>
        <v>15.29</v>
      </c>
      <c r="C178" s="50">
        <f>VLOOKUP($A178,'Data shares'!$C:$FM,110)</f>
        <v>15.01</v>
      </c>
      <c r="D178" s="50">
        <f>VLOOKUP($A178,'Data shares'!$C:$FM,114)</f>
        <v>15.74</v>
      </c>
      <c r="E178" s="50">
        <f>VLOOKUP($A178,'Data shares'!$C:$FM,106)</f>
        <v>23.34</v>
      </c>
      <c r="F178" s="50">
        <f>VLOOKUP($A178,'Data shares'!$C:$FM,108)</f>
        <v>-8.0500000000000007</v>
      </c>
      <c r="G178" s="50">
        <f t="shared" si="5"/>
        <v>0.65509854327335049</v>
      </c>
    </row>
    <row r="179" spans="1:7" x14ac:dyDescent="0.25">
      <c r="A179" s="49" t="str">
        <f>'Data shares'!C174</f>
        <v>RVNL</v>
      </c>
      <c r="B179" s="50">
        <f>VLOOKUP($A179,'Data shares'!$C:$FM,102)</f>
        <v>30.68</v>
      </c>
      <c r="C179" s="50">
        <f>VLOOKUP($A179,'Data shares'!$C:$FM,110)</f>
        <v>31.25</v>
      </c>
      <c r="D179" s="50">
        <f>VLOOKUP($A179,'Data shares'!$C:$FM,114)</f>
        <v>28.08</v>
      </c>
      <c r="E179" s="50">
        <f>VLOOKUP($A179,'Data shares'!$C:$FM,106)</f>
        <v>53.97</v>
      </c>
      <c r="F179" s="50">
        <f>VLOOKUP($A179,'Data shares'!$C:$FM,108)</f>
        <v>-23.29</v>
      </c>
      <c r="G179" s="50">
        <f t="shared" si="5"/>
        <v>0.56846396146007039</v>
      </c>
    </row>
    <row r="180" spans="1:7" x14ac:dyDescent="0.25">
      <c r="A180" s="49" t="str">
        <f>'Data shares'!C175</f>
        <v>SAIL</v>
      </c>
      <c r="B180" s="50">
        <f>VLOOKUP($A180,'Data shares'!$C:$FM,102)</f>
        <v>28.21</v>
      </c>
      <c r="C180" s="50">
        <f>VLOOKUP($A180,'Data shares'!$C:$FM,110)</f>
        <v>28.58</v>
      </c>
      <c r="D180" s="50">
        <f>VLOOKUP($A180,'Data shares'!$C:$FM,114)</f>
        <v>27.03</v>
      </c>
      <c r="E180" s="50">
        <f>VLOOKUP($A180,'Data shares'!$C:$FM,106)</f>
        <v>43.35</v>
      </c>
      <c r="F180" s="50">
        <f>VLOOKUP($A180,'Data shares'!$C:$FM,108)</f>
        <v>-15.14</v>
      </c>
      <c r="G180" s="50">
        <f t="shared" si="5"/>
        <v>0.65074971164936568</v>
      </c>
    </row>
    <row r="181" spans="1:7" x14ac:dyDescent="0.25">
      <c r="A181" s="49" t="str">
        <f>'Data shares'!C176</f>
        <v>SAMMAANCAP</v>
      </c>
      <c r="B181" s="50">
        <f>VLOOKUP($A181,'Data shares'!$C:$FM,102)</f>
        <v>46.62</v>
      </c>
      <c r="C181" s="50">
        <f>VLOOKUP($A181,'Data shares'!$C:$FM,110)</f>
        <v>47.54</v>
      </c>
      <c r="D181" s="50">
        <f>VLOOKUP($A181,'Data shares'!$C:$FM,114)</f>
        <v>45</v>
      </c>
      <c r="E181" s="50">
        <f>VLOOKUP($A181,'Data shares'!$C:$FM,106)</f>
        <v>57.49</v>
      </c>
      <c r="F181" s="50">
        <f>VLOOKUP($A181,'Data shares'!$C:$FM,108)</f>
        <v>-10.87</v>
      </c>
      <c r="G181" s="50">
        <f t="shared" si="5"/>
        <v>0.81092363889372054</v>
      </c>
    </row>
    <row r="182" spans="1:7" x14ac:dyDescent="0.25">
      <c r="A182" s="49" t="str">
        <f>'Data shares'!C177</f>
        <v>SBICARD</v>
      </c>
      <c r="B182" s="50">
        <f>VLOOKUP($A182,'Data shares'!$C:$FM,102)</f>
        <v>23.93</v>
      </c>
      <c r="C182" s="50">
        <f>VLOOKUP($A182,'Data shares'!$C:$FM,110)</f>
        <v>25.19</v>
      </c>
      <c r="D182" s="50">
        <f>VLOOKUP($A182,'Data shares'!$C:$FM,114)</f>
        <v>22.53</v>
      </c>
      <c r="E182" s="50">
        <f>VLOOKUP($A182,'Data shares'!$C:$FM,106)</f>
        <v>29.3</v>
      </c>
      <c r="F182" s="50">
        <f>VLOOKUP($A182,'Data shares'!$C:$FM,108)</f>
        <v>-5.37</v>
      </c>
      <c r="G182" s="50">
        <f t="shared" si="5"/>
        <v>0.81672354948805459</v>
      </c>
    </row>
    <row r="183" spans="1:7" x14ac:dyDescent="0.25">
      <c r="A183" s="49" t="str">
        <f>'Data shares'!C178</f>
        <v>SBILIFE</v>
      </c>
      <c r="B183" s="50">
        <f>VLOOKUP($A183,'Data shares'!$C:$FM,102)</f>
        <v>15.66</v>
      </c>
      <c r="C183" s="50">
        <f>VLOOKUP($A183,'Data shares'!$C:$FM,110)</f>
        <v>15.69</v>
      </c>
      <c r="D183" s="50">
        <f>VLOOKUP($A183,'Data shares'!$C:$FM,114)</f>
        <v>15.63</v>
      </c>
      <c r="E183" s="50">
        <f>VLOOKUP($A183,'Data shares'!$C:$FM,106)</f>
        <v>24.38</v>
      </c>
      <c r="F183" s="50">
        <f>VLOOKUP($A183,'Data shares'!$C:$FM,108)</f>
        <v>-8.7200000000000006</v>
      </c>
      <c r="G183" s="50">
        <f t="shared" si="5"/>
        <v>0.64232977850697293</v>
      </c>
    </row>
    <row r="184" spans="1:7" x14ac:dyDescent="0.25">
      <c r="A184" s="49" t="str">
        <f>'Data shares'!C179</f>
        <v>SBIN</v>
      </c>
      <c r="B184" s="50">
        <f>VLOOKUP($A184,'Data shares'!$C:$FM,102)</f>
        <v>15.72</v>
      </c>
      <c r="C184" s="50">
        <f>VLOOKUP($A184,'Data shares'!$C:$FM,110)</f>
        <v>15.62</v>
      </c>
      <c r="D184" s="50">
        <f>VLOOKUP($A184,'Data shares'!$C:$FM,114)</f>
        <v>15.9</v>
      </c>
      <c r="E184" s="50">
        <f>VLOOKUP($A184,'Data shares'!$C:$FM,106)</f>
        <v>24.82</v>
      </c>
      <c r="F184" s="50">
        <f>VLOOKUP($A184,'Data shares'!$C:$FM,108)</f>
        <v>-9.1</v>
      </c>
      <c r="G184" s="50">
        <f t="shared" si="5"/>
        <v>0.63336019339242544</v>
      </c>
    </row>
    <row r="185" spans="1:7" x14ac:dyDescent="0.25">
      <c r="A185" s="49" t="str">
        <f>'Data shares'!C180</f>
        <v>SHREECEM</v>
      </c>
      <c r="B185" s="50">
        <f>VLOOKUP($A185,'Data shares'!$C:$FM,102)</f>
        <v>22.49</v>
      </c>
      <c r="C185" s="50">
        <f>VLOOKUP($A185,'Data shares'!$C:$FM,110)</f>
        <v>22.81</v>
      </c>
      <c r="D185" s="50">
        <f>VLOOKUP($A185,'Data shares'!$C:$FM,114)</f>
        <v>20.76</v>
      </c>
      <c r="E185" s="50">
        <f>VLOOKUP($A185,'Data shares'!$C:$FM,106)</f>
        <v>24.75</v>
      </c>
      <c r="F185" s="50">
        <f>VLOOKUP($A185,'Data shares'!$C:$FM,108)</f>
        <v>-2.2599999999999998</v>
      </c>
      <c r="G185" s="50">
        <f t="shared" si="5"/>
        <v>0.90868686868686865</v>
      </c>
    </row>
    <row r="186" spans="1:7" x14ac:dyDescent="0.25">
      <c r="A186" s="49" t="str">
        <f>'Data shares'!C181</f>
        <v>SHRIRAMFIN</v>
      </c>
      <c r="B186" s="50">
        <f>VLOOKUP($A186,'Data shares'!$C:$FM,102)</f>
        <v>33.799999999999997</v>
      </c>
      <c r="C186" s="50">
        <f>VLOOKUP($A186,'Data shares'!$C:$FM,110)</f>
        <v>33.93</v>
      </c>
      <c r="D186" s="50">
        <f>VLOOKUP($A186,'Data shares'!$C:$FM,114)</f>
        <v>33.450000000000003</v>
      </c>
      <c r="E186" s="50">
        <f>VLOOKUP($A186,'Data shares'!$C:$FM,106)</f>
        <v>39.130000000000003</v>
      </c>
      <c r="F186" s="50">
        <f>VLOOKUP($A186,'Data shares'!$C:$FM,108)</f>
        <v>-5.33</v>
      </c>
      <c r="G186" s="50">
        <f t="shared" si="5"/>
        <v>0.86378737541528228</v>
      </c>
    </row>
    <row r="187" spans="1:7" x14ac:dyDescent="0.25">
      <c r="A187" s="49" t="str">
        <f>'Data shares'!C182</f>
        <v>SIEMENS</v>
      </c>
      <c r="B187" s="50">
        <f>VLOOKUP($A187,'Data shares'!$C:$FM,102)</f>
        <v>26.01</v>
      </c>
      <c r="C187" s="50">
        <f>VLOOKUP($A187,'Data shares'!$C:$FM,110)</f>
        <v>26.32</v>
      </c>
      <c r="D187" s="50">
        <f>VLOOKUP($A187,'Data shares'!$C:$FM,114)</f>
        <v>25.26</v>
      </c>
      <c r="E187" s="50">
        <f>VLOOKUP($A187,'Data shares'!$C:$FM,106)</f>
        <v>37.799999999999997</v>
      </c>
      <c r="F187" s="50">
        <f>VLOOKUP($A187,'Data shares'!$C:$FM,108)</f>
        <v>-11.79</v>
      </c>
      <c r="G187" s="50">
        <f t="shared" si="5"/>
        <v>0.6880952380952382</v>
      </c>
    </row>
    <row r="188" spans="1:7" x14ac:dyDescent="0.25">
      <c r="A188" s="49" t="str">
        <f>'Data shares'!C183</f>
        <v>SOLARINDS</v>
      </c>
      <c r="B188" s="50">
        <f>VLOOKUP($A188,'Data shares'!$C:$FM,102)</f>
        <v>31</v>
      </c>
      <c r="C188" s="50">
        <f>VLOOKUP($A188,'Data shares'!$C:$FM,110)</f>
        <v>32.06</v>
      </c>
      <c r="D188" s="50">
        <f>VLOOKUP($A188,'Data shares'!$C:$FM,114)</f>
        <v>29.31</v>
      </c>
      <c r="E188" s="50">
        <f>VLOOKUP($A188,'Data shares'!$C:$FM,106)</f>
        <v>39.26</v>
      </c>
      <c r="F188" s="50">
        <f>VLOOKUP($A188,'Data shares'!$C:$FM,108)</f>
        <v>-8.26</v>
      </c>
      <c r="G188" s="50">
        <f t="shared" si="5"/>
        <v>0.78960774325012739</v>
      </c>
    </row>
    <row r="189" spans="1:7" x14ac:dyDescent="0.25">
      <c r="A189" s="49" t="str">
        <f>'Data shares'!C215</f>
        <v>ZYDUSLIFE</v>
      </c>
      <c r="B189" s="50">
        <f>VLOOKUP($A189,'Data shares'!$C:$FM,102)</f>
        <v>18.510000000000002</v>
      </c>
      <c r="C189" s="50">
        <f>VLOOKUP($A189,'Data shares'!$C:$FM,110)</f>
        <v>18.649999999999999</v>
      </c>
      <c r="D189" s="50">
        <f>VLOOKUP($A189,'Data shares'!$C:$FM,114)</f>
        <v>18.07</v>
      </c>
      <c r="E189" s="50">
        <f>VLOOKUP($A189,'Data shares'!$C:$FM,106)</f>
        <v>28.01</v>
      </c>
      <c r="F189" s="50">
        <f>VLOOKUP($A189,'Data shares'!$C:$FM,108)</f>
        <v>-9.5</v>
      </c>
      <c r="G189" s="50">
        <f t="shared" si="5"/>
        <v>0.66083541592288475</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L13" sqref="L13"/>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683</v>
      </c>
      <c r="B5" s="49">
        <v>44660948</v>
      </c>
      <c r="C5" s="49">
        <v>4681000</v>
      </c>
      <c r="D5" s="49">
        <v>1837388.4098149999</v>
      </c>
      <c r="E5" s="50">
        <f>VLOOKUP($A5,'Data shares'!$C:$FA,154)*100</f>
        <v>10.6</v>
      </c>
      <c r="F5" s="173">
        <f>C5/B5</f>
        <v>0.10481192651799509</v>
      </c>
    </row>
    <row r="6" spans="1:6" x14ac:dyDescent="0.25">
      <c r="A6" s="99" t="s">
        <v>553</v>
      </c>
      <c r="B6" s="49">
        <v>7946564</v>
      </c>
      <c r="C6" s="49">
        <v>3977750</v>
      </c>
      <c r="D6" s="49">
        <v>2274396.0533624999</v>
      </c>
      <c r="E6" s="50">
        <f>VLOOKUP($A6,'Data shares'!$C:$FA,154)*100</f>
        <v>51</v>
      </c>
      <c r="F6" s="173">
        <f>C6/B6</f>
        <v>0.50056225558618794</v>
      </c>
    </row>
    <row r="7" spans="1:6" x14ac:dyDescent="0.25">
      <c r="A7" s="99" t="s">
        <v>544</v>
      </c>
      <c r="B7" s="49">
        <v>122316423</v>
      </c>
      <c r="C7" s="49">
        <v>117403200</v>
      </c>
      <c r="D7" s="49">
        <v>75460751.224484995</v>
      </c>
      <c r="E7" s="50">
        <f>VLOOKUP($A7,'Data shares'!$C:$FA,154)*100</f>
        <v>98.11</v>
      </c>
      <c r="F7" s="173">
        <f>C7/B7</f>
        <v>0.95983186166259948</v>
      </c>
    </row>
    <row r="8" spans="1:6" x14ac:dyDescent="0.25">
      <c r="A8" s="99" t="s">
        <v>579</v>
      </c>
      <c r="B8" s="49">
        <v>51907388</v>
      </c>
      <c r="C8" s="49">
        <v>24133275</v>
      </c>
      <c r="D8" s="49">
        <v>16245542.359944001</v>
      </c>
      <c r="E8" s="50">
        <f>VLOOKUP($A8,'Data shares'!$C:$FA,154)*100</f>
        <v>47.02</v>
      </c>
      <c r="F8" s="173">
        <f>C8/B8</f>
        <v>0.46492948171462606</v>
      </c>
    </row>
    <row r="9" spans="1:6" x14ac:dyDescent="0.25">
      <c r="A9" s="99" t="s">
        <v>159</v>
      </c>
      <c r="B9" s="49">
        <v>30942206</v>
      </c>
      <c r="C9" s="49">
        <v>43971318</v>
      </c>
      <c r="D9" s="49">
        <v>19687505.911886901</v>
      </c>
      <c r="E9" s="50">
        <f>VLOOKUP($A9,'Data shares'!$C:$FA,154)*100</f>
        <v>147.85999999999999</v>
      </c>
      <c r="F9" s="173">
        <f>C9/B9</f>
        <v>1.4210789625018978</v>
      </c>
    </row>
    <row r="10" spans="1:6" x14ac:dyDescent="0.25">
      <c r="A10" s="99" t="s">
        <v>606</v>
      </c>
      <c r="B10" s="49">
        <v>61877951</v>
      </c>
      <c r="C10" s="49">
        <v>43672200</v>
      </c>
      <c r="D10" s="49">
        <v>22635768.422862001</v>
      </c>
      <c r="E10" s="50">
        <f>VLOOKUP($A10,'Data shares'!$C:$FA,154)*100</f>
        <v>72.929999999999993</v>
      </c>
      <c r="F10" s="173">
        <f>C10/B10</f>
        <v>0.7057796726333101</v>
      </c>
    </row>
    <row r="11" spans="1:6" x14ac:dyDescent="0.25">
      <c r="A11" s="99" t="s">
        <v>160</v>
      </c>
      <c r="B11" s="49">
        <v>73799006</v>
      </c>
      <c r="C11" s="49">
        <v>37002975</v>
      </c>
      <c r="D11" s="49">
        <v>23162098.4670402</v>
      </c>
      <c r="E11" s="50">
        <f>VLOOKUP($A11,'Data shares'!$C:$FA,154)*100</f>
        <v>51.22</v>
      </c>
      <c r="F11" s="173">
        <f>C11/B11</f>
        <v>0.50140207850495977</v>
      </c>
    </row>
    <row r="12" spans="1:6" x14ac:dyDescent="0.25">
      <c r="A12" s="99" t="s">
        <v>497</v>
      </c>
      <c r="B12" s="49">
        <v>6130387</v>
      </c>
      <c r="C12" s="49">
        <v>2002625</v>
      </c>
      <c r="D12" s="49">
        <v>1568475.2942550001</v>
      </c>
      <c r="E12" s="50">
        <f>VLOOKUP($A12,'Data shares'!$C:$FA,154)*100</f>
        <v>32.81</v>
      </c>
      <c r="F12" s="173">
        <f>C12/B12</f>
        <v>0.32667187242828227</v>
      </c>
    </row>
    <row r="13" spans="1:6" x14ac:dyDescent="0.25">
      <c r="A13" s="99" t="s">
        <v>682</v>
      </c>
      <c r="B13" s="49">
        <v>3067454</v>
      </c>
      <c r="C13" s="49">
        <v>3036300</v>
      </c>
      <c r="D13" s="49">
        <v>915762.67851899995</v>
      </c>
      <c r="E13" s="50">
        <f>VLOOKUP($A13,'Data shares'!$C:$FA,154)*100</f>
        <v>102.21000000000001</v>
      </c>
      <c r="F13" s="173">
        <f>C13/B13</f>
        <v>0.98984369447757004</v>
      </c>
    </row>
    <row r="14" spans="1:6" x14ac:dyDescent="0.25">
      <c r="A14" s="99" t="s">
        <v>164</v>
      </c>
      <c r="B14" s="49">
        <v>119762774</v>
      </c>
      <c r="C14" s="49">
        <v>68570250</v>
      </c>
      <c r="D14" s="49">
        <v>44372079.181342497</v>
      </c>
      <c r="E14" s="50">
        <f>VLOOKUP($A14,'Data shares'!$C:$FA,154)*100</f>
        <v>58.07</v>
      </c>
      <c r="F14" s="173">
        <f>C14/B14</f>
        <v>0.57255061576980504</v>
      </c>
    </row>
    <row r="15" spans="1:6" x14ac:dyDescent="0.25">
      <c r="A15" s="99" t="s">
        <v>609</v>
      </c>
      <c r="B15" s="49">
        <v>9647634</v>
      </c>
      <c r="C15" s="49">
        <v>11007000</v>
      </c>
      <c r="D15" s="49">
        <v>3525426.41212</v>
      </c>
      <c r="E15" s="50">
        <f>VLOOKUP($A15,'Data shares'!$C:$FA,154)*100</f>
        <v>118.65</v>
      </c>
      <c r="F15" s="173">
        <f>C15/B15</f>
        <v>1.1409014894221734</v>
      </c>
    </row>
    <row r="16" spans="1:6" x14ac:dyDescent="0.25">
      <c r="A16" s="99" t="s">
        <v>598</v>
      </c>
      <c r="B16" s="49">
        <v>27232196</v>
      </c>
      <c r="C16" s="49">
        <v>9824500</v>
      </c>
      <c r="D16" s="49">
        <v>7441171.9029585002</v>
      </c>
      <c r="E16" s="50">
        <f>VLOOKUP($A16,'Data shares'!$C:$FA,154)*100</f>
        <v>36.199999999999996</v>
      </c>
      <c r="F16" s="173">
        <f>C16/B16</f>
        <v>0.36076782056063345</v>
      </c>
    </row>
    <row r="17" spans="1:6" x14ac:dyDescent="0.25">
      <c r="A17" s="99" t="s">
        <v>165</v>
      </c>
      <c r="B17" s="49">
        <v>15240043</v>
      </c>
      <c r="C17" s="49">
        <v>6821125</v>
      </c>
      <c r="D17" s="49">
        <v>3354660.1007287502</v>
      </c>
      <c r="E17" s="50">
        <f>VLOOKUP($A17,'Data shares'!$C:$FA,154)*100</f>
        <v>45.68</v>
      </c>
      <c r="F17" s="173">
        <f>C17/B17</f>
        <v>0.44757911772296183</v>
      </c>
    </row>
    <row r="18" spans="1:6" x14ac:dyDescent="0.25">
      <c r="A18" s="99" t="s">
        <v>167</v>
      </c>
      <c r="B18" s="49">
        <v>409181558</v>
      </c>
      <c r="C18" s="49">
        <v>282170000</v>
      </c>
      <c r="D18" s="49">
        <v>137807357.30204999</v>
      </c>
      <c r="E18" s="50">
        <f>VLOOKUP($A18,'Data shares'!$C:$FA,154)*100</f>
        <v>71.81</v>
      </c>
      <c r="F18" s="173">
        <f>C18/B18</f>
        <v>0.6895960838977987</v>
      </c>
    </row>
    <row r="19" spans="1:6" x14ac:dyDescent="0.25">
      <c r="A19" s="99" t="s">
        <v>169</v>
      </c>
      <c r="B19" s="49">
        <v>52357280</v>
      </c>
      <c r="C19" s="49">
        <v>24834000</v>
      </c>
      <c r="D19" s="49">
        <v>12071813.926995</v>
      </c>
      <c r="E19" s="50">
        <f>VLOOKUP($A19,'Data shares'!$C:$FA,154)*100</f>
        <v>48.949999999999996</v>
      </c>
      <c r="F19" s="173">
        <f>C19/B19</f>
        <v>0.47431799360088989</v>
      </c>
    </row>
    <row r="20" spans="1:6" x14ac:dyDescent="0.25">
      <c r="A20" s="99" t="s">
        <v>503</v>
      </c>
      <c r="B20" s="49">
        <v>18495534</v>
      </c>
      <c r="C20" s="49">
        <v>12951025</v>
      </c>
      <c r="D20" s="49">
        <v>6719984.4922334999</v>
      </c>
      <c r="E20" s="50">
        <f>VLOOKUP($A20,'Data shares'!$C:$FA,154)*100</f>
        <v>71.47</v>
      </c>
      <c r="F20" s="173">
        <f>C20/B20</f>
        <v>0.70022444337103218</v>
      </c>
    </row>
    <row r="21" spans="1:6" x14ac:dyDescent="0.25">
      <c r="A21" s="99" t="s">
        <v>495</v>
      </c>
      <c r="B21" s="49">
        <v>86234186</v>
      </c>
      <c r="C21" s="49">
        <v>36192000</v>
      </c>
      <c r="D21" s="49">
        <v>20992845.40202</v>
      </c>
      <c r="E21" s="50">
        <f>VLOOKUP($A21,'Data shares'!$C:$FA,154)*100</f>
        <v>42.92</v>
      </c>
      <c r="F21" s="173">
        <f>C21/B21</f>
        <v>0.41969434256618365</v>
      </c>
    </row>
    <row r="22" spans="1:6" x14ac:dyDescent="0.25">
      <c r="A22" s="99" t="s">
        <v>171</v>
      </c>
      <c r="B22" s="49">
        <v>41977935</v>
      </c>
      <c r="C22" s="49">
        <v>30779650</v>
      </c>
      <c r="D22" s="49">
        <v>21134396.263139501</v>
      </c>
      <c r="E22" s="50">
        <f>VLOOKUP($A22,'Data shares'!$C:$FA,154)*100</f>
        <v>73.960000000000008</v>
      </c>
      <c r="F22" s="173">
        <f>C22/B22</f>
        <v>0.73323401925321008</v>
      </c>
    </row>
    <row r="23" spans="1:6" x14ac:dyDescent="0.25">
      <c r="A23" s="99" t="s">
        <v>173</v>
      </c>
      <c r="B23" s="49">
        <v>316147681</v>
      </c>
      <c r="C23" s="49">
        <v>125820000</v>
      </c>
      <c r="D23" s="49">
        <v>76792409.613212496</v>
      </c>
      <c r="E23" s="50">
        <f>VLOOKUP($A23,'Data shares'!$C:$FA,154)*100</f>
        <v>41.11</v>
      </c>
      <c r="F23" s="173">
        <f>C23/B23</f>
        <v>0.39797856369536361</v>
      </c>
    </row>
    <row r="24" spans="1:6" x14ac:dyDescent="0.25">
      <c r="A24" s="99" t="s">
        <v>174</v>
      </c>
      <c r="B24" s="49">
        <v>12547731</v>
      </c>
      <c r="C24" s="49">
        <v>6751500</v>
      </c>
      <c r="D24" s="49">
        <v>3306176.3640052499</v>
      </c>
      <c r="E24" s="50">
        <f>VLOOKUP($A24,'Data shares'!$C:$FA,154)*100</f>
        <v>55.169999999999995</v>
      </c>
      <c r="F24" s="173">
        <f>C24/B24</f>
        <v>0.53806540800085689</v>
      </c>
    </row>
    <row r="25" spans="1:6" x14ac:dyDescent="0.25">
      <c r="A25" s="99" t="s">
        <v>176</v>
      </c>
      <c r="B25" s="49">
        <v>65659712</v>
      </c>
      <c r="C25" s="49">
        <v>27511750</v>
      </c>
      <c r="D25" s="49">
        <v>18404737.6190225</v>
      </c>
      <c r="E25" s="50">
        <f>VLOOKUP($A25,'Data shares'!$C:$FA,154)*100</f>
        <v>42.35</v>
      </c>
      <c r="F25" s="173">
        <f>C25/B25</f>
        <v>0.41900503614758466</v>
      </c>
    </row>
    <row r="26" spans="1:6" x14ac:dyDescent="0.25">
      <c r="A26" s="99" t="s">
        <v>177</v>
      </c>
      <c r="B26" s="49">
        <v>281116345</v>
      </c>
      <c r="C26" s="49">
        <v>136718250</v>
      </c>
      <c r="D26" s="49">
        <v>88194358.413142502</v>
      </c>
      <c r="E26" s="50">
        <f>VLOOKUP($A26,'Data shares'!$C:$FA,154)*100</f>
        <v>49.74</v>
      </c>
      <c r="F26" s="173">
        <f>C26/B26</f>
        <v>0.48634045096168277</v>
      </c>
    </row>
    <row r="27" spans="1:6" x14ac:dyDescent="0.25">
      <c r="A27" s="99" t="s">
        <v>179</v>
      </c>
      <c r="B27" s="49">
        <v>142752962</v>
      </c>
      <c r="C27" s="49">
        <v>178833600</v>
      </c>
      <c r="D27" s="49">
        <v>105366121.404984</v>
      </c>
      <c r="E27" s="50">
        <f>VLOOKUP($A27,'Data shares'!$C:$FA,154)*100</f>
        <v>128.48999999999998</v>
      </c>
      <c r="F27" s="173">
        <f>C27/B27</f>
        <v>1.2527487870969711</v>
      </c>
    </row>
    <row r="28" spans="1:6" x14ac:dyDescent="0.25">
      <c r="A28" s="99" t="s">
        <v>180</v>
      </c>
      <c r="B28" s="49">
        <v>257509827</v>
      </c>
      <c r="C28" s="49">
        <v>174309525</v>
      </c>
      <c r="D28" s="49">
        <v>84898894.909315497</v>
      </c>
      <c r="E28" s="50">
        <f>VLOOKUP($A28,'Data shares'!$C:$FA,154)*100</f>
        <v>69.260000000000005</v>
      </c>
      <c r="F28" s="173">
        <f>C28/B28</f>
        <v>0.67690436140132237</v>
      </c>
    </row>
    <row r="29" spans="1:6" x14ac:dyDescent="0.25">
      <c r="A29" s="99" t="s">
        <v>602</v>
      </c>
      <c r="B29" s="49">
        <v>181770921</v>
      </c>
      <c r="C29" s="49">
        <v>95955600</v>
      </c>
      <c r="D29" s="49">
        <v>50655711.880227998</v>
      </c>
      <c r="E29" s="50">
        <f>VLOOKUP($A29,'Data shares'!$C:$FA,154)*100</f>
        <v>53.76</v>
      </c>
      <c r="F29" s="173">
        <f>C29/B29</f>
        <v>0.52789301760758534</v>
      </c>
    </row>
    <row r="30" spans="1:6" x14ac:dyDescent="0.25">
      <c r="A30" s="99" t="s">
        <v>672</v>
      </c>
      <c r="B30" s="49">
        <v>13786716</v>
      </c>
      <c r="C30" s="49">
        <v>14804525</v>
      </c>
      <c r="D30" s="49">
        <v>4535877.2612792496</v>
      </c>
      <c r="E30" s="50">
        <f>VLOOKUP($A30,'Data shares'!$C:$FA,154)*100</f>
        <v>110.62</v>
      </c>
      <c r="F30" s="173">
        <f>C30/B30</f>
        <v>1.0738253402768287</v>
      </c>
    </row>
    <row r="31" spans="1:6" x14ac:dyDescent="0.25">
      <c r="A31" s="99" t="s">
        <v>185</v>
      </c>
      <c r="B31" s="49">
        <v>535778534</v>
      </c>
      <c r="C31" s="49">
        <v>249714150</v>
      </c>
      <c r="D31" s="49">
        <v>118280445.468537</v>
      </c>
      <c r="E31" s="50">
        <f>VLOOKUP($A31,'Data shares'!$C:$FA,154)*100</f>
        <v>48.209999999999994</v>
      </c>
      <c r="F31" s="173">
        <f>C31/B31</f>
        <v>0.46607718330126308</v>
      </c>
    </row>
    <row r="32" spans="1:6" x14ac:dyDescent="0.25">
      <c r="A32" s="99" t="s">
        <v>187</v>
      </c>
      <c r="B32" s="49">
        <v>35155737</v>
      </c>
      <c r="C32" s="49">
        <v>13557000</v>
      </c>
      <c r="D32" s="49">
        <v>7422169.5697299996</v>
      </c>
      <c r="E32" s="50">
        <f>VLOOKUP($A32,'Data shares'!$C:$FA,154)*100</f>
        <v>39.18</v>
      </c>
      <c r="F32" s="173">
        <f>C32/B32</f>
        <v>0.3856269604019395</v>
      </c>
    </row>
    <row r="33" spans="1:6" x14ac:dyDescent="0.25">
      <c r="A33" s="99" t="s">
        <v>189</v>
      </c>
      <c r="B33" s="49">
        <v>314058656</v>
      </c>
      <c r="C33" s="49">
        <v>73443075</v>
      </c>
      <c r="D33" s="49">
        <v>48341512.626023203</v>
      </c>
      <c r="E33" s="50">
        <f>VLOOKUP($A33,'Data shares'!$C:$FA,154)*100</f>
        <v>24.01</v>
      </c>
      <c r="F33" s="173">
        <f>C33/B33</f>
        <v>0.23385145926371156</v>
      </c>
    </row>
    <row r="34" spans="1:6" x14ac:dyDescent="0.25">
      <c r="A34" s="99" t="s">
        <v>190</v>
      </c>
      <c r="B34" s="49">
        <v>169029877</v>
      </c>
      <c r="C34" s="49">
        <v>134940750</v>
      </c>
      <c r="D34" s="49">
        <v>60787372.977607504</v>
      </c>
      <c r="E34" s="50">
        <f>VLOOKUP($A34,'Data shares'!$C:$FA,154)*100</f>
        <v>83.240000000000009</v>
      </c>
      <c r="F34" s="173">
        <f>C34/B34</f>
        <v>0.79832484289153216</v>
      </c>
    </row>
    <row r="35" spans="1:6" x14ac:dyDescent="0.25">
      <c r="A35" s="99" t="s">
        <v>191</v>
      </c>
      <c r="B35" s="49">
        <v>90981174</v>
      </c>
      <c r="C35" s="49">
        <v>95562500</v>
      </c>
      <c r="D35" s="49">
        <v>43419324.268825002</v>
      </c>
      <c r="E35" s="50">
        <f>VLOOKUP($A35,'Data shares'!$C:$FA,154)*100</f>
        <v>107.97000000000001</v>
      </c>
      <c r="F35" s="173">
        <f>C35/B35</f>
        <v>1.0503546590858457</v>
      </c>
    </row>
    <row r="36" spans="1:6" x14ac:dyDescent="0.25">
      <c r="A36" s="99" t="s">
        <v>680</v>
      </c>
      <c r="B36" s="49">
        <v>19584741</v>
      </c>
      <c r="C36" s="49">
        <v>3606525</v>
      </c>
      <c r="D36" s="49">
        <v>2025901.6952297499</v>
      </c>
      <c r="E36" s="50">
        <f>VLOOKUP($A36,'Data shares'!$C:$FA,154)*100</f>
        <v>18.66</v>
      </c>
      <c r="F36" s="173">
        <f>C36/B36</f>
        <v>0.18414974188323449</v>
      </c>
    </row>
    <row r="37" spans="1:6" x14ac:dyDescent="0.25">
      <c r="A37" s="99" t="s">
        <v>192</v>
      </c>
      <c r="B37" s="49">
        <v>982526</v>
      </c>
      <c r="C37" s="49">
        <v>340050</v>
      </c>
      <c r="D37" s="49">
        <v>207943.32216975</v>
      </c>
      <c r="E37" s="50">
        <f>VLOOKUP($A37,'Data shares'!$C:$FA,154)*100</f>
        <v>34.96</v>
      </c>
      <c r="F37" s="173">
        <f>C37/B37</f>
        <v>0.34609771140916373</v>
      </c>
    </row>
    <row r="38" spans="1:6" x14ac:dyDescent="0.25">
      <c r="A38" s="99" t="s">
        <v>194</v>
      </c>
      <c r="B38" s="49">
        <v>281577339</v>
      </c>
      <c r="C38" s="49">
        <v>58489625</v>
      </c>
      <c r="D38" s="49">
        <v>28911749.808852199</v>
      </c>
      <c r="E38" s="50">
        <f>VLOOKUP($A38,'Data shares'!$C:$FA,154)*100</f>
        <v>21.22</v>
      </c>
      <c r="F38" s="173">
        <f>C38/B38</f>
        <v>0.20772135004798806</v>
      </c>
    </row>
    <row r="39" spans="1:6" x14ac:dyDescent="0.25">
      <c r="A39" s="99" t="s">
        <v>195</v>
      </c>
      <c r="B39" s="49">
        <v>13082978</v>
      </c>
      <c r="C39" s="49">
        <v>4667250</v>
      </c>
      <c r="D39" s="49">
        <v>2804530.7779325</v>
      </c>
      <c r="E39" s="50">
        <f>VLOOKUP($A39,'Data shares'!$C:$FA,154)*100</f>
        <v>36.47</v>
      </c>
      <c r="F39" s="173">
        <f>C39/B39</f>
        <v>0.35674217292118049</v>
      </c>
    </row>
    <row r="40" spans="1:6" x14ac:dyDescent="0.25">
      <c r="A40" s="99" t="s">
        <v>584</v>
      </c>
      <c r="B40" s="49">
        <v>48385387</v>
      </c>
      <c r="C40" s="49">
        <v>32716875</v>
      </c>
      <c r="D40" s="49">
        <v>11853983.3584425</v>
      </c>
      <c r="E40" s="50">
        <f>VLOOKUP($A40,'Data shares'!$C:$FA,154)*100</f>
        <v>70.679999999999993</v>
      </c>
      <c r="F40" s="173">
        <f>C40/B40</f>
        <v>0.67617264278572375</v>
      </c>
    </row>
    <row r="41" spans="1:6" x14ac:dyDescent="0.25">
      <c r="A41" s="99" t="s">
        <v>611</v>
      </c>
      <c r="B41" s="49">
        <v>37106075</v>
      </c>
      <c r="C41" s="49">
        <v>18803250</v>
      </c>
      <c r="D41" s="49">
        <v>8467854.5226374995</v>
      </c>
      <c r="E41" s="50">
        <f>VLOOKUP($A41,'Data shares'!$C:$FA,154)*100</f>
        <v>51.470000000000006</v>
      </c>
      <c r="F41" s="173">
        <f>C41/B41</f>
        <v>0.5067431680661455</v>
      </c>
    </row>
    <row r="42" spans="1:6" x14ac:dyDescent="0.25">
      <c r="A42" s="99" t="s">
        <v>196</v>
      </c>
      <c r="B42" s="49">
        <v>504315430</v>
      </c>
      <c r="C42" s="49">
        <v>340179750</v>
      </c>
      <c r="D42" s="49">
        <v>136330824.900442</v>
      </c>
      <c r="E42" s="50">
        <f>VLOOKUP($A42,'Data shares'!$C:$FA,154)*100</f>
        <v>68.77</v>
      </c>
      <c r="F42" s="173">
        <f>C42/B42</f>
        <v>0.67453765989273817</v>
      </c>
    </row>
    <row r="43" spans="1:6" x14ac:dyDescent="0.25">
      <c r="A43" s="99" t="s">
        <v>597</v>
      </c>
      <c r="B43" s="49">
        <v>26647500</v>
      </c>
      <c r="C43" s="49">
        <v>26079400</v>
      </c>
      <c r="D43" s="49">
        <v>9336011.8839702494</v>
      </c>
      <c r="E43" s="50">
        <f>VLOOKUP($A43,'Data shares'!$C:$FA,154)*100</f>
        <v>100.88999999999999</v>
      </c>
      <c r="F43" s="173">
        <f>C43/B43</f>
        <v>0.97868092691622099</v>
      </c>
    </row>
    <row r="44" spans="1:6" x14ac:dyDescent="0.25">
      <c r="A44" s="99" t="s">
        <v>612</v>
      </c>
      <c r="B44" s="49">
        <v>100245792</v>
      </c>
      <c r="C44" s="49">
        <v>28025350</v>
      </c>
      <c r="D44" s="49">
        <v>14418090.055904999</v>
      </c>
      <c r="E44" s="50">
        <f>VLOOKUP($A44,'Data shares'!$C:$FA,154)*100</f>
        <v>28.63</v>
      </c>
      <c r="F44" s="173">
        <f>C44/B44</f>
        <v>0.27956634828123261</v>
      </c>
    </row>
    <row r="45" spans="1:6" x14ac:dyDescent="0.25">
      <c r="A45" s="99" t="s">
        <v>198</v>
      </c>
      <c r="B45" s="49">
        <v>63212268</v>
      </c>
      <c r="C45" s="49">
        <v>23518750</v>
      </c>
      <c r="D45" s="49">
        <v>12840226.528381201</v>
      </c>
      <c r="E45" s="50">
        <f>VLOOKUP($A45,'Data shares'!$C:$FA,154)*100</f>
        <v>38.79</v>
      </c>
      <c r="F45" s="173">
        <f>C45/B45</f>
        <v>0.37205989824633406</v>
      </c>
    </row>
    <row r="46" spans="1:6" x14ac:dyDescent="0.25">
      <c r="A46" s="99" t="s">
        <v>199</v>
      </c>
      <c r="B46" s="49">
        <v>57073940</v>
      </c>
      <c r="C46" s="49">
        <v>23502375</v>
      </c>
      <c r="D46" s="49">
        <v>13513037.597081199</v>
      </c>
      <c r="E46" s="50"/>
      <c r="F46" s="173">
        <f>C46/B46</f>
        <v>0.4117881996581978</v>
      </c>
    </row>
    <row r="47" spans="1:6" x14ac:dyDescent="0.25">
      <c r="A47" s="99" t="s">
        <v>200</v>
      </c>
      <c r="B47" s="49">
        <v>227199238</v>
      </c>
      <c r="C47" s="49">
        <v>93789900</v>
      </c>
      <c r="D47" s="49">
        <v>53920156.327866003</v>
      </c>
      <c r="E47" s="50">
        <f>VLOOKUP($A47,'Data shares'!$C:$FA,154)*100</f>
        <v>41.5</v>
      </c>
      <c r="F47" s="173">
        <f>C47/B47</f>
        <v>0.41280904295990639</v>
      </c>
    </row>
    <row r="48" spans="1:6" x14ac:dyDescent="0.25">
      <c r="A48" s="99" t="s">
        <v>470</v>
      </c>
      <c r="B48" s="49">
        <v>50163899</v>
      </c>
      <c r="C48" s="49">
        <v>22729875</v>
      </c>
      <c r="D48" s="49">
        <v>12823092.3516337</v>
      </c>
      <c r="E48" s="50">
        <f>VLOOKUP($A48,'Data shares'!$C:$FA,154)*100</f>
        <v>47.4</v>
      </c>
      <c r="F48" s="173">
        <f>C48/B48</f>
        <v>0.45311220724688883</v>
      </c>
    </row>
    <row r="49" spans="1:6" x14ac:dyDescent="0.25">
      <c r="A49" s="99" t="s">
        <v>201</v>
      </c>
      <c r="B49" s="49">
        <v>19990944</v>
      </c>
      <c r="C49" s="49">
        <v>12047400</v>
      </c>
      <c r="D49" s="49">
        <v>6301208.5251569999</v>
      </c>
      <c r="E49" s="50">
        <f>VLOOKUP($A49,'Data shares'!$C:$FA,154)*100</f>
        <v>61.160000000000004</v>
      </c>
      <c r="F49" s="173">
        <f>C49/B49</f>
        <v>0.60264287669456729</v>
      </c>
    </row>
    <row r="50" spans="1:6" x14ac:dyDescent="0.25">
      <c r="A50" s="99" t="s">
        <v>202</v>
      </c>
      <c r="B50" s="49">
        <v>48077012</v>
      </c>
      <c r="C50" s="49">
        <v>63166250</v>
      </c>
      <c r="D50" s="49">
        <v>35904070.723899998</v>
      </c>
      <c r="E50" s="50">
        <f>VLOOKUP($A50,'Data shares'!$C:$FA,154)*100</f>
        <v>134.01000000000002</v>
      </c>
      <c r="F50" s="173">
        <f>C50/B50</f>
        <v>1.3138555698927379</v>
      </c>
    </row>
    <row r="51" spans="1:6" x14ac:dyDescent="0.25">
      <c r="A51" s="99" t="s">
        <v>523</v>
      </c>
      <c r="B51" s="49">
        <v>81400589</v>
      </c>
      <c r="C51" s="49">
        <v>92061000</v>
      </c>
      <c r="D51" s="49">
        <v>52537087.998305999</v>
      </c>
      <c r="E51" s="50">
        <f>VLOOKUP($A51,'Data shares'!$C:$FA,154)*100</f>
        <v>114.73</v>
      </c>
      <c r="F51" s="173">
        <f>C51/B51</f>
        <v>1.1309623324715745</v>
      </c>
    </row>
    <row r="52" spans="1:6" x14ac:dyDescent="0.25">
      <c r="A52" s="99" t="s">
        <v>203</v>
      </c>
      <c r="B52" s="49">
        <v>20374200</v>
      </c>
      <c r="C52" s="49">
        <v>4691800</v>
      </c>
      <c r="D52" s="49">
        <v>2973016.5529260002</v>
      </c>
      <c r="E52" s="50">
        <f>VLOOKUP($A52,'Data shares'!$C:$FA,154)*100</f>
        <v>23.44</v>
      </c>
      <c r="F52" s="173">
        <f>C52/B52</f>
        <v>0.23028143436306703</v>
      </c>
    </row>
    <row r="53" spans="1:6" x14ac:dyDescent="0.25">
      <c r="A53" s="99" t="s">
        <v>572</v>
      </c>
      <c r="B53" s="49">
        <v>12039544</v>
      </c>
      <c r="C53" s="49">
        <v>5557725</v>
      </c>
      <c r="D53" s="49">
        <v>3012985.0281910002</v>
      </c>
      <c r="E53" s="50">
        <f>VLOOKUP($A53,'Data shares'!$C:$FA,154)*100</f>
        <v>46.68</v>
      </c>
      <c r="F53" s="173">
        <f>C53/B53</f>
        <v>0.46162254982414619</v>
      </c>
    </row>
    <row r="54" spans="1:6" x14ac:dyDescent="0.25">
      <c r="A54" s="99" t="s">
        <v>204</v>
      </c>
      <c r="B54" s="49">
        <v>89873278</v>
      </c>
      <c r="C54" s="49">
        <v>42256250</v>
      </c>
      <c r="D54" s="49">
        <v>19150769.9464375</v>
      </c>
      <c r="E54" s="50">
        <f>VLOOKUP($A54,'Data shares'!$C:$FA,154)*100</f>
        <v>48</v>
      </c>
      <c r="F54" s="173">
        <f>C54/B54</f>
        <v>0.47017590701431855</v>
      </c>
    </row>
    <row r="55" spans="1:6" x14ac:dyDescent="0.25">
      <c r="A55" s="99" t="s">
        <v>524</v>
      </c>
      <c r="B55" s="49">
        <v>12425041</v>
      </c>
      <c r="C55" s="49">
        <v>4723875</v>
      </c>
      <c r="D55" s="49">
        <v>2279391.3211420001</v>
      </c>
      <c r="E55" s="50">
        <f>VLOOKUP($A55,'Data shares'!$C:$FA,154)*100</f>
        <v>38.409999999999997</v>
      </c>
      <c r="F55" s="173">
        <f>C55/B55</f>
        <v>0.38018989233113998</v>
      </c>
    </row>
    <row r="56" spans="1:6" x14ac:dyDescent="0.25">
      <c r="A56" s="99" t="s">
        <v>600</v>
      </c>
      <c r="B56" s="49">
        <v>94196226</v>
      </c>
      <c r="C56" s="49">
        <v>38161325</v>
      </c>
      <c r="D56" s="49">
        <v>15506152.0608817</v>
      </c>
      <c r="E56" s="50">
        <f>VLOOKUP($A56,'Data shares'!$C:$FA,154)*100</f>
        <v>41.64</v>
      </c>
      <c r="F56" s="173">
        <f>C56/B56</f>
        <v>0.4051258380563994</v>
      </c>
    </row>
    <row r="57" spans="1:6" x14ac:dyDescent="0.25">
      <c r="A57" s="99" t="s">
        <v>205</v>
      </c>
      <c r="B57" s="49">
        <v>16353614</v>
      </c>
      <c r="C57" s="49">
        <v>4583300</v>
      </c>
      <c r="D57" s="49">
        <v>2863490.7868329999</v>
      </c>
      <c r="E57" s="50">
        <f>VLOOKUP($A57,'Data shares'!$C:$FA,154)*100</f>
        <v>28.48</v>
      </c>
      <c r="F57" s="173">
        <f>C57/B57</f>
        <v>0.28026220993108925</v>
      </c>
    </row>
    <row r="58" spans="1:6" x14ac:dyDescent="0.25">
      <c r="A58" s="99" t="s">
        <v>512</v>
      </c>
      <c r="B58" s="49">
        <v>6445442</v>
      </c>
      <c r="C58" s="49">
        <v>7292600</v>
      </c>
      <c r="D58" s="49">
        <v>2193110.3130895002</v>
      </c>
      <c r="E58" s="50">
        <f>VLOOKUP($A58,'Data shares'!$C:$FA,154)*100</f>
        <v>119.64999999999999</v>
      </c>
      <c r="F58" s="173">
        <f>C58/B58</f>
        <v>1.1314352064606275</v>
      </c>
    </row>
    <row r="59" spans="1:6" x14ac:dyDescent="0.25">
      <c r="A59" s="99" t="s">
        <v>207</v>
      </c>
      <c r="B59" s="49">
        <v>83667734</v>
      </c>
      <c r="C59" s="49">
        <v>86074725</v>
      </c>
      <c r="D59" s="49">
        <v>48951882.894494198</v>
      </c>
      <c r="E59" s="50">
        <f>VLOOKUP($A59,'Data shares'!$C:$FA,154)*100</f>
        <v>105.4</v>
      </c>
      <c r="F59" s="173">
        <f>C59/B59</f>
        <v>1.0287684497347567</v>
      </c>
    </row>
    <row r="60" spans="1:6" x14ac:dyDescent="0.25">
      <c r="A60" s="99" t="s">
        <v>583</v>
      </c>
      <c r="B60" s="49">
        <v>22136392</v>
      </c>
      <c r="C60" s="49">
        <v>9257700</v>
      </c>
      <c r="D60" s="49">
        <v>4939571.0652599996</v>
      </c>
      <c r="E60" s="50">
        <f>VLOOKUP($A60,'Data shares'!$C:$FA,154)*100</f>
        <v>42.620000000000005</v>
      </c>
      <c r="F60" s="173">
        <f>C60/B60</f>
        <v>0.41821178446785728</v>
      </c>
    </row>
    <row r="61" spans="1:6" x14ac:dyDescent="0.25">
      <c r="A61" s="99" t="s">
        <v>208</v>
      </c>
      <c r="B61" s="49">
        <v>61006521</v>
      </c>
      <c r="C61" s="49">
        <v>23270000</v>
      </c>
      <c r="D61" s="49">
        <v>12617045.881043701</v>
      </c>
      <c r="E61" s="50">
        <f>VLOOKUP($A61,'Data shares'!$C:$FA,154)*100</f>
        <v>38.909999999999997</v>
      </c>
      <c r="F61" s="173">
        <f>C61/B61</f>
        <v>0.38143463384840448</v>
      </c>
    </row>
    <row r="62" spans="1:6" x14ac:dyDescent="0.25">
      <c r="A62" s="99" t="s">
        <v>209</v>
      </c>
      <c r="B62" s="49">
        <v>20353850</v>
      </c>
      <c r="C62" s="49">
        <v>7769975</v>
      </c>
      <c r="D62" s="49">
        <v>3366113.3777899998</v>
      </c>
      <c r="E62" s="50">
        <f>VLOOKUP($A62,'Data shares'!$C:$FA,154)*100</f>
        <v>39.160000000000004</v>
      </c>
      <c r="F62" s="173">
        <f>C62/B62</f>
        <v>0.38174473134075371</v>
      </c>
    </row>
    <row r="63" spans="1:6" x14ac:dyDescent="0.25">
      <c r="A63" s="99" t="s">
        <v>668</v>
      </c>
      <c r="B63" s="49">
        <v>1361988292</v>
      </c>
      <c r="C63" s="49">
        <v>446093300</v>
      </c>
      <c r="D63" s="49">
        <v>299144203.09868699</v>
      </c>
      <c r="E63" s="50">
        <f>VLOOKUP($A63,'Data shares'!$C:$FA,154)*100</f>
        <v>33.32</v>
      </c>
      <c r="F63" s="173">
        <f>C63/B63</f>
        <v>0.32753093592672383</v>
      </c>
    </row>
    <row r="64" spans="1:6" x14ac:dyDescent="0.25">
      <c r="A64" s="99" t="s">
        <v>211</v>
      </c>
      <c r="B64" s="49">
        <v>68856800</v>
      </c>
      <c r="C64" s="49">
        <v>49804200</v>
      </c>
      <c r="D64" s="49">
        <v>25501488.041843999</v>
      </c>
      <c r="E64" s="50">
        <f>VLOOKUP($A64,'Data shares'!$C:$FA,154)*100</f>
        <v>73.06</v>
      </c>
      <c r="F64" s="173">
        <f>C64/B64</f>
        <v>0.72330111187275625</v>
      </c>
    </row>
    <row r="65" spans="1:6" x14ac:dyDescent="0.25">
      <c r="A65" s="99" t="s">
        <v>212</v>
      </c>
      <c r="B65" s="49">
        <v>338654719</v>
      </c>
      <c r="C65" s="49">
        <v>151355000</v>
      </c>
      <c r="D65" s="49">
        <v>68362179.003350005</v>
      </c>
      <c r="E65" s="50">
        <f>VLOOKUP($A65,'Data shares'!$C:$FA,154)*100</f>
        <v>45.76</v>
      </c>
      <c r="F65" s="173">
        <f>C65/B65</f>
        <v>0.44693013712293789</v>
      </c>
    </row>
    <row r="66" spans="1:6" x14ac:dyDescent="0.25">
      <c r="A66" s="99" t="s">
        <v>678</v>
      </c>
      <c r="B66" s="49">
        <v>62490435</v>
      </c>
      <c r="C66" s="49">
        <v>23621225</v>
      </c>
      <c r="D66" s="49">
        <v>13391722.0987872</v>
      </c>
      <c r="E66" s="50">
        <f>VLOOKUP($A66,'Data shares'!$C:$FA,154)*100</f>
        <v>38.550000000000004</v>
      </c>
      <c r="F66" s="173">
        <f>C66/B66</f>
        <v>0.3779974487295536</v>
      </c>
    </row>
    <row r="67" spans="1:6" x14ac:dyDescent="0.25">
      <c r="A67" s="99" t="s">
        <v>213</v>
      </c>
      <c r="B67" s="49">
        <v>402429848</v>
      </c>
      <c r="C67" s="49">
        <v>207931500</v>
      </c>
      <c r="D67" s="49">
        <v>98280935.142925501</v>
      </c>
      <c r="E67" s="50">
        <f>VLOOKUP($A67,'Data shares'!$C:$FA,154)*100</f>
        <v>53</v>
      </c>
      <c r="F67" s="173">
        <f>C67/B67</f>
        <v>0.51669005426257553</v>
      </c>
    </row>
    <row r="68" spans="1:6" x14ac:dyDescent="0.25">
      <c r="A68" s="99" t="s">
        <v>214</v>
      </c>
      <c r="B68" s="49">
        <v>22585180</v>
      </c>
      <c r="C68" s="49">
        <v>21459750</v>
      </c>
      <c r="D68" s="49">
        <v>12557236.050787499</v>
      </c>
      <c r="E68" s="50">
        <f>VLOOKUP($A68,'Data shares'!$C:$FA,154)*100</f>
        <v>96.32</v>
      </c>
      <c r="F68" s="173">
        <f>C68/B68</f>
        <v>0.95016953595233689</v>
      </c>
    </row>
    <row r="69" spans="1:6" x14ac:dyDescent="0.25">
      <c r="A69" s="99" t="s">
        <v>631</v>
      </c>
      <c r="B69" s="49">
        <v>534704421</v>
      </c>
      <c r="C69" s="49">
        <v>397700550</v>
      </c>
      <c r="D69" s="49">
        <v>155224741.65012601</v>
      </c>
      <c r="E69" s="50">
        <f>VLOOKUP($A69,'Data shares'!$C:$FA,154)*100</f>
        <v>75.760000000000005</v>
      </c>
      <c r="F69" s="173">
        <f>C69/B69</f>
        <v>0.74377643868405574</v>
      </c>
    </row>
    <row r="70" spans="1:6" x14ac:dyDescent="0.25">
      <c r="A70" s="99" t="s">
        <v>217</v>
      </c>
      <c r="B70" s="49">
        <v>58001204</v>
      </c>
      <c r="C70" s="49">
        <v>14011500</v>
      </c>
      <c r="D70" s="49">
        <v>9146847.9052150007</v>
      </c>
      <c r="E70" s="50">
        <f>VLOOKUP($A70,'Data shares'!$C:$FA,154)*100</f>
        <v>24.5</v>
      </c>
      <c r="F70" s="173">
        <f>C70/B70</f>
        <v>0.24157257149351588</v>
      </c>
    </row>
    <row r="71" spans="1:6" x14ac:dyDescent="0.25">
      <c r="A71" s="99" t="s">
        <v>218</v>
      </c>
      <c r="B71" s="49">
        <v>24082879</v>
      </c>
      <c r="C71" s="49">
        <v>14349225</v>
      </c>
      <c r="D71" s="49">
        <v>8820594.5029565003</v>
      </c>
      <c r="E71" s="50">
        <f>VLOOKUP($A71,'Data shares'!$C:$FA,154)*100</f>
        <v>60.24</v>
      </c>
      <c r="F71" s="173">
        <f>C71/B71</f>
        <v>0.59582681123797532</v>
      </c>
    </row>
    <row r="72" spans="1:6" x14ac:dyDescent="0.25">
      <c r="A72" s="99" t="s">
        <v>219</v>
      </c>
      <c r="B72" s="49">
        <v>38514157</v>
      </c>
      <c r="C72" s="49">
        <v>20370750</v>
      </c>
      <c r="D72" s="49">
        <v>12722127.064707501</v>
      </c>
      <c r="E72" s="50">
        <f>VLOOKUP($A72,'Data shares'!$C:$FA,154)*100</f>
        <v>53.38</v>
      </c>
      <c r="F72" s="173">
        <f>C72/B72</f>
        <v>0.52891589967813657</v>
      </c>
    </row>
    <row r="73" spans="1:6" x14ac:dyDescent="0.25">
      <c r="A73" s="99" t="s">
        <v>513</v>
      </c>
      <c r="B73" s="49">
        <v>28450886</v>
      </c>
      <c r="C73" s="49">
        <v>23453850</v>
      </c>
      <c r="D73" s="49">
        <v>9842229.5551964995</v>
      </c>
      <c r="E73" s="50">
        <f>VLOOKUP($A73,'Data shares'!$C:$FA,154)*100</f>
        <v>84.740000000000009</v>
      </c>
      <c r="F73" s="173">
        <f>C73/B73</f>
        <v>0.824362728106253</v>
      </c>
    </row>
    <row r="74" spans="1:6" x14ac:dyDescent="0.25">
      <c r="A74" s="99" t="s">
        <v>220</v>
      </c>
      <c r="B74" s="49">
        <v>38133766</v>
      </c>
      <c r="C74" s="49">
        <v>13105500</v>
      </c>
      <c r="D74" s="49">
        <v>8277701.04837</v>
      </c>
      <c r="E74" s="50">
        <f>VLOOKUP($A74,'Data shares'!$C:$FA,154)*100</f>
        <v>34.78</v>
      </c>
      <c r="F74" s="173">
        <f>C74/B74</f>
        <v>0.34367179994758451</v>
      </c>
    </row>
    <row r="75" spans="1:6" x14ac:dyDescent="0.25">
      <c r="A75" s="99" t="s">
        <v>222</v>
      </c>
      <c r="B75" s="49">
        <v>145993539</v>
      </c>
      <c r="C75" s="49">
        <v>27993700</v>
      </c>
      <c r="D75" s="49">
        <v>17105618.563333999</v>
      </c>
      <c r="E75" s="50">
        <f>VLOOKUP($A75,'Data shares'!$C:$FA,154)*100</f>
        <v>19.61</v>
      </c>
      <c r="F75" s="173">
        <f>C75/B75</f>
        <v>0.1917461566569737</v>
      </c>
    </row>
    <row r="76" spans="1:6" x14ac:dyDescent="0.25">
      <c r="A76" s="99" t="s">
        <v>475</v>
      </c>
      <c r="B76" s="49">
        <v>30518916</v>
      </c>
      <c r="C76" s="49">
        <v>8800200</v>
      </c>
      <c r="D76" s="49">
        <v>5013116.6743740002</v>
      </c>
      <c r="E76" s="50">
        <f>VLOOKUP($A76,'Data shares'!$C:$FA,154)*100</f>
        <v>29.349999999999998</v>
      </c>
      <c r="F76" s="173">
        <f>C76/B76</f>
        <v>0.28835231238226156</v>
      </c>
    </row>
    <row r="77" spans="1:6" x14ac:dyDescent="0.25">
      <c r="A77" s="99" t="s">
        <v>224</v>
      </c>
      <c r="B77" s="49">
        <v>1329733550</v>
      </c>
      <c r="C77" s="49">
        <v>289273050</v>
      </c>
      <c r="D77" s="49">
        <v>217012098.62712601</v>
      </c>
      <c r="E77" s="50">
        <f>VLOOKUP($A77,'Data shares'!$C:$FA,154)*100</f>
        <v>22.02</v>
      </c>
      <c r="F77" s="173">
        <f>C77/B77</f>
        <v>0.21754211586223421</v>
      </c>
    </row>
    <row r="78" spans="1:6" x14ac:dyDescent="0.25">
      <c r="A78" s="99" t="s">
        <v>225</v>
      </c>
      <c r="B78" s="49">
        <v>119296253</v>
      </c>
      <c r="C78" s="49">
        <v>58867600</v>
      </c>
      <c r="D78" s="49">
        <v>30952763.617710002</v>
      </c>
      <c r="E78" s="50">
        <f>VLOOKUP($A78,'Data shares'!$C:$FA,154)*100</f>
        <v>50.05</v>
      </c>
      <c r="F78" s="173">
        <f>C78/B78</f>
        <v>0.49345724211472092</v>
      </c>
    </row>
    <row r="79" spans="1:6" x14ac:dyDescent="0.25">
      <c r="A79" s="99" t="s">
        <v>226</v>
      </c>
      <c r="B79" s="49">
        <v>19579129</v>
      </c>
      <c r="C79" s="49">
        <v>11451600</v>
      </c>
      <c r="D79" s="49">
        <v>6211563.5467950003</v>
      </c>
      <c r="E79" s="50">
        <f>VLOOKUP($A79,'Data shares'!$C:$FA,154)*100</f>
        <v>60.199999999999996</v>
      </c>
      <c r="F79" s="173">
        <f>C79/B79</f>
        <v>0.5848881224491651</v>
      </c>
    </row>
    <row r="80" spans="1:6" x14ac:dyDescent="0.25">
      <c r="A80" s="99" t="s">
        <v>576</v>
      </c>
      <c r="B80" s="49">
        <v>147979599</v>
      </c>
      <c r="C80" s="49">
        <v>209683050</v>
      </c>
      <c r="D80" s="49">
        <v>90690177.113781005</v>
      </c>
      <c r="E80" s="50">
        <f>VLOOKUP($A80,'Data shares'!$C:$FA,154)*100</f>
        <v>143.96</v>
      </c>
      <c r="F80" s="173">
        <f>C80/B80</f>
        <v>1.4169726868904409</v>
      </c>
    </row>
    <row r="81" spans="1:6" x14ac:dyDescent="0.25">
      <c r="A81" s="99" t="s">
        <v>228</v>
      </c>
      <c r="B81" s="49">
        <v>176136372</v>
      </c>
      <c r="C81" s="49">
        <v>103743500</v>
      </c>
      <c r="D81" s="49">
        <v>73358529.896491006</v>
      </c>
      <c r="E81" s="50">
        <f>VLOOKUP($A81,'Data shares'!$C:$FA,154)*100</f>
        <v>59.699999999999996</v>
      </c>
      <c r="F81" s="173">
        <f>C81/B81</f>
        <v>0.58899532687093159</v>
      </c>
    </row>
    <row r="82" spans="1:6" x14ac:dyDescent="0.25">
      <c r="A82" s="99" t="s">
        <v>229</v>
      </c>
      <c r="B82" s="49">
        <v>143933168</v>
      </c>
      <c r="C82" s="49">
        <v>61410150</v>
      </c>
      <c r="D82" s="49">
        <v>36927572.809329003</v>
      </c>
      <c r="E82" s="50">
        <f>VLOOKUP($A82,'Data shares'!$C:$FA,154)*100</f>
        <v>43.22</v>
      </c>
      <c r="F82" s="173">
        <f>C82/B82</f>
        <v>0.42665739143600312</v>
      </c>
    </row>
    <row r="83" spans="1:6" x14ac:dyDescent="0.25">
      <c r="A83" s="99" t="s">
        <v>230</v>
      </c>
      <c r="B83" s="49">
        <v>89517840</v>
      </c>
      <c r="C83" s="49">
        <v>20581200</v>
      </c>
      <c r="D83" s="49">
        <v>10258064.758428</v>
      </c>
      <c r="E83" s="50">
        <f>VLOOKUP($A83,'Data shares'!$C:$FA,154)*100</f>
        <v>23.47</v>
      </c>
      <c r="F83" s="173">
        <f>C83/B83</f>
        <v>0.22991171368746163</v>
      </c>
    </row>
    <row r="84" spans="1:6" x14ac:dyDescent="0.25">
      <c r="A84" s="99" t="s">
        <v>669</v>
      </c>
      <c r="B84" s="49">
        <v>167680340</v>
      </c>
      <c r="C84" s="49">
        <v>118466075</v>
      </c>
      <c r="D84" s="49">
        <v>40567578.507944196</v>
      </c>
      <c r="E84" s="50">
        <f>VLOOKUP($A84,'Data shares'!$C:$FA,154)*100</f>
        <v>73.13</v>
      </c>
      <c r="F84" s="173">
        <f>C84/B84</f>
        <v>0.70649949183070593</v>
      </c>
    </row>
    <row r="85" spans="1:6" x14ac:dyDescent="0.25">
      <c r="A85" s="99" t="s">
        <v>608</v>
      </c>
      <c r="B85" s="49">
        <v>75071250</v>
      </c>
      <c r="C85" s="49">
        <v>90834075</v>
      </c>
      <c r="D85" s="49">
        <v>32273161.5728212</v>
      </c>
      <c r="E85" s="50">
        <f>VLOOKUP($A85,'Data shares'!$C:$FA,154)*100</f>
        <v>126.33000000000001</v>
      </c>
      <c r="F85" s="173">
        <f>C85/B85</f>
        <v>1.2099715270493032</v>
      </c>
    </row>
    <row r="86" spans="1:6" x14ac:dyDescent="0.25">
      <c r="A86" s="99" t="s">
        <v>232</v>
      </c>
      <c r="B86" s="49">
        <v>579785172</v>
      </c>
      <c r="C86" s="49">
        <v>183283100</v>
      </c>
      <c r="D86" s="49">
        <v>116349160.61565299</v>
      </c>
      <c r="E86" s="50">
        <f>VLOOKUP($A86,'Data shares'!$C:$FA,154)*100</f>
        <v>32.26</v>
      </c>
      <c r="F86" s="173">
        <f>C86/B86</f>
        <v>0.31612243439713217</v>
      </c>
    </row>
    <row r="87" spans="1:6" x14ac:dyDescent="0.25">
      <c r="A87" s="99" t="s">
        <v>472</v>
      </c>
      <c r="B87" s="49">
        <v>26688038</v>
      </c>
      <c r="C87" s="49">
        <v>8709350</v>
      </c>
      <c r="D87" s="49">
        <v>5661109.0648547504</v>
      </c>
      <c r="E87" s="50">
        <f>VLOOKUP($A87,'Data shares'!$C:$FA,154)*100</f>
        <v>32.79</v>
      </c>
      <c r="F87" s="173">
        <f>C87/B87</f>
        <v>0.32633908869584194</v>
      </c>
    </row>
    <row r="88" spans="1:6" x14ac:dyDescent="0.25">
      <c r="A88" s="99" t="s">
        <v>233</v>
      </c>
      <c r="B88" s="49">
        <v>48653643</v>
      </c>
      <c r="C88" s="49">
        <v>23087075</v>
      </c>
      <c r="D88" s="49">
        <v>16401172.671257</v>
      </c>
      <c r="E88" s="50">
        <f>VLOOKUP($A88,'Data shares'!$C:$FA,154)*100</f>
        <v>47.79</v>
      </c>
      <c r="F88" s="173">
        <f>C88/B88</f>
        <v>0.47451893787275085</v>
      </c>
    </row>
    <row r="89" spans="1:6" x14ac:dyDescent="0.25">
      <c r="A89" s="99" t="s">
        <v>234</v>
      </c>
      <c r="B89" s="49">
        <v>8713529091</v>
      </c>
      <c r="C89" s="49">
        <v>10488884775</v>
      </c>
      <c r="D89" s="49">
        <v>6018799008.3146601</v>
      </c>
      <c r="E89" s="50">
        <f>VLOOKUP($A89,'Data shares'!$C:$FA,154)*100</f>
        <v>122.03</v>
      </c>
      <c r="F89" s="173">
        <f>C89/B89</f>
        <v>1.203747031249798</v>
      </c>
    </row>
    <row r="90" spans="1:6" x14ac:dyDescent="0.25">
      <c r="A90" s="99" t="s">
        <v>235</v>
      </c>
      <c r="B90" s="49">
        <v>761294821</v>
      </c>
      <c r="C90" s="49">
        <v>573751500</v>
      </c>
      <c r="D90" s="49">
        <v>340164295.83621901</v>
      </c>
      <c r="E90" s="50">
        <f>VLOOKUP($A90,'Data shares'!$C:$FA,154)*100</f>
        <v>76.28</v>
      </c>
      <c r="F90" s="173">
        <f>C90/B90</f>
        <v>0.75365217806992013</v>
      </c>
    </row>
    <row r="91" spans="1:6" x14ac:dyDescent="0.25">
      <c r="A91" s="99" t="s">
        <v>514</v>
      </c>
      <c r="B91" s="49">
        <v>133395043</v>
      </c>
      <c r="C91" s="49">
        <v>134021250</v>
      </c>
      <c r="D91" s="49">
        <v>53757385.788112499</v>
      </c>
      <c r="E91" s="50">
        <f>VLOOKUP($A91,'Data shares'!$C:$FA,154)*100</f>
        <v>103.03</v>
      </c>
      <c r="F91" s="173">
        <f>C91/B91</f>
        <v>1.0046943798353887</v>
      </c>
    </row>
    <row r="92" spans="1:6" x14ac:dyDescent="0.25">
      <c r="A92" s="99" t="s">
        <v>667</v>
      </c>
      <c r="B92" s="49">
        <v>47888370</v>
      </c>
      <c r="C92" s="49">
        <v>23670900</v>
      </c>
      <c r="D92" s="49">
        <v>11424193.474963499</v>
      </c>
      <c r="E92" s="50">
        <f>VLOOKUP($A92,'Data shares'!$C:$FA,154)*100</f>
        <v>50.690000000000005</v>
      </c>
      <c r="F92" s="173">
        <f>C92/B92</f>
        <v>0.49429329083449697</v>
      </c>
    </row>
    <row r="93" spans="1:6" x14ac:dyDescent="0.25">
      <c r="A93" s="99" t="s">
        <v>501</v>
      </c>
      <c r="B93" s="49">
        <v>111956321</v>
      </c>
      <c r="C93" s="49">
        <v>43956000</v>
      </c>
      <c r="D93" s="49">
        <v>26888176.537810002</v>
      </c>
      <c r="E93" s="50">
        <f>VLOOKUP($A93,'Data shares'!$C:$FA,154)*100</f>
        <v>40</v>
      </c>
      <c r="F93" s="173">
        <f>C93/B93</f>
        <v>0.39261740299594161</v>
      </c>
    </row>
    <row r="94" spans="1:6" x14ac:dyDescent="0.25">
      <c r="A94" s="99" t="s">
        <v>578</v>
      </c>
      <c r="B94" s="49">
        <v>52862157</v>
      </c>
      <c r="C94" s="49">
        <v>28579000</v>
      </c>
      <c r="D94" s="49">
        <v>11772539.15048</v>
      </c>
      <c r="E94" s="50">
        <f>VLOOKUP($A94,'Data shares'!$C:$FA,154)*100</f>
        <v>55.52</v>
      </c>
      <c r="F94" s="173">
        <f>C94/B94</f>
        <v>0.54063249821606785</v>
      </c>
    </row>
    <row r="95" spans="1:6" x14ac:dyDescent="0.25">
      <c r="A95" s="99" t="s">
        <v>238</v>
      </c>
      <c r="B95" s="49">
        <v>32732860</v>
      </c>
      <c r="C95" s="49">
        <v>36082950</v>
      </c>
      <c r="D95" s="49">
        <v>12558110.900658</v>
      </c>
      <c r="E95" s="50">
        <f>VLOOKUP($A95,'Data shares'!$C:$FA,154)*100</f>
        <v>115.01999999999998</v>
      </c>
      <c r="F95" s="173">
        <f>C95/B95</f>
        <v>1.1023463883082627</v>
      </c>
    </row>
    <row r="96" spans="1:6" x14ac:dyDescent="0.25">
      <c r="A96" s="99" t="s">
        <v>239</v>
      </c>
      <c r="B96" s="49">
        <v>93805784</v>
      </c>
      <c r="C96" s="49">
        <v>71074500</v>
      </c>
      <c r="D96" s="49">
        <v>44270768.336193003</v>
      </c>
      <c r="E96" s="50">
        <f>VLOOKUP($A96,'Data shares'!$C:$FA,154)*100</f>
        <v>76.69</v>
      </c>
      <c r="F96" s="173">
        <f>C96/B96</f>
        <v>0.75767715986468387</v>
      </c>
    </row>
    <row r="97" spans="1:6" x14ac:dyDescent="0.25">
      <c r="A97" s="99" t="s">
        <v>473</v>
      </c>
      <c r="B97" s="49">
        <v>197705578</v>
      </c>
      <c r="C97" s="49">
        <v>124366900</v>
      </c>
      <c r="D97" s="49">
        <v>76166690.396783993</v>
      </c>
      <c r="E97" s="50">
        <f>VLOOKUP($A97,'Data shares'!$C:$FA,154)*100</f>
        <v>63.88</v>
      </c>
      <c r="F97" s="173">
        <f>C97/B97</f>
        <v>0.62905104275813606</v>
      </c>
    </row>
    <row r="98" spans="1:6" x14ac:dyDescent="0.25">
      <c r="A98" s="99" t="s">
        <v>240</v>
      </c>
      <c r="B98" s="49">
        <v>341789333</v>
      </c>
      <c r="C98" s="49">
        <v>114920400</v>
      </c>
      <c r="D98" s="49">
        <v>71776610.558996007</v>
      </c>
      <c r="E98" s="50">
        <f>VLOOKUP($A98,'Data shares'!$C:$FA,154)*100</f>
        <v>34.089999999999996</v>
      </c>
      <c r="F98" s="173">
        <f>C98/B98</f>
        <v>0.33623167519976405</v>
      </c>
    </row>
    <row r="99" spans="1:6" x14ac:dyDescent="0.25">
      <c r="A99" s="99" t="s">
        <v>670</v>
      </c>
      <c r="B99" s="49">
        <v>144708707</v>
      </c>
      <c r="C99" s="49">
        <v>154002216</v>
      </c>
      <c r="D99" s="49">
        <v>76266083.474523097</v>
      </c>
      <c r="E99" s="50">
        <f>VLOOKUP($A99,'Data shares'!$C:$FA,154)*100</f>
        <v>108.84</v>
      </c>
      <c r="F99" s="173">
        <f>C99/B99</f>
        <v>1.0642221825670795</v>
      </c>
    </row>
    <row r="100" spans="1:6" x14ac:dyDescent="0.25">
      <c r="A100" s="99" t="s">
        <v>241</v>
      </c>
      <c r="B100" s="49">
        <v>684903861</v>
      </c>
      <c r="C100" s="49">
        <v>199504500</v>
      </c>
      <c r="D100" s="49">
        <v>97836874.030691206</v>
      </c>
      <c r="E100" s="50">
        <f>VLOOKUP($A100,'Data shares'!$C:$FA,154)*100</f>
        <v>29.459999999999997</v>
      </c>
      <c r="F100" s="173">
        <f>C100/B100</f>
        <v>0.29128832725327564</v>
      </c>
    </row>
    <row r="101" spans="1:6" x14ac:dyDescent="0.25">
      <c r="A101" s="99" t="s">
        <v>490</v>
      </c>
      <c r="B101" s="49">
        <v>30082783</v>
      </c>
      <c r="C101" s="49">
        <v>37895375</v>
      </c>
      <c r="D101" s="49">
        <v>18183899.856473699</v>
      </c>
      <c r="E101" s="50">
        <f>VLOOKUP($A101,'Data shares'!$C:$FA,154)*100</f>
        <v>127.59</v>
      </c>
      <c r="F101" s="173">
        <f>C101/B101</f>
        <v>1.2597030999425818</v>
      </c>
    </row>
    <row r="102" spans="1:6" x14ac:dyDescent="0.25">
      <c r="A102" s="99" t="s">
        <v>665</v>
      </c>
      <c r="B102" s="49">
        <v>119011160</v>
      </c>
      <c r="C102" s="49">
        <v>109554750</v>
      </c>
      <c r="D102" s="49">
        <v>45977020.017567001</v>
      </c>
      <c r="E102" s="50">
        <f>VLOOKUP($A102,'Data shares'!$C:$FA,154)*100</f>
        <v>94.77</v>
      </c>
      <c r="F102" s="173">
        <f>C102/B102</f>
        <v>0.92054182145607188</v>
      </c>
    </row>
    <row r="103" spans="1:6" x14ac:dyDescent="0.25">
      <c r="A103" s="99" t="s">
        <v>592</v>
      </c>
      <c r="B103" s="49">
        <v>226853356</v>
      </c>
      <c r="C103" s="49">
        <v>111511500</v>
      </c>
      <c r="D103" s="49">
        <v>44749778.491674997</v>
      </c>
      <c r="E103" s="50">
        <f>VLOOKUP($A103,'Data shares'!$C:$FA,154)*100</f>
        <v>49.78</v>
      </c>
      <c r="F103" s="173">
        <f>C103/B103</f>
        <v>0.49155763867121277</v>
      </c>
    </row>
    <row r="104" spans="1:6" x14ac:dyDescent="0.25">
      <c r="A104" s="99" t="s">
        <v>242</v>
      </c>
      <c r="B104" s="49">
        <v>1251412841</v>
      </c>
      <c r="C104" s="49">
        <v>273240000</v>
      </c>
      <c r="D104" s="49">
        <v>171850447.38047999</v>
      </c>
      <c r="E104" s="50">
        <f>VLOOKUP($A104,'Data shares'!$C:$FA,154)*100</f>
        <v>22.07</v>
      </c>
      <c r="F104" s="173">
        <f>C104/B104</f>
        <v>0.21834521034773369</v>
      </c>
    </row>
    <row r="105" spans="1:6" x14ac:dyDescent="0.25">
      <c r="A105" s="99" t="s">
        <v>243</v>
      </c>
      <c r="B105" s="49">
        <v>54776702</v>
      </c>
      <c r="C105" s="49">
        <v>21713125</v>
      </c>
      <c r="D105" s="49">
        <v>12389860.534037501</v>
      </c>
      <c r="E105" s="50">
        <f>VLOOKUP($A105,'Data shares'!$C:$FA,154)*100</f>
        <v>40.17</v>
      </c>
      <c r="F105" s="173">
        <f>C105/B105</f>
        <v>0.39639343383615905</v>
      </c>
    </row>
    <row r="106" spans="1:6" x14ac:dyDescent="0.25">
      <c r="A106" s="99" t="s">
        <v>570</v>
      </c>
      <c r="B106" s="49">
        <v>446457456</v>
      </c>
      <c r="C106" s="49">
        <v>269263000</v>
      </c>
      <c r="D106" s="49">
        <v>151641796.05454999</v>
      </c>
      <c r="E106" s="50">
        <f>VLOOKUP($A106,'Data shares'!$C:$FA,154)*100</f>
        <v>61.51</v>
      </c>
      <c r="F106" s="173">
        <f>C106/B106</f>
        <v>0.60311009790818682</v>
      </c>
    </row>
    <row r="107" spans="1:6" x14ac:dyDescent="0.25">
      <c r="A107" s="99" t="s">
        <v>580</v>
      </c>
      <c r="B107" s="49">
        <v>80203755</v>
      </c>
      <c r="C107" s="49">
        <v>72561000</v>
      </c>
      <c r="D107" s="49">
        <v>43721855.29862</v>
      </c>
      <c r="E107" s="50">
        <f>VLOOKUP($A107,'Data shares'!$C:$FA,154)*100</f>
        <v>91.28</v>
      </c>
      <c r="F107" s="173">
        <f>C107/B107</f>
        <v>0.90470826459434472</v>
      </c>
    </row>
    <row r="108" spans="1:6" x14ac:dyDescent="0.25">
      <c r="A108" s="99" t="s">
        <v>244</v>
      </c>
      <c r="B108" s="49">
        <v>133166619</v>
      </c>
      <c r="C108" s="49">
        <v>78655050</v>
      </c>
      <c r="D108" s="49">
        <v>46920085.608365998</v>
      </c>
      <c r="E108" s="50">
        <f>VLOOKUP($A108,'Data shares'!$C:$FA,154)*100</f>
        <v>60.28</v>
      </c>
      <c r="F108" s="173">
        <f>C108/B108</f>
        <v>0.59065140040838615</v>
      </c>
    </row>
    <row r="109" spans="1:6" x14ac:dyDescent="0.25">
      <c r="A109" s="99" t="s">
        <v>245</v>
      </c>
      <c r="B109" s="49">
        <v>48884739</v>
      </c>
      <c r="C109" s="49">
        <v>43123750</v>
      </c>
      <c r="D109" s="49">
        <v>21408415.455775</v>
      </c>
      <c r="E109" s="50">
        <f>VLOOKUP($A109,'Data shares'!$C:$FA,154)*100</f>
        <v>91.85</v>
      </c>
      <c r="F109" s="173">
        <f>C109/B109</f>
        <v>0.88215158518080661</v>
      </c>
    </row>
    <row r="110" spans="1:6" x14ac:dyDescent="0.25">
      <c r="A110" s="99" t="s">
        <v>582</v>
      </c>
      <c r="B110" s="49">
        <v>57552009</v>
      </c>
      <c r="C110" s="49">
        <v>51023200</v>
      </c>
      <c r="D110" s="49">
        <v>30220802.845786501</v>
      </c>
      <c r="E110" s="50">
        <f>VLOOKUP($A110,'Data shares'!$C:$FA,154)*100</f>
        <v>89.97</v>
      </c>
      <c r="F110" s="173">
        <f>C110/B110</f>
        <v>0.88655810434002402</v>
      </c>
    </row>
    <row r="111" spans="1:6" x14ac:dyDescent="0.25">
      <c r="A111" s="99" t="s">
        <v>677</v>
      </c>
      <c r="B111" s="49">
        <v>4667784</v>
      </c>
      <c r="C111" s="49">
        <v>14862400</v>
      </c>
      <c r="D111" s="49">
        <v>3321153.0196110001</v>
      </c>
      <c r="E111" s="50">
        <f>VLOOKUP($A111,'Data shares'!$C:$FA,154)*100</f>
        <v>332.13</v>
      </c>
      <c r="F111" s="173">
        <f>C111/B111</f>
        <v>3.1840376504139867</v>
      </c>
    </row>
    <row r="112" spans="1:6" x14ac:dyDescent="0.25">
      <c r="A112" s="99" t="s">
        <v>610</v>
      </c>
      <c r="B112" s="49">
        <v>9313740</v>
      </c>
      <c r="C112" s="49">
        <v>2236325</v>
      </c>
      <c r="D112" s="49">
        <v>1105421.2948100001</v>
      </c>
      <c r="E112" s="50">
        <f>VLOOKUP($A112,'Data shares'!$C:$FA,154)*100</f>
        <v>24.709999999999997</v>
      </c>
      <c r="F112" s="173">
        <f>C112/B112</f>
        <v>0.24011031014393788</v>
      </c>
    </row>
    <row r="113" spans="1:6" x14ac:dyDescent="0.25">
      <c r="A113" s="99" t="s">
        <v>684</v>
      </c>
      <c r="B113" s="49">
        <v>19911179</v>
      </c>
      <c r="C113" s="49">
        <v>8434250</v>
      </c>
      <c r="D113" s="49">
        <v>3178717.6585805002</v>
      </c>
      <c r="E113" s="50">
        <f>VLOOKUP($A113,'Data shares'!$C:$FA,154)*100</f>
        <v>43.169999999999995</v>
      </c>
      <c r="F113" s="173">
        <f>C113/B113</f>
        <v>0.42359370080495989</v>
      </c>
    </row>
    <row r="114" spans="1:6" x14ac:dyDescent="0.25">
      <c r="A114" s="99" t="s">
        <v>246</v>
      </c>
      <c r="B114" s="49">
        <v>215751979</v>
      </c>
      <c r="C114" s="49">
        <v>56377200</v>
      </c>
      <c r="D114" s="49">
        <v>39534094.603143997</v>
      </c>
      <c r="E114" s="50"/>
      <c r="F114" s="173">
        <f>C114/B114</f>
        <v>0.2613055984992842</v>
      </c>
    </row>
    <row r="115" spans="1:6" x14ac:dyDescent="0.25">
      <c r="A115" s="99" t="s">
        <v>577</v>
      </c>
      <c r="B115" s="49">
        <v>24568295</v>
      </c>
      <c r="C115" s="49">
        <v>7960225</v>
      </c>
      <c r="D115" s="49">
        <v>3579101.0041707498</v>
      </c>
      <c r="E115" s="50">
        <f>VLOOKUP($A115,'Data shares'!$C:$FA,154)*100</f>
        <v>32.950000000000003</v>
      </c>
      <c r="F115" s="173">
        <f>C115/B115</f>
        <v>0.32400396527312947</v>
      </c>
    </row>
    <row r="116" spans="1:6" x14ac:dyDescent="0.25">
      <c r="A116" s="99" t="s">
        <v>535</v>
      </c>
      <c r="B116" s="49">
        <v>58629477</v>
      </c>
      <c r="C116" s="49">
        <v>29286750</v>
      </c>
      <c r="D116" s="49">
        <v>13909325.770214001</v>
      </c>
      <c r="E116" s="50">
        <f>VLOOKUP($A116,'Data shares'!$C:$FA,154)*100</f>
        <v>51.180000000000007</v>
      </c>
      <c r="F116" s="173">
        <f>C116/B116</f>
        <v>0.49952262067764991</v>
      </c>
    </row>
    <row r="117" spans="1:6" x14ac:dyDescent="0.25">
      <c r="A117" s="99" t="s">
        <v>248</v>
      </c>
      <c r="B117" s="49">
        <v>45183075</v>
      </c>
      <c r="C117" s="49">
        <v>53653000</v>
      </c>
      <c r="D117" s="49">
        <v>33175734.26802</v>
      </c>
      <c r="E117" s="50">
        <f>VLOOKUP($A117,'Data shares'!$C:$FA,154)*100</f>
        <v>120.64999999999999</v>
      </c>
      <c r="F117" s="173">
        <f>C117/B117</f>
        <v>1.1874579142743162</v>
      </c>
    </row>
    <row r="118" spans="1:6" x14ac:dyDescent="0.25">
      <c r="A118" s="99" t="s">
        <v>607</v>
      </c>
      <c r="B118" s="49">
        <v>32057152</v>
      </c>
      <c r="C118" s="49">
        <v>25197900</v>
      </c>
      <c r="D118" s="49">
        <v>9946227.6150860004</v>
      </c>
      <c r="E118" s="50">
        <f>VLOOKUP($A118,'Data shares'!$C:$FA,154)*100</f>
        <v>79.84</v>
      </c>
      <c r="F118" s="173">
        <f>C118/B118</f>
        <v>0.78603052448327293</v>
      </c>
    </row>
    <row r="119" spans="1:6" x14ac:dyDescent="0.25">
      <c r="A119" s="99" t="s">
        <v>588</v>
      </c>
      <c r="B119" s="49">
        <v>42060143</v>
      </c>
      <c r="C119" s="49">
        <v>20845350</v>
      </c>
      <c r="D119" s="49">
        <v>12558731.131552501</v>
      </c>
      <c r="E119" s="50">
        <f>VLOOKUP($A119,'Data shares'!$C:$FA,154)*100</f>
        <v>50.460000000000008</v>
      </c>
      <c r="F119" s="173">
        <f>C119/B119</f>
        <v>0.49560815806070846</v>
      </c>
    </row>
    <row r="120" spans="1:6" x14ac:dyDescent="0.25">
      <c r="A120" s="99" t="s">
        <v>249</v>
      </c>
      <c r="B120" s="49">
        <v>136007303</v>
      </c>
      <c r="C120" s="49">
        <v>22284675</v>
      </c>
      <c r="D120" s="49">
        <v>14046160.7206567</v>
      </c>
      <c r="E120" s="50">
        <f>VLOOKUP($A120,'Data shares'!$C:$FA,154)*100</f>
        <v>16.619999999999997</v>
      </c>
      <c r="F120" s="173">
        <f>C120/B120</f>
        <v>0.16384910595572946</v>
      </c>
    </row>
    <row r="121" spans="1:6" x14ac:dyDescent="0.25">
      <c r="A121" s="99" t="s">
        <v>565</v>
      </c>
      <c r="B121" s="49">
        <v>126777205</v>
      </c>
      <c r="C121" s="49">
        <v>97457438</v>
      </c>
      <c r="D121" s="49">
        <v>40754696.539138697</v>
      </c>
      <c r="E121" s="50">
        <f>VLOOKUP($A121,'Data shares'!$C:$FA,154)*100</f>
        <v>80.55</v>
      </c>
      <c r="F121" s="173">
        <f>C121/B121</f>
        <v>0.76872997791677145</v>
      </c>
    </row>
    <row r="122" spans="1:6" x14ac:dyDescent="0.25">
      <c r="A122" s="99" t="s">
        <v>561</v>
      </c>
      <c r="B122" s="49">
        <v>9315942</v>
      </c>
      <c r="C122" s="49">
        <v>3882900</v>
      </c>
      <c r="D122" s="49">
        <v>2192330.8285050001</v>
      </c>
      <c r="E122" s="50">
        <f>VLOOKUP($A122,'Data shares'!$C:$FA,154)*100</f>
        <v>42.51</v>
      </c>
      <c r="F122" s="173">
        <f>C122/B122</f>
        <v>0.41680165033230132</v>
      </c>
    </row>
    <row r="123" spans="1:6" x14ac:dyDescent="0.25">
      <c r="A123" s="99" t="s">
        <v>250</v>
      </c>
      <c r="B123" s="49">
        <v>35341043</v>
      </c>
      <c r="C123" s="49">
        <v>12258700</v>
      </c>
      <c r="D123" s="49">
        <v>7252301.1400337499</v>
      </c>
      <c r="E123" s="50">
        <f>VLOOKUP($A123,'Data shares'!$C:$FA,154)*100</f>
        <v>35.44</v>
      </c>
      <c r="F123" s="173">
        <f>C123/B123</f>
        <v>0.34686865353690893</v>
      </c>
    </row>
    <row r="124" spans="1:6" x14ac:dyDescent="0.25">
      <c r="A124" s="99" t="s">
        <v>251</v>
      </c>
      <c r="B124" s="49">
        <v>100261459</v>
      </c>
      <c r="C124" s="49">
        <v>28112000</v>
      </c>
      <c r="D124" s="49">
        <v>18507843.808481999</v>
      </c>
      <c r="E124" s="50">
        <f>VLOOKUP($A124,'Data shares'!$C:$FA,154)*100</f>
        <v>28.64</v>
      </c>
      <c r="F124" s="173">
        <f>C124/B124</f>
        <v>0.2803869032067447</v>
      </c>
    </row>
    <row r="125" spans="1:6" x14ac:dyDescent="0.25">
      <c r="A125" s="99" t="s">
        <v>253</v>
      </c>
      <c r="B125" s="49">
        <v>82205057</v>
      </c>
      <c r="C125" s="49">
        <v>68325000</v>
      </c>
      <c r="D125" s="49">
        <v>34033252.595519997</v>
      </c>
      <c r="E125" s="50">
        <f>VLOOKUP($A125,'Data shares'!$C:$FA,154)*100</f>
        <v>83.95</v>
      </c>
      <c r="F125" s="173">
        <f>C125/B125</f>
        <v>0.83115324644808652</v>
      </c>
    </row>
    <row r="126" spans="1:6" x14ac:dyDescent="0.25">
      <c r="A126" s="99" t="s">
        <v>673</v>
      </c>
      <c r="B126" s="49">
        <v>16915220</v>
      </c>
      <c r="C126" s="49">
        <v>4284675</v>
      </c>
      <c r="D126" s="49">
        <v>2698323.1801244998</v>
      </c>
      <c r="E126" s="50">
        <f>VLOOKUP($A126,'Data shares'!$C:$FA,154)*100</f>
        <v>26.07</v>
      </c>
      <c r="F126" s="173">
        <f>C126/B126</f>
        <v>0.2533029425570581</v>
      </c>
    </row>
    <row r="127" spans="1:6" x14ac:dyDescent="0.25">
      <c r="A127" s="99" t="s">
        <v>254</v>
      </c>
      <c r="B127" s="49">
        <v>79408529</v>
      </c>
      <c r="C127" s="49">
        <v>43808400</v>
      </c>
      <c r="D127" s="49">
        <v>34351050.647292003</v>
      </c>
      <c r="E127" s="50">
        <f>VLOOKUP($A127,'Data shares'!$C:$FA,154)*100</f>
        <v>55.93</v>
      </c>
      <c r="F127" s="173">
        <f>C127/B127</f>
        <v>0.55168381220107976</v>
      </c>
    </row>
    <row r="128" spans="1:6" x14ac:dyDescent="0.25">
      <c r="A128" s="99" t="s">
        <v>255</v>
      </c>
      <c r="B128" s="49">
        <v>16752897</v>
      </c>
      <c r="C128" s="49">
        <v>5805150</v>
      </c>
      <c r="D128" s="49">
        <v>3036468.1815869999</v>
      </c>
      <c r="E128" s="50">
        <f>VLOOKUP($A128,'Data shares'!$C:$FA,154)*100</f>
        <v>35.83</v>
      </c>
      <c r="F128" s="173">
        <f>C128/B128</f>
        <v>0.34651618761817732</v>
      </c>
    </row>
    <row r="129" spans="1:6" x14ac:dyDescent="0.25">
      <c r="A129" s="99" t="s">
        <v>603</v>
      </c>
      <c r="B129" s="49">
        <v>97211768</v>
      </c>
      <c r="C129" s="49">
        <v>30276225</v>
      </c>
      <c r="D129" s="49">
        <v>19902349.022009999</v>
      </c>
      <c r="E129" s="50">
        <f>VLOOKUP($A129,'Data shares'!$C:$FA,154)*100</f>
        <v>31.759999999999998</v>
      </c>
      <c r="F129" s="173">
        <f>C129/B129</f>
        <v>0.31144608953105346</v>
      </c>
    </row>
    <row r="130" spans="1:6" x14ac:dyDescent="0.25">
      <c r="A130" s="99" t="s">
        <v>674</v>
      </c>
      <c r="B130" s="49">
        <v>11364224</v>
      </c>
      <c r="C130" s="49">
        <v>10230625</v>
      </c>
      <c r="D130" s="49">
        <v>4448225.91829425</v>
      </c>
      <c r="E130" s="50">
        <f>VLOOKUP($A130,'Data shares'!$C:$FA,154)*100</f>
        <v>93.100000000000009</v>
      </c>
      <c r="F130" s="173">
        <f>C130/B130</f>
        <v>0.90024844635234225</v>
      </c>
    </row>
    <row r="131" spans="1:6" x14ac:dyDescent="0.25">
      <c r="A131" s="99" t="s">
        <v>517</v>
      </c>
      <c r="B131" s="49">
        <v>7635422</v>
      </c>
      <c r="C131" s="49">
        <v>7657625</v>
      </c>
      <c r="D131" s="49">
        <v>3040516.6323287501</v>
      </c>
      <c r="E131" s="50">
        <f>VLOOKUP($A131,'Data shares'!$C:$FA,154)*100</f>
        <v>105.11999999999999</v>
      </c>
      <c r="F131" s="173">
        <f>C131/B131</f>
        <v>1.0029078942853453</v>
      </c>
    </row>
    <row r="132" spans="1:6" x14ac:dyDescent="0.25">
      <c r="A132" s="99" t="s">
        <v>257</v>
      </c>
      <c r="B132" s="49">
        <v>34712157</v>
      </c>
      <c r="C132" s="49">
        <v>10737600</v>
      </c>
      <c r="D132" s="49">
        <v>7998358.1403679997</v>
      </c>
      <c r="E132" s="50">
        <f>VLOOKUP($A132,'Data shares'!$C:$FA,154)*100</f>
        <v>31.14</v>
      </c>
      <c r="F132" s="173">
        <f>C132/B132</f>
        <v>0.3093325488243211</v>
      </c>
    </row>
    <row r="133" spans="1:6" x14ac:dyDescent="0.25">
      <c r="A133" s="99" t="s">
        <v>559</v>
      </c>
      <c r="B133" s="49">
        <v>542522848</v>
      </c>
      <c r="C133" s="49">
        <v>296374650</v>
      </c>
      <c r="D133" s="49">
        <v>182770459.169505</v>
      </c>
      <c r="E133" s="50">
        <f>VLOOKUP($A133,'Data shares'!$C:$FA,154)*100</f>
        <v>55.15</v>
      </c>
      <c r="F133" s="173">
        <f>C133/B133</f>
        <v>0.54628971128603965</v>
      </c>
    </row>
    <row r="134" spans="1:6" x14ac:dyDescent="0.25">
      <c r="A134" s="99" t="s">
        <v>487</v>
      </c>
      <c r="B134" s="49">
        <v>14652855</v>
      </c>
      <c r="C134" s="49">
        <v>8738675</v>
      </c>
      <c r="D134" s="49">
        <v>6228436.0053355005</v>
      </c>
      <c r="E134" s="50">
        <f>VLOOKUP($A134,'Data shares'!$C:$FA,154)*100</f>
        <v>60.23</v>
      </c>
      <c r="F134" s="173">
        <f>C134/B134</f>
        <v>0.59638036409969253</v>
      </c>
    </row>
    <row r="135" spans="1:6" x14ac:dyDescent="0.25">
      <c r="A135" s="99" t="s">
        <v>262</v>
      </c>
      <c r="B135" s="49">
        <v>16050690</v>
      </c>
      <c r="C135" s="49">
        <v>8199400</v>
      </c>
      <c r="D135" s="49">
        <v>3364101.5181125002</v>
      </c>
      <c r="E135" s="50">
        <f>VLOOKUP($A135,'Data shares'!$C:$FA,154)*100</f>
        <v>52.62</v>
      </c>
      <c r="F135" s="173">
        <f>C135/B135</f>
        <v>0.51084408209242094</v>
      </c>
    </row>
    <row r="136" spans="1:6" x14ac:dyDescent="0.25">
      <c r="A136" s="99" t="s">
        <v>263</v>
      </c>
      <c r="B136" s="49">
        <v>134225816</v>
      </c>
      <c r="C136" s="49">
        <v>119021250</v>
      </c>
      <c r="D136" s="49">
        <v>57572756.868825004</v>
      </c>
      <c r="E136" s="50"/>
      <c r="F136" s="173">
        <f>C136/B136</f>
        <v>0.88672398162213439</v>
      </c>
    </row>
    <row r="137" spans="1:6" x14ac:dyDescent="0.25">
      <c r="A137" s="99" t="s">
        <v>264</v>
      </c>
      <c r="B137" s="49">
        <v>60530911</v>
      </c>
      <c r="C137" s="49">
        <v>13451625</v>
      </c>
      <c r="D137" s="49">
        <v>8038502.4239175003</v>
      </c>
      <c r="E137" s="50">
        <f>VLOOKUP($A137,'Data shares'!$C:$FA,154)*100</f>
        <v>22.470000000000002</v>
      </c>
      <c r="F137" s="173">
        <f>C137/B137</f>
        <v>0.2222273674354579</v>
      </c>
    </row>
    <row r="138" spans="1:6" x14ac:dyDescent="0.25">
      <c r="A138" s="99" t="s">
        <v>550</v>
      </c>
      <c r="B138" s="49">
        <v>154894704</v>
      </c>
      <c r="C138" s="49">
        <v>165347000</v>
      </c>
      <c r="D138" s="49">
        <v>87652378.231275007</v>
      </c>
      <c r="E138" s="50">
        <f>VLOOKUP($A138,'Data shares'!$C:$FA,154)*100</f>
        <v>109.16999999999999</v>
      </c>
      <c r="F138" s="173">
        <f>C138/B138</f>
        <v>1.0674800088710585</v>
      </c>
    </row>
    <row r="139" spans="1:6" x14ac:dyDescent="0.25">
      <c r="A139" s="99" t="s">
        <v>591</v>
      </c>
      <c r="B139" s="49">
        <v>72342848</v>
      </c>
      <c r="C139" s="49">
        <v>54413100</v>
      </c>
      <c r="D139" s="49">
        <v>22289244.509447999</v>
      </c>
      <c r="E139" s="50">
        <f>VLOOKUP($A139,'Data shares'!$C:$FA,154)*100</f>
        <v>77.400000000000006</v>
      </c>
      <c r="F139" s="173">
        <f>C139/B139</f>
        <v>0.75215590074640137</v>
      </c>
    </row>
    <row r="140" spans="1:6" x14ac:dyDescent="0.25">
      <c r="A140" s="99" t="s">
        <v>265</v>
      </c>
      <c r="B140" s="49">
        <v>71801274</v>
      </c>
      <c r="C140" s="49">
        <v>25873500</v>
      </c>
      <c r="D140" s="49">
        <v>16740694.104915</v>
      </c>
      <c r="E140" s="50"/>
      <c r="F140" s="173">
        <f>C140/B140</f>
        <v>0.36034875927131876</v>
      </c>
    </row>
    <row r="141" spans="1:6" x14ac:dyDescent="0.25">
      <c r="A141" s="99" t="s">
        <v>585</v>
      </c>
      <c r="B141" s="49">
        <v>398201603</v>
      </c>
      <c r="C141" s="49">
        <v>139724800</v>
      </c>
      <c r="D141" s="49">
        <v>69892832.214463994</v>
      </c>
      <c r="E141" s="50"/>
      <c r="F141" s="173">
        <f>C141/B141</f>
        <v>0.35088959699642397</v>
      </c>
    </row>
    <row r="142" spans="1:6" x14ac:dyDescent="0.25">
      <c r="A142" s="99" t="s">
        <v>267</v>
      </c>
      <c r="B142" s="49">
        <v>517037525</v>
      </c>
      <c r="C142" s="49">
        <v>511386750</v>
      </c>
      <c r="D142" s="49">
        <v>286791165.03786701</v>
      </c>
      <c r="E142" s="50">
        <f>VLOOKUP($A142,'Data shares'!$C:$FA,154)*100</f>
        <v>100.16000000000001</v>
      </c>
      <c r="F142" s="173">
        <f>C142/B142</f>
        <v>0.98907086095926988</v>
      </c>
    </row>
    <row r="143" spans="1:6" x14ac:dyDescent="0.25">
      <c r="A143" s="99" t="s">
        <v>268</v>
      </c>
      <c r="B143" s="49">
        <v>572782298</v>
      </c>
      <c r="C143" s="49">
        <v>146761500</v>
      </c>
      <c r="D143" s="49">
        <v>91735849.070160002</v>
      </c>
      <c r="E143" s="50">
        <f>VLOOKUP($A143,'Data shares'!$C:$FA,154)*100</f>
        <v>25.919999999999998</v>
      </c>
      <c r="F143" s="173">
        <f>C143/B143</f>
        <v>0.25622562099501195</v>
      </c>
    </row>
    <row r="144" spans="1:6" x14ac:dyDescent="0.25">
      <c r="A144" s="99" t="s">
        <v>686</v>
      </c>
      <c r="B144" s="49">
        <v>2444664</v>
      </c>
      <c r="C144" s="49">
        <v>853450</v>
      </c>
      <c r="D144" s="49">
        <v>389818.26339400001</v>
      </c>
      <c r="E144" s="50">
        <f>VLOOKUP($A144,'Data shares'!$C:$FA,154)*100</f>
        <v>36.1</v>
      </c>
      <c r="F144" s="173">
        <f>C144/B144</f>
        <v>0.34910728018247089</v>
      </c>
    </row>
    <row r="145" spans="1:6" x14ac:dyDescent="0.25">
      <c r="A145" s="99" t="s">
        <v>613</v>
      </c>
      <c r="B145" s="49">
        <v>205324177</v>
      </c>
      <c r="C145" s="49">
        <v>85803125</v>
      </c>
      <c r="D145" s="49">
        <v>50307015.505093701</v>
      </c>
      <c r="E145" s="50">
        <f>VLOOKUP($A145,'Data shares'!$C:$FA,154)*100</f>
        <v>42.91</v>
      </c>
      <c r="F145" s="173">
        <f>C145/B145</f>
        <v>0.41789099683083109</v>
      </c>
    </row>
    <row r="146" spans="1:6" x14ac:dyDescent="0.25">
      <c r="A146" s="99" t="s">
        <v>528</v>
      </c>
      <c r="B146" s="49">
        <v>17614093</v>
      </c>
      <c r="C146" s="49">
        <v>8066450</v>
      </c>
      <c r="D146" s="49">
        <v>4376302.4345039995</v>
      </c>
      <c r="E146" s="50"/>
      <c r="F146" s="173">
        <f>C146/B146</f>
        <v>0.45795432100875133</v>
      </c>
    </row>
    <row r="147" spans="1:6" x14ac:dyDescent="0.25">
      <c r="A147" s="99" t="s">
        <v>518</v>
      </c>
      <c r="B147" s="49">
        <v>3401732</v>
      </c>
      <c r="C147" s="49">
        <v>2711700</v>
      </c>
      <c r="D147" s="49">
        <v>1352746.5742387499</v>
      </c>
      <c r="E147" s="50">
        <f>VLOOKUP($A147,'Data shares'!$C:$FA,154)*100</f>
        <v>80.959999999999994</v>
      </c>
      <c r="F147" s="173">
        <f>C147/B147</f>
        <v>0.79715274454307394</v>
      </c>
    </row>
    <row r="148" spans="1:6" x14ac:dyDescent="0.25">
      <c r="A148" s="99" t="s">
        <v>587</v>
      </c>
      <c r="B148" s="49">
        <v>94123587</v>
      </c>
      <c r="C148" s="49">
        <v>22017800</v>
      </c>
      <c r="D148" s="49">
        <v>11060434.279468</v>
      </c>
      <c r="E148" s="50">
        <f>VLOOKUP($A148,'Data shares'!$C:$FA,154)*100</f>
        <v>23.7</v>
      </c>
      <c r="F148" s="173">
        <f>C148/B148</f>
        <v>0.23392436159493157</v>
      </c>
    </row>
    <row r="149" spans="1:6" x14ac:dyDescent="0.25">
      <c r="A149" s="99" t="s">
        <v>269</v>
      </c>
      <c r="B149" s="49">
        <v>517141211</v>
      </c>
      <c r="C149" s="49">
        <v>189054000</v>
      </c>
      <c r="D149" s="49">
        <v>101370968.20071</v>
      </c>
      <c r="E149" s="50">
        <f>VLOOKUP($A149,'Data shares'!$C:$FA,154)*100</f>
        <v>36.96</v>
      </c>
      <c r="F149" s="173">
        <f>C149/B149</f>
        <v>0.36557519682955608</v>
      </c>
    </row>
    <row r="150" spans="1:6" x14ac:dyDescent="0.25">
      <c r="A150" s="99" t="s">
        <v>270</v>
      </c>
      <c r="B150" s="49">
        <v>955549</v>
      </c>
      <c r="C150" s="49">
        <v>449805</v>
      </c>
      <c r="D150" s="49">
        <v>248887.12384125</v>
      </c>
      <c r="E150" s="50">
        <f>VLOOKUP($A150,'Data shares'!$C:$FA,154)*100</f>
        <v>47.660000000000004</v>
      </c>
      <c r="F150" s="173">
        <f>C150/B150</f>
        <v>0.47072939221327215</v>
      </c>
    </row>
    <row r="151" spans="1:6" x14ac:dyDescent="0.25">
      <c r="A151" s="99" t="s">
        <v>666</v>
      </c>
      <c r="B151" s="49">
        <v>50840137</v>
      </c>
      <c r="C151" s="49">
        <v>48541500</v>
      </c>
      <c r="D151" s="49">
        <v>22105711.399374001</v>
      </c>
      <c r="E151" s="50">
        <f>VLOOKUP($A151,'Data shares'!$C:$FA,154)*100</f>
        <v>96.460000000000008</v>
      </c>
      <c r="F151" s="173">
        <f>C151/B151</f>
        <v>0.95478696290688592</v>
      </c>
    </row>
    <row r="152" spans="1:6" x14ac:dyDescent="0.25">
      <c r="A152" s="99" t="s">
        <v>575</v>
      </c>
      <c r="B152" s="49">
        <v>95715382</v>
      </c>
      <c r="C152" s="49">
        <v>34789125</v>
      </c>
      <c r="D152" s="49">
        <v>18030534.210760701</v>
      </c>
      <c r="E152" s="50">
        <f>VLOOKUP($A152,'Data shares'!$C:$FA,154)*100</f>
        <v>37.169999999999995</v>
      </c>
      <c r="F152" s="173">
        <f>C152/B152</f>
        <v>0.363464307126727</v>
      </c>
    </row>
    <row r="153" spans="1:6" x14ac:dyDescent="0.25">
      <c r="A153" s="99" t="s">
        <v>529</v>
      </c>
      <c r="B153" s="49">
        <v>16151851</v>
      </c>
      <c r="C153" s="49">
        <v>3924800</v>
      </c>
      <c r="D153" s="49">
        <v>2199738.7349629998</v>
      </c>
      <c r="E153" s="50">
        <f>VLOOKUP($A153,'Data shares'!$C:$FA,154)*100</f>
        <v>25.1</v>
      </c>
      <c r="F153" s="173">
        <f>C153/B153</f>
        <v>0.24299382157500091</v>
      </c>
    </row>
    <row r="154" spans="1:6" x14ac:dyDescent="0.25">
      <c r="A154" s="99" t="s">
        <v>272</v>
      </c>
      <c r="B154" s="49">
        <v>93668136</v>
      </c>
      <c r="C154" s="49">
        <v>80119600</v>
      </c>
      <c r="D154" s="49">
        <v>38292357.971235998</v>
      </c>
      <c r="E154" s="50">
        <f>VLOOKUP($A154,'Data shares'!$C:$FA,154)*100</f>
        <v>87.49</v>
      </c>
      <c r="F154" s="173">
        <f>C154/B154</f>
        <v>0.85535597719164602</v>
      </c>
    </row>
    <row r="155" spans="1:6" x14ac:dyDescent="0.25">
      <c r="A155" s="99" t="s">
        <v>273</v>
      </c>
      <c r="B155" s="49">
        <v>203602113</v>
      </c>
      <c r="C155" s="49">
        <v>162879600</v>
      </c>
      <c r="D155" s="49">
        <v>80203557.131099999</v>
      </c>
      <c r="E155" s="50">
        <f>VLOOKUP($A155,'Data shares'!$C:$FA,154)*100</f>
        <v>81.510000000000005</v>
      </c>
      <c r="F155" s="173">
        <f>C155/B155</f>
        <v>0.79998973291598408</v>
      </c>
    </row>
    <row r="156" spans="1:6" x14ac:dyDescent="0.25">
      <c r="A156" s="99" t="s">
        <v>681</v>
      </c>
      <c r="B156" s="49">
        <v>23897684</v>
      </c>
      <c r="C156" s="49">
        <v>24139900</v>
      </c>
      <c r="D156" s="49">
        <v>7805195.8870045003</v>
      </c>
      <c r="E156" s="50">
        <f>VLOOKUP($A156,'Data shares'!$C:$FA,154)*100</f>
        <v>102.79</v>
      </c>
      <c r="F156" s="173">
        <f>C156/B156</f>
        <v>1.0101355428417247</v>
      </c>
    </row>
    <row r="157" spans="1:6" x14ac:dyDescent="0.25">
      <c r="A157" s="99" t="s">
        <v>645</v>
      </c>
      <c r="B157" s="49">
        <v>28283155</v>
      </c>
      <c r="C157" s="49">
        <v>5328050</v>
      </c>
      <c r="D157" s="49">
        <v>2908117.8654080001</v>
      </c>
      <c r="E157" s="50"/>
      <c r="F157" s="173">
        <f>C157/B157</f>
        <v>0.18838244884631861</v>
      </c>
    </row>
    <row r="158" spans="1:6" x14ac:dyDescent="0.25">
      <c r="A158" s="99" t="s">
        <v>274</v>
      </c>
      <c r="B158" s="49">
        <v>31170515</v>
      </c>
      <c r="C158" s="49">
        <v>9606500</v>
      </c>
      <c r="D158" s="49">
        <v>6993274.59057</v>
      </c>
      <c r="E158" s="50">
        <f>VLOOKUP($A158,'Data shares'!$C:$FA,154)*100</f>
        <v>31.069999999999997</v>
      </c>
      <c r="F158" s="173">
        <f>C158/B158</f>
        <v>0.30819189224175475</v>
      </c>
    </row>
    <row r="159" spans="1:6" x14ac:dyDescent="0.25">
      <c r="A159" s="99" t="s">
        <v>483</v>
      </c>
      <c r="B159" s="49">
        <v>8178275</v>
      </c>
      <c r="C159" s="49">
        <v>4409125</v>
      </c>
      <c r="D159" s="49">
        <v>2356409.18359</v>
      </c>
      <c r="E159" s="50">
        <f>VLOOKUP($A159,'Data shares'!$C:$FA,154)*100</f>
        <v>54.81</v>
      </c>
      <c r="F159" s="173">
        <f>C159/B159</f>
        <v>0.53912652729334731</v>
      </c>
    </row>
    <row r="160" spans="1:6" x14ac:dyDescent="0.25">
      <c r="A160" s="99" t="s">
        <v>275</v>
      </c>
      <c r="B160" s="49">
        <v>447910372</v>
      </c>
      <c r="C160" s="49">
        <v>519992000</v>
      </c>
      <c r="D160" s="49">
        <v>233281164.07824001</v>
      </c>
      <c r="E160" s="50">
        <f>VLOOKUP($A160,'Data shares'!$C:$FA,154)*100</f>
        <v>118.22</v>
      </c>
      <c r="F160" s="173">
        <f>C160/B160</f>
        <v>1.1609286868668449</v>
      </c>
    </row>
    <row r="161" spans="1:6" x14ac:dyDescent="0.25">
      <c r="A161" s="99" t="s">
        <v>671</v>
      </c>
      <c r="B161" s="49">
        <v>28062406</v>
      </c>
      <c r="C161" s="49">
        <v>28301000</v>
      </c>
      <c r="D161" s="49">
        <v>15583890.282012001</v>
      </c>
      <c r="E161" s="50">
        <f>VLOOKUP($A161,'Data shares'!$C:$FA,154)*100</f>
        <v>102.2</v>
      </c>
      <c r="F161" s="173">
        <f>C161/B161</f>
        <v>1.008502264559924</v>
      </c>
    </row>
    <row r="162" spans="1:6" x14ac:dyDescent="0.25">
      <c r="A162" s="99" t="s">
        <v>573</v>
      </c>
      <c r="B162" s="49">
        <v>51720057</v>
      </c>
      <c r="C162" s="49">
        <v>11937100</v>
      </c>
      <c r="D162" s="49">
        <v>6298786.6648209998</v>
      </c>
      <c r="E162" s="50">
        <f>VLOOKUP($A162,'Data shares'!$C:$FA,154)*100</f>
        <v>23.72</v>
      </c>
      <c r="F162" s="173">
        <f>C162/B162</f>
        <v>0.23080214316082442</v>
      </c>
    </row>
    <row r="163" spans="1:6" x14ac:dyDescent="0.25">
      <c r="A163" s="99" t="s">
        <v>519</v>
      </c>
      <c r="B163" s="49">
        <v>8350688</v>
      </c>
      <c r="C163" s="49">
        <v>3905000</v>
      </c>
      <c r="D163" s="49">
        <v>2292170.1922125001</v>
      </c>
      <c r="E163" s="50">
        <f>VLOOKUP($A163,'Data shares'!$C:$FA,154)*100</f>
        <v>48.089999999999996</v>
      </c>
      <c r="F163" s="173">
        <f>C163/B163</f>
        <v>0.46762614050483026</v>
      </c>
    </row>
    <row r="164" spans="1:6" x14ac:dyDescent="0.25">
      <c r="A164" s="99" t="s">
        <v>276</v>
      </c>
      <c r="B164" s="49">
        <v>488832949</v>
      </c>
      <c r="C164" s="49">
        <v>136915900</v>
      </c>
      <c r="D164" s="49">
        <v>80545414.832627997</v>
      </c>
      <c r="E164" s="50">
        <f>VLOOKUP($A164,'Data shares'!$C:$FA,154)*100</f>
        <v>28.37</v>
      </c>
      <c r="F164" s="173">
        <f>C164/B164</f>
        <v>0.28008729828888845</v>
      </c>
    </row>
    <row r="165" spans="1:6" x14ac:dyDescent="0.25">
      <c r="A165" s="99" t="s">
        <v>688</v>
      </c>
      <c r="B165" s="49">
        <v>1917916</v>
      </c>
      <c r="C165" s="49">
        <v>951550</v>
      </c>
      <c r="D165" s="49">
        <v>277054.37826700002</v>
      </c>
      <c r="E165" s="50">
        <f>VLOOKUP($A165,'Data shares'!$C:$FA,154)*100</f>
        <v>51.55</v>
      </c>
      <c r="F165" s="173">
        <f>C165/B165</f>
        <v>0.49613747421680615</v>
      </c>
    </row>
    <row r="166" spans="1:6" x14ac:dyDescent="0.25">
      <c r="A166" s="99" t="s">
        <v>679</v>
      </c>
      <c r="B166" s="49">
        <v>120138597</v>
      </c>
      <c r="C166" s="49">
        <v>53325250</v>
      </c>
      <c r="D166" s="49">
        <v>22216936.868609998</v>
      </c>
      <c r="E166" s="50">
        <f>VLOOKUP($A166,'Data shares'!$C:$FA,154)*100</f>
        <v>45.12</v>
      </c>
      <c r="F166" s="173">
        <f>C166/B166</f>
        <v>0.44386443101212508</v>
      </c>
    </row>
    <row r="167" spans="1:6" x14ac:dyDescent="0.25">
      <c r="A167" s="99" t="s">
        <v>605</v>
      </c>
      <c r="B167" s="49">
        <v>25234534</v>
      </c>
      <c r="C167" s="49">
        <v>7366500</v>
      </c>
      <c r="D167" s="49">
        <v>4061138.2776720002</v>
      </c>
      <c r="E167" s="50">
        <f>VLOOKUP($A167,'Data shares'!$C:$FA,154)*100</f>
        <v>29.57</v>
      </c>
      <c r="F167" s="173">
        <f>C167/B167</f>
        <v>0.29192138043841032</v>
      </c>
    </row>
    <row r="168" spans="1:6" x14ac:dyDescent="0.25">
      <c r="A168" s="99" t="s">
        <v>279</v>
      </c>
      <c r="B168" s="49">
        <v>91351468</v>
      </c>
      <c r="C168" s="49">
        <v>120627775</v>
      </c>
      <c r="D168" s="49">
        <v>65615224.202550501</v>
      </c>
      <c r="E168" s="50">
        <f>VLOOKUP($A168,'Data shares'!$C:$FA,154)*100</f>
        <v>133.66</v>
      </c>
      <c r="F168" s="173">
        <f>C168/B168</f>
        <v>1.3204798744996633</v>
      </c>
    </row>
    <row r="169" spans="1:6" x14ac:dyDescent="0.25">
      <c r="A169" s="99" t="s">
        <v>280</v>
      </c>
      <c r="B169" s="49">
        <v>187084550</v>
      </c>
      <c r="C169" s="49">
        <v>182147275</v>
      </c>
      <c r="D169" s="49">
        <v>93704573.018242195</v>
      </c>
      <c r="E169" s="50">
        <f>VLOOKUP($A169,'Data shares'!$C:$FA,154)*100</f>
        <v>98.9</v>
      </c>
      <c r="F169" s="173">
        <f>C169/B169</f>
        <v>0.97360939211709363</v>
      </c>
    </row>
    <row r="170" spans="1:6" x14ac:dyDescent="0.25">
      <c r="A170" s="99" t="s">
        <v>281</v>
      </c>
      <c r="B170" s="49">
        <v>662701060</v>
      </c>
      <c r="C170" s="49">
        <v>175161000</v>
      </c>
      <c r="D170" s="49">
        <v>102927124.17725</v>
      </c>
      <c r="E170" s="50">
        <f>VLOOKUP($A170,'Data shares'!$C:$FA,154)*100</f>
        <v>26.950000000000003</v>
      </c>
      <c r="F170" s="173">
        <f>C170/B170</f>
        <v>0.26431374653301443</v>
      </c>
    </row>
    <row r="171" spans="1:6" x14ac:dyDescent="0.25">
      <c r="A171" s="99" t="s">
        <v>676</v>
      </c>
      <c r="B171" s="49">
        <v>84941460</v>
      </c>
      <c r="C171" s="49">
        <v>76691275</v>
      </c>
      <c r="D171" s="49">
        <v>34422740.289594702</v>
      </c>
      <c r="E171" s="50">
        <f>VLOOKUP($A171,'Data shares'!$C:$FA,154)*100</f>
        <v>93.54</v>
      </c>
      <c r="F171" s="173">
        <f>C171/B171</f>
        <v>0.90287210744905966</v>
      </c>
    </row>
    <row r="172" spans="1:6" x14ac:dyDescent="0.25">
      <c r="A172" s="99" t="s">
        <v>282</v>
      </c>
      <c r="B172" s="49">
        <v>216861410</v>
      </c>
      <c r="C172" s="49">
        <v>254114900</v>
      </c>
      <c r="D172" s="49">
        <v>151764982.236092</v>
      </c>
      <c r="E172" s="50">
        <f>VLOOKUP($A172,'Data shares'!$C:$FA,154)*100</f>
        <v>119.19</v>
      </c>
      <c r="F172" s="173">
        <f>C172/B172</f>
        <v>1.1717847818106504</v>
      </c>
    </row>
    <row r="173" spans="1:6" x14ac:dyDescent="0.25">
      <c r="A173" s="99" t="s">
        <v>687</v>
      </c>
      <c r="B173" s="49">
        <v>122326971</v>
      </c>
      <c r="C173" s="49">
        <v>213925000</v>
      </c>
      <c r="D173" s="49">
        <v>92998609.406642005</v>
      </c>
      <c r="E173" s="50">
        <f>VLOOKUP($A173,'Data shares'!$C:$FA,154)*100</f>
        <v>180.31</v>
      </c>
      <c r="F173" s="173">
        <f>C173/B173</f>
        <v>1.7487966737932226</v>
      </c>
    </row>
    <row r="174" spans="1:6" x14ac:dyDescent="0.25">
      <c r="A174" s="99" t="s">
        <v>536</v>
      </c>
      <c r="B174" s="49">
        <v>39583537</v>
      </c>
      <c r="C174" s="49">
        <v>27200000</v>
      </c>
      <c r="D174" s="49">
        <v>15487340.791152</v>
      </c>
      <c r="E174" s="50">
        <f>VLOOKUP($A174,'Data shares'!$C:$FA,154)*100</f>
        <v>70.34</v>
      </c>
      <c r="F174" s="173">
        <f>C174/B174</f>
        <v>0.6871543591468342</v>
      </c>
    </row>
    <row r="175" spans="1:6" x14ac:dyDescent="0.25">
      <c r="A175" s="99" t="s">
        <v>462</v>
      </c>
      <c r="B175" s="49">
        <v>44735132</v>
      </c>
      <c r="C175" s="49">
        <v>14237625</v>
      </c>
      <c r="D175" s="49">
        <v>8523898.5523275007</v>
      </c>
      <c r="E175" s="50">
        <f>VLOOKUP($A175,'Data shares'!$C:$FA,154)*100</f>
        <v>32.29</v>
      </c>
      <c r="F175" s="173">
        <f>C175/B175</f>
        <v>0.31826496007656802</v>
      </c>
    </row>
    <row r="176" spans="1:6" x14ac:dyDescent="0.25">
      <c r="A176" s="99" t="s">
        <v>283</v>
      </c>
      <c r="B176" s="49">
        <v>407307212</v>
      </c>
      <c r="C176" s="49">
        <v>152499000</v>
      </c>
      <c r="D176" s="49">
        <v>76922214.279449999</v>
      </c>
      <c r="E176" s="50">
        <f>VLOOKUP($A176,'Data shares'!$C:$FA,154)*100</f>
        <v>38.36</v>
      </c>
      <c r="F176" s="173">
        <f>C176/B176</f>
        <v>0.37440780695039594</v>
      </c>
    </row>
    <row r="177" spans="1:6" x14ac:dyDescent="0.25">
      <c r="A177" s="99" t="s">
        <v>284</v>
      </c>
      <c r="B177" s="49">
        <v>1548028</v>
      </c>
      <c r="C177" s="49">
        <v>516975</v>
      </c>
      <c r="D177" s="49">
        <v>305684.00083425001</v>
      </c>
      <c r="E177" s="50">
        <f>VLOOKUP($A177,'Data shares'!$C:$FA,154)*100</f>
        <v>33.93</v>
      </c>
      <c r="F177" s="173">
        <f>C177/B177</f>
        <v>0.33395713772619101</v>
      </c>
    </row>
    <row r="178" spans="1:6" x14ac:dyDescent="0.25">
      <c r="A178" s="99" t="s">
        <v>562</v>
      </c>
      <c r="B178" s="49">
        <v>210459276</v>
      </c>
      <c r="C178" s="49">
        <v>100320000</v>
      </c>
      <c r="D178" s="49">
        <v>63194737.505979702</v>
      </c>
      <c r="E178" s="50">
        <f>VLOOKUP($A178,'Data shares'!$C:$FA,154)*100</f>
        <v>48.92</v>
      </c>
      <c r="F178" s="173">
        <f>C178/B178</f>
        <v>0.47667179088841871</v>
      </c>
    </row>
    <row r="179" spans="1:6" x14ac:dyDescent="0.25">
      <c r="A179" s="99" t="s">
        <v>285</v>
      </c>
      <c r="B179" s="49">
        <v>13354588</v>
      </c>
      <c r="C179" s="49">
        <v>6380825</v>
      </c>
      <c r="D179" s="49">
        <v>3094698.20221675</v>
      </c>
      <c r="E179" s="50">
        <f>VLOOKUP($A179,'Data shares'!$C:$FA,154)*100</f>
        <v>49.14</v>
      </c>
      <c r="F179" s="173">
        <f>C179/B179</f>
        <v>0.4778002136793737</v>
      </c>
    </row>
    <row r="180" spans="1:6" x14ac:dyDescent="0.25">
      <c r="A180" s="99" t="s">
        <v>646</v>
      </c>
      <c r="B180" s="49">
        <v>3644817</v>
      </c>
      <c r="C180" s="49">
        <v>2114825</v>
      </c>
      <c r="D180" s="49">
        <v>961667.35677974997</v>
      </c>
      <c r="E180" s="50">
        <f>VLOOKUP($A180,'Data shares'!$C:$FA,154)*100</f>
        <v>59.47</v>
      </c>
      <c r="F180" s="173">
        <f>C180/B180</f>
        <v>0.58022803339646412</v>
      </c>
    </row>
    <row r="181" spans="1:6" x14ac:dyDescent="0.25">
      <c r="A181" s="99" t="s">
        <v>614</v>
      </c>
      <c r="B181" s="49">
        <v>67126548</v>
      </c>
      <c r="C181" s="49">
        <v>23402400</v>
      </c>
      <c r="D181" s="49">
        <v>14241783.611943999</v>
      </c>
      <c r="E181" s="50">
        <f>VLOOKUP($A181,'Data shares'!$C:$FA,154)*100</f>
        <v>35.14</v>
      </c>
      <c r="F181" s="173">
        <f>C181/B181</f>
        <v>0.34863106620647316</v>
      </c>
    </row>
    <row r="182" spans="1:6" x14ac:dyDescent="0.25">
      <c r="A182" s="99" t="s">
        <v>286</v>
      </c>
      <c r="B182" s="49">
        <v>21205300</v>
      </c>
      <c r="C182" s="49">
        <v>6823200</v>
      </c>
      <c r="D182" s="49">
        <v>3510854.1243340001</v>
      </c>
      <c r="E182" s="50">
        <f>VLOOKUP($A182,'Data shares'!$C:$FA,154)*100</f>
        <v>32.769999999999996</v>
      </c>
      <c r="F182" s="173">
        <f>C182/B182</f>
        <v>0.32176861445016103</v>
      </c>
    </row>
    <row r="183" spans="1:6" x14ac:dyDescent="0.25">
      <c r="A183" s="99" t="s">
        <v>288</v>
      </c>
      <c r="B183" s="49">
        <v>109220043</v>
      </c>
      <c r="C183" s="49">
        <v>23720200</v>
      </c>
      <c r="D183" s="49">
        <v>15749719.247206001</v>
      </c>
      <c r="E183" s="50">
        <f>VLOOKUP($A183,'Data shares'!$C:$FA,154)*100</f>
        <v>21.98</v>
      </c>
      <c r="F183" s="173">
        <f>C183/B183</f>
        <v>0.21717808699269603</v>
      </c>
    </row>
    <row r="184" spans="1:6" x14ac:dyDescent="0.25">
      <c r="A184" s="99" t="s">
        <v>574</v>
      </c>
      <c r="B184" s="49">
        <v>7242074</v>
      </c>
      <c r="C184" s="49">
        <v>4270000</v>
      </c>
      <c r="D184" s="49">
        <v>1969025.5244257499</v>
      </c>
      <c r="E184" s="50">
        <f>VLOOKUP($A184,'Data shares'!$C:$FA,154)*100</f>
        <v>60.06</v>
      </c>
      <c r="F184" s="173">
        <f>C184/B184</f>
        <v>0.58961010340408015</v>
      </c>
    </row>
    <row r="185" spans="1:6" x14ac:dyDescent="0.25">
      <c r="A185" s="99" t="s">
        <v>685</v>
      </c>
      <c r="B185" s="49">
        <v>1813533848</v>
      </c>
      <c r="C185" s="49">
        <v>565496200</v>
      </c>
      <c r="D185" s="49">
        <v>250044138.53975701</v>
      </c>
      <c r="E185" s="50">
        <f>VLOOKUP($A185,'Data shares'!$C:$FA,154)*100</f>
        <v>32.550000000000004</v>
      </c>
      <c r="F185" s="173">
        <f>C185/B185</f>
        <v>0.31182004164060134</v>
      </c>
    </row>
    <row r="186" spans="1:6" x14ac:dyDescent="0.25">
      <c r="A186" s="99" t="s">
        <v>520</v>
      </c>
      <c r="B186" s="49">
        <v>28408333</v>
      </c>
      <c r="C186" s="49">
        <v>13206000</v>
      </c>
      <c r="D186" s="49">
        <v>8362447.7699699998</v>
      </c>
      <c r="E186" s="50">
        <f>VLOOKUP($A186,'Data shares'!$C:$FA,154)*100</f>
        <v>46.910000000000004</v>
      </c>
      <c r="F186" s="173">
        <f>C186/B186</f>
        <v>0.46486360181711472</v>
      </c>
    </row>
    <row r="187" spans="1:6" x14ac:dyDescent="0.25">
      <c r="A187" s="99" t="s">
        <v>291</v>
      </c>
      <c r="B187" s="49">
        <v>65471528</v>
      </c>
      <c r="C187" s="49">
        <v>20950050</v>
      </c>
      <c r="D187" s="49">
        <v>12218021.280536501</v>
      </c>
      <c r="E187" s="50">
        <f>VLOOKUP($A187,'Data shares'!$C:$FA,154)*100</f>
        <v>32.300000000000004</v>
      </c>
      <c r="F187" s="173">
        <f>C187/B187</f>
        <v>0.3199871858802501</v>
      </c>
    </row>
    <row r="188" spans="1:6" x14ac:dyDescent="0.25">
      <c r="A188" s="99" t="s">
        <v>604</v>
      </c>
      <c r="B188" s="49">
        <v>4309631</v>
      </c>
      <c r="C188" s="49">
        <v>4010000</v>
      </c>
      <c r="D188" s="49">
        <v>1693953.5731500001</v>
      </c>
      <c r="E188" s="50">
        <f>VLOOKUP($A188,'Data shares'!$C:$FA,154)*100</f>
        <v>94.710000000000008</v>
      </c>
      <c r="F188" s="173">
        <f>C188/B188</f>
        <v>0.93047409395375147</v>
      </c>
    </row>
    <row r="189" spans="1:6" x14ac:dyDescent="0.25">
      <c r="A189" s="99" t="s">
        <v>293</v>
      </c>
      <c r="B189" s="49">
        <v>169808198</v>
      </c>
      <c r="C189" s="49">
        <v>123316700</v>
      </c>
      <c r="D189" s="49">
        <v>52393002.111496001</v>
      </c>
      <c r="E189" s="50"/>
      <c r="F189" s="173">
        <f>C189/B189</f>
        <v>0.72621169915483119</v>
      </c>
    </row>
    <row r="190" spans="1:6" x14ac:dyDescent="0.25">
      <c r="A190" s="99" t="s">
        <v>294</v>
      </c>
      <c r="B190" s="49">
        <v>833987639</v>
      </c>
      <c r="C190" s="49">
        <v>500610000</v>
      </c>
      <c r="D190" s="49">
        <v>261349283.03439999</v>
      </c>
      <c r="E190" s="50">
        <f>VLOOKUP($A190,'Data shares'!$C:$FA,154)*100</f>
        <v>61.19</v>
      </c>
      <c r="F190" s="173">
        <f>C190/B190</f>
        <v>0.60026069523075987</v>
      </c>
    </row>
    <row r="191" spans="1:6" x14ac:dyDescent="0.25">
      <c r="A191" s="99" t="s">
        <v>664</v>
      </c>
      <c r="B191" s="49">
        <v>27246569</v>
      </c>
      <c r="C191" s="49">
        <v>22888000</v>
      </c>
      <c r="D191" s="49">
        <v>10526641.545840001</v>
      </c>
      <c r="E191" s="50">
        <f>VLOOKUP($A191,'Data shares'!$C:$FA,154)*100</f>
        <v>86.17</v>
      </c>
      <c r="F191" s="173">
        <f>C191/B191</f>
        <v>0.84003237251633411</v>
      </c>
    </row>
    <row r="192" spans="1:6" x14ac:dyDescent="0.25">
      <c r="A192" s="99" t="s">
        <v>295</v>
      </c>
      <c r="B192" s="49">
        <v>123298271</v>
      </c>
      <c r="C192" s="49">
        <v>41938750</v>
      </c>
      <c r="D192" s="49">
        <v>24315346.7390627</v>
      </c>
      <c r="E192" s="50">
        <f>VLOOKUP($A192,'Data shares'!$C:$FA,154)*100</f>
        <v>34.79</v>
      </c>
      <c r="F192" s="173">
        <f>C192/B192</f>
        <v>0.34014061721919847</v>
      </c>
    </row>
    <row r="193" spans="1:6" x14ac:dyDescent="0.25">
      <c r="A193" s="99" t="s">
        <v>296</v>
      </c>
      <c r="B193" s="49">
        <v>76137451</v>
      </c>
      <c r="C193" s="49">
        <v>32868600</v>
      </c>
      <c r="D193" s="49">
        <v>22293916.691706002</v>
      </c>
      <c r="E193" s="50">
        <f>VLOOKUP($A193,'Data shares'!$C:$FA,154)*100</f>
        <v>43.7</v>
      </c>
      <c r="F193" s="173">
        <f>C193/B193</f>
        <v>0.4317008196137273</v>
      </c>
    </row>
    <row r="194" spans="1:6" x14ac:dyDescent="0.25">
      <c r="A194" s="99" t="s">
        <v>595</v>
      </c>
      <c r="B194" s="49">
        <v>14039249</v>
      </c>
      <c r="C194" s="49">
        <v>5654800</v>
      </c>
      <c r="D194" s="49">
        <v>3149008.9994080001</v>
      </c>
      <c r="E194" s="50">
        <f>VLOOKUP($A194,'Data shares'!$C:$FA,154)*100</f>
        <v>40.770000000000003</v>
      </c>
      <c r="F194" s="173">
        <f>C194/B194</f>
        <v>0.40278507774881689</v>
      </c>
    </row>
    <row r="195" spans="1:6" x14ac:dyDescent="0.25">
      <c r="A195" s="99" t="s">
        <v>663</v>
      </c>
      <c r="B195" s="49">
        <v>12028036</v>
      </c>
      <c r="C195" s="49">
        <v>10531350</v>
      </c>
      <c r="D195" s="49">
        <v>5070448.0435577501</v>
      </c>
      <c r="E195" s="50">
        <f>VLOOKUP($A195,'Data shares'!$C:$FA,154)*100</f>
        <v>92.84</v>
      </c>
      <c r="F195" s="173">
        <f>C195/B195</f>
        <v>0.87556688390357329</v>
      </c>
    </row>
    <row r="196" spans="1:6" x14ac:dyDescent="0.25">
      <c r="A196" s="99" t="s">
        <v>297</v>
      </c>
      <c r="B196" s="49">
        <v>41744334</v>
      </c>
      <c r="C196" s="49">
        <v>15018675</v>
      </c>
      <c r="D196" s="49">
        <v>9399499.8940849993</v>
      </c>
      <c r="E196" s="50">
        <f>VLOOKUP($A196,'Data shares'!$C:$FA,154)*100</f>
        <v>36.840000000000003</v>
      </c>
      <c r="F196" s="173">
        <f>C196/B196</f>
        <v>0.35977756885521278</v>
      </c>
    </row>
    <row r="197" spans="1:6" x14ac:dyDescent="0.25">
      <c r="A197" s="99" t="s">
        <v>690</v>
      </c>
      <c r="B197" s="49">
        <v>284575867</v>
      </c>
      <c r="C197" s="49">
        <v>202684000</v>
      </c>
      <c r="D197" s="49">
        <v>86646608.375576004</v>
      </c>
      <c r="E197" s="50">
        <f>VLOOKUP($A197,'Data shares'!$C:$FA,154)*100</f>
        <v>73.209999999999994</v>
      </c>
      <c r="F197" s="173">
        <f>C197/B197</f>
        <v>0.71223186328726884</v>
      </c>
    </row>
    <row r="198" spans="1:6" x14ac:dyDescent="0.25">
      <c r="A198" s="99" t="s">
        <v>298</v>
      </c>
      <c r="B198" s="49">
        <v>16072672</v>
      </c>
      <c r="C198" s="49">
        <v>3311750</v>
      </c>
      <c r="D198" s="49">
        <v>2379174.9180775001</v>
      </c>
      <c r="E198" s="50">
        <f>VLOOKUP($A198,'Data shares'!$C:$FA,154)*100</f>
        <v>20.990000000000002</v>
      </c>
      <c r="F198" s="173">
        <f>C198/B198</f>
        <v>0.20604850270073327</v>
      </c>
    </row>
    <row r="199" spans="1:6" x14ac:dyDescent="0.25">
      <c r="A199" s="99" t="s">
        <v>299</v>
      </c>
      <c r="B199" s="49">
        <v>24646022</v>
      </c>
      <c r="C199" s="49">
        <v>4809600</v>
      </c>
      <c r="D199" s="49">
        <v>2741325.3686664999</v>
      </c>
      <c r="E199" s="50">
        <f>VLOOKUP($A199,'Data shares'!$C:$FA,154)*100</f>
        <v>19.650000000000002</v>
      </c>
      <c r="F199" s="173">
        <f>C199/B199</f>
        <v>0.19514711136750587</v>
      </c>
    </row>
    <row r="200" spans="1:6" x14ac:dyDescent="0.25">
      <c r="A200" s="99" t="s">
        <v>482</v>
      </c>
      <c r="B200" s="49">
        <v>33590487</v>
      </c>
      <c r="C200" s="49">
        <v>17030700</v>
      </c>
      <c r="D200" s="49">
        <v>8797824.9314760007</v>
      </c>
      <c r="E200" s="50">
        <f>VLOOKUP($A200,'Data shares'!$C:$FA,154)*100</f>
        <v>51.800000000000004</v>
      </c>
      <c r="F200" s="173">
        <f>C200/B200</f>
        <v>0.50700961852681681</v>
      </c>
    </row>
    <row r="201" spans="1:6" x14ac:dyDescent="0.25">
      <c r="A201" s="99" t="s">
        <v>300</v>
      </c>
      <c r="B201" s="49">
        <v>35369445</v>
      </c>
      <c r="C201" s="49">
        <v>10915275</v>
      </c>
      <c r="D201" s="49">
        <v>7593505.1302530002</v>
      </c>
      <c r="E201" s="50">
        <f>VLOOKUP($A201,'Data shares'!$C:$FA,154)*100</f>
        <v>31.34</v>
      </c>
      <c r="F201" s="173">
        <f>C201/B201</f>
        <v>0.30860747178814935</v>
      </c>
    </row>
    <row r="202" spans="1:6" x14ac:dyDescent="0.25">
      <c r="A202" s="99" t="s">
        <v>302</v>
      </c>
      <c r="B202" s="49">
        <v>11962066</v>
      </c>
      <c r="C202" s="49">
        <v>4430100</v>
      </c>
      <c r="D202" s="49">
        <v>2909581.6080590002</v>
      </c>
      <c r="E202" s="50">
        <f>VLOOKUP($A202,'Data shares'!$C:$FA,154)*100</f>
        <v>37.940000000000005</v>
      </c>
      <c r="F202" s="173">
        <f>C202/B202</f>
        <v>0.37034572455962039</v>
      </c>
    </row>
    <row r="203" spans="1:6" x14ac:dyDescent="0.25">
      <c r="A203" s="99" t="s">
        <v>593</v>
      </c>
      <c r="B203" s="49">
        <v>289041713</v>
      </c>
      <c r="C203" s="49">
        <v>138343200</v>
      </c>
      <c r="D203" s="49">
        <v>73152760.138275698</v>
      </c>
      <c r="E203" s="50"/>
      <c r="F203" s="173">
        <f>C203/B203</f>
        <v>0.4786271108211983</v>
      </c>
    </row>
    <row r="204" spans="1:6" x14ac:dyDescent="0.25">
      <c r="A204" s="99" t="s">
        <v>569</v>
      </c>
      <c r="B204" s="49">
        <v>47269416</v>
      </c>
      <c r="C204" s="49">
        <v>19481200</v>
      </c>
      <c r="D204" s="49">
        <v>12262214.278244</v>
      </c>
      <c r="E204" s="50">
        <f>VLOOKUP($A204,'Data shares'!$C:$FA,154)*100</f>
        <v>42.3</v>
      </c>
      <c r="F204" s="173">
        <f>C204/B204</f>
        <v>0.4121311758960593</v>
      </c>
    </row>
    <row r="205" spans="1:6" x14ac:dyDescent="0.25">
      <c r="A205" s="99" t="s">
        <v>675</v>
      </c>
      <c r="B205" s="49">
        <v>22813802</v>
      </c>
      <c r="C205" s="49">
        <v>8516200</v>
      </c>
      <c r="D205" s="49">
        <v>4289778.0718759997</v>
      </c>
      <c r="E205" s="50">
        <f>VLOOKUP($A205,'Data shares'!$C:$FA,154)*100</f>
        <v>38.01</v>
      </c>
      <c r="F205" s="173">
        <f>C205/B205</f>
        <v>0.37329157147940534</v>
      </c>
    </row>
    <row r="206" spans="1:6" x14ac:dyDescent="0.25">
      <c r="A206" s="99" t="s">
        <v>303</v>
      </c>
      <c r="B206" s="49">
        <v>82588393</v>
      </c>
      <c r="C206" s="49">
        <v>51271845</v>
      </c>
      <c r="D206" s="49">
        <v>29644078.115007799</v>
      </c>
      <c r="E206" s="50">
        <f>VLOOKUP($A206,'Data shares'!$C:$FA,154)*100</f>
        <v>63.01</v>
      </c>
      <c r="F206" s="173">
        <f>C206/B206</f>
        <v>0.62081175256673171</v>
      </c>
    </row>
    <row r="207" spans="1:6" x14ac:dyDescent="0.25">
      <c r="A207" s="99" t="s">
        <v>586</v>
      </c>
      <c r="B207" s="49">
        <v>203804339</v>
      </c>
      <c r="C207" s="49">
        <v>81284650</v>
      </c>
      <c r="D207" s="49">
        <v>46176375.478085697</v>
      </c>
      <c r="E207" s="50">
        <f>VLOOKUP($A207,'Data shares'!$C:$FA,154)*100</f>
        <v>40.43</v>
      </c>
      <c r="F207" s="173">
        <f>C207/B207</f>
        <v>0.39883669993895471</v>
      </c>
    </row>
    <row r="208" spans="1:6" x14ac:dyDescent="0.25">
      <c r="A208" s="99" t="s">
        <v>304</v>
      </c>
      <c r="B208" s="49">
        <v>255091106</v>
      </c>
      <c r="C208" s="49">
        <v>207294400</v>
      </c>
      <c r="D208" s="49">
        <v>104006613.43443701</v>
      </c>
      <c r="E208" s="50">
        <f>VLOOKUP($A208,'Data shares'!$C:$FA,154)*100</f>
        <v>84.11</v>
      </c>
      <c r="F208" s="173">
        <f>C208/B208</f>
        <v>0.81262888091441343</v>
      </c>
    </row>
    <row r="209" spans="1:6" x14ac:dyDescent="0.25">
      <c r="A209" s="99" t="s">
        <v>305</v>
      </c>
      <c r="B209" s="49">
        <v>34594689</v>
      </c>
      <c r="C209" s="49">
        <v>16797000</v>
      </c>
      <c r="D209" s="49">
        <v>9088008.3438450005</v>
      </c>
      <c r="E209" s="50">
        <f>VLOOKUP($A209,'Data shares'!$C:$FA,154)*100</f>
        <v>50.1</v>
      </c>
      <c r="F209" s="173">
        <f>C209/B209</f>
        <v>0.48553695626516546</v>
      </c>
    </row>
    <row r="210" spans="1:6" x14ac:dyDescent="0.25">
      <c r="A210" s="99" t="s">
        <v>306</v>
      </c>
      <c r="B210" s="49">
        <v>292948819</v>
      </c>
      <c r="C210" s="49">
        <v>200052000</v>
      </c>
      <c r="D210" s="49">
        <v>109096402.91985001</v>
      </c>
      <c r="E210" s="50">
        <f>VLOOKUP($A210,'Data shares'!$C:$FA,154)*100</f>
        <v>69.599999999999994</v>
      </c>
      <c r="F210" s="173">
        <f>C210/B210</f>
        <v>0.68289061783177896</v>
      </c>
    </row>
    <row r="211" spans="1:6" x14ac:dyDescent="0.25">
      <c r="A211" s="99" t="s">
        <v>590</v>
      </c>
      <c r="B211" s="49">
        <v>3136562346</v>
      </c>
      <c r="C211" s="49">
        <v>1811730500</v>
      </c>
      <c r="D211" s="49">
        <v>1022147742.89135</v>
      </c>
      <c r="E211" s="50">
        <f>VLOOKUP($A211,'Data shares'!$C:$FA,154)*100</f>
        <v>58.730000000000004</v>
      </c>
      <c r="F211" s="173">
        <f>C211/B211</f>
        <v>0.57761660701897621</v>
      </c>
    </row>
    <row r="212" spans="1:6" x14ac:dyDescent="0.25">
      <c r="A212" s="99" t="s">
        <v>557</v>
      </c>
      <c r="B212" s="49">
        <v>32617803</v>
      </c>
      <c r="C212" s="49">
        <v>18611100</v>
      </c>
      <c r="D212" s="49">
        <v>10571121.992952</v>
      </c>
      <c r="E212" s="50"/>
      <c r="F212" s="173">
        <f>C212/B212</f>
        <v>0.5705810412798189</v>
      </c>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2">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I9" sqref="I9"/>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4.8099999999999996</v>
      </c>
      <c r="F6" s="49">
        <f>VLOOKUP($A6,'Data shares'!$C:$FA,129)</f>
        <v>469750</v>
      </c>
      <c r="G6" s="17"/>
    </row>
    <row r="7" spans="1:7" x14ac:dyDescent="0.25">
      <c r="A7" s="101" t="s">
        <v>228</v>
      </c>
      <c r="B7" s="17">
        <v>292206563</v>
      </c>
      <c r="C7" s="17">
        <v>71903525</v>
      </c>
      <c r="D7" s="17">
        <f t="shared" ref="D7:D70" si="0">C7</f>
        <v>71903525</v>
      </c>
      <c r="E7" s="49">
        <f>VLOOKUP($A7,'Data shares'!$C:$FA,128)*100</f>
        <v>4.18</v>
      </c>
      <c r="F7" s="49">
        <f>VLOOKUP($A7,'Data shares'!$C:$FA,129)</f>
        <v>2123800</v>
      </c>
      <c r="G7" s="17"/>
    </row>
    <row r="8" spans="1:7" x14ac:dyDescent="0.25">
      <c r="A8" s="101" t="s">
        <v>200</v>
      </c>
      <c r="B8" s="17">
        <v>417418754</v>
      </c>
      <c r="C8" s="17">
        <v>109662000</v>
      </c>
      <c r="D8" s="17">
        <f t="shared" si="0"/>
        <v>109662000</v>
      </c>
      <c r="E8" s="49">
        <f>VLOOKUP($A8,'Data shares'!$C:$FA,128)*100</f>
        <v>12.709999999999999</v>
      </c>
      <c r="F8" s="49">
        <f>VLOOKUP($A8,'Data shares'!$C:$FA,129)</f>
        <v>6718950</v>
      </c>
      <c r="G8" s="17"/>
    </row>
    <row r="9" spans="1:7" x14ac:dyDescent="0.25">
      <c r="A9" s="101" t="s">
        <v>214</v>
      </c>
      <c r="B9" s="17">
        <v>30110093</v>
      </c>
      <c r="C9" s="17">
        <v>10703050</v>
      </c>
      <c r="D9" s="17">
        <f t="shared" si="0"/>
        <v>10703050</v>
      </c>
      <c r="E9" s="49">
        <f>VLOOKUP($A9,'Data shares'!$C:$FA,128)*100</f>
        <v>2.0299999999999998</v>
      </c>
      <c r="F9" s="49">
        <f>VLOOKUP($A9,'Data shares'!$C:$FA,129)</f>
        <v>248250</v>
      </c>
      <c r="G9" s="17"/>
    </row>
    <row r="10" spans="1:7" x14ac:dyDescent="0.25">
      <c r="A10" s="101" t="s">
        <v>243</v>
      </c>
      <c r="B10" s="17">
        <v>80699820</v>
      </c>
      <c r="C10" s="17">
        <v>65367500</v>
      </c>
      <c r="D10" s="17">
        <f t="shared" si="0"/>
        <v>65367500</v>
      </c>
      <c r="E10" s="49">
        <f>VLOOKUP($A10,'Data shares'!$C:$FA,128)*100</f>
        <v>2.74</v>
      </c>
      <c r="F10" s="49">
        <f>VLOOKUP($A10,'Data shares'!$C:$FA,129)</f>
        <v>267500</v>
      </c>
      <c r="G10" s="17"/>
    </row>
    <row r="11" spans="1:7" x14ac:dyDescent="0.25">
      <c r="A11" s="101" t="s">
        <v>231</v>
      </c>
      <c r="B11" s="17">
        <v>80556813</v>
      </c>
      <c r="C11" s="17">
        <v>62967200</v>
      </c>
      <c r="D11" s="17">
        <f t="shared" si="0"/>
        <v>62967200</v>
      </c>
      <c r="E11" s="49">
        <f>VLOOKUP($A11,'Data shares'!$C:$FA,128)*100</f>
        <v>9.120000000000001</v>
      </c>
      <c r="F11" s="49">
        <f>VLOOKUP($A11,'Data shares'!$C:$FA,129)</f>
        <v>2952600</v>
      </c>
      <c r="G11" s="17"/>
    </row>
    <row r="12" spans="1:7" x14ac:dyDescent="0.25">
      <c r="A12" s="101" t="s">
        <v>195</v>
      </c>
      <c r="B12" s="17">
        <v>23823080</v>
      </c>
      <c r="C12" s="17">
        <v>2862400</v>
      </c>
      <c r="D12" s="17">
        <f t="shared" si="0"/>
        <v>2862400</v>
      </c>
      <c r="E12" s="49">
        <f>VLOOKUP($A12,'Data shares'!$C:$FA,128)*100</f>
        <v>1.8599999999999999</v>
      </c>
      <c r="F12" s="49">
        <f>VLOOKUP($A12,'Data shares'!$C:$FA,129)</f>
        <v>46875</v>
      </c>
      <c r="G12" s="17"/>
    </row>
    <row r="13" spans="1:7" x14ac:dyDescent="0.25">
      <c r="A13" s="101" t="s">
        <v>304</v>
      </c>
      <c r="B13" s="17">
        <v>223492679</v>
      </c>
      <c r="C13" s="17">
        <v>98465300</v>
      </c>
      <c r="D13" s="17">
        <f t="shared" si="0"/>
        <v>98465300</v>
      </c>
      <c r="E13" s="49">
        <f>VLOOKUP($A13,'Data shares'!$C:$FA,128)*100</f>
        <v>5.91</v>
      </c>
      <c r="F13" s="49">
        <f>VLOOKUP($A13,'Data shares'!$C:$FA,129)</f>
        <v>5385450</v>
      </c>
      <c r="G13" s="17"/>
    </row>
    <row r="14" spans="1:7" x14ac:dyDescent="0.25">
      <c r="A14" s="101" t="s">
        <v>167</v>
      </c>
      <c r="B14" s="17">
        <v>282181803</v>
      </c>
      <c r="C14" s="17">
        <v>95526000</v>
      </c>
      <c r="D14" s="17">
        <f t="shared" si="0"/>
        <v>95526000</v>
      </c>
      <c r="E14" s="49">
        <f>VLOOKUP($A14,'Data shares'!$C:$FA,128)*100</f>
        <v>11.84</v>
      </c>
      <c r="F14" s="49">
        <f>VLOOKUP($A14,'Data shares'!$C:$FA,129)</f>
        <v>16110000</v>
      </c>
      <c r="G14" s="17"/>
    </row>
    <row r="15" spans="1:7" x14ac:dyDescent="0.25">
      <c r="A15" s="101" t="s">
        <v>222</v>
      </c>
      <c r="B15" s="17">
        <v>214194964</v>
      </c>
      <c r="C15" s="17">
        <v>37437400</v>
      </c>
      <c r="D15" s="17">
        <f t="shared" si="0"/>
        <v>37437400</v>
      </c>
      <c r="E15" s="49">
        <f>VLOOKUP($A15,'Data shares'!$C:$FA,128)*100</f>
        <v>6.98</v>
      </c>
      <c r="F15" s="49">
        <f>VLOOKUP($A15,'Data shares'!$C:$FA,129)</f>
        <v>1093050</v>
      </c>
      <c r="G15" s="17"/>
    </row>
    <row r="16" spans="1:7" x14ac:dyDescent="0.25">
      <c r="A16" s="101" t="s">
        <v>290</v>
      </c>
      <c r="B16" s="17">
        <v>31601465</v>
      </c>
      <c r="C16" s="17">
        <v>13192000</v>
      </c>
      <c r="D16" s="17">
        <f t="shared" si="0"/>
        <v>13192000</v>
      </c>
      <c r="E16" s="49">
        <f>VLOOKUP($A16,'Data shares'!$C:$FA,128)*100</f>
        <v>3.2</v>
      </c>
      <c r="F16" s="49">
        <f>VLOOKUP($A16,'Data shares'!$C:$FA,129)</f>
        <v>252000</v>
      </c>
      <c r="G16" s="17"/>
    </row>
    <row r="17" spans="1:7" x14ac:dyDescent="0.25">
      <c r="A17" s="101" t="s">
        <v>500</v>
      </c>
      <c r="B17" s="17">
        <v>24930381</v>
      </c>
      <c r="C17" s="17">
        <v>1925625</v>
      </c>
      <c r="D17" s="17">
        <f t="shared" si="0"/>
        <v>1925625</v>
      </c>
      <c r="E17" s="49">
        <f>VLOOKUP($A17,'Data shares'!$C:$FA,128)*100</f>
        <v>8.77</v>
      </c>
      <c r="F17" s="49">
        <f>VLOOKUP($A17,'Data shares'!$C:$FA,129)</f>
        <v>3132500</v>
      </c>
      <c r="G17" s="17"/>
    </row>
    <row r="18" spans="1:7" x14ac:dyDescent="0.25">
      <c r="A18" s="101" t="s">
        <v>491</v>
      </c>
      <c r="B18" s="17">
        <v>53841317</v>
      </c>
      <c r="C18" s="17">
        <v>9268750</v>
      </c>
      <c r="D18" s="17">
        <f t="shared" si="0"/>
        <v>9268750</v>
      </c>
      <c r="E18" s="49">
        <f>VLOOKUP($A18,'Data shares'!$C:$FA,128)*100</f>
        <v>7.42</v>
      </c>
      <c r="F18" s="49">
        <f>VLOOKUP($A18,'Data shares'!$C:$FA,129)</f>
        <v>921000</v>
      </c>
      <c r="G18" s="17"/>
    </row>
    <row r="19" spans="1:7" x14ac:dyDescent="0.25">
      <c r="A19" s="101" t="s">
        <v>257</v>
      </c>
      <c r="B19" s="17">
        <v>43771086</v>
      </c>
      <c r="C19" s="17">
        <v>2865850</v>
      </c>
      <c r="D19" s="17">
        <f t="shared" si="0"/>
        <v>2865850</v>
      </c>
      <c r="E19" s="49">
        <f>VLOOKUP($A19,'Data shares'!$C:$FA,128)*100</f>
        <v>1.8800000000000001</v>
      </c>
      <c r="F19" s="49">
        <f>VLOOKUP($A19,'Data shares'!$C:$FA,129)</f>
        <v>106000</v>
      </c>
      <c r="G19" s="17"/>
    </row>
    <row r="20" spans="1:7" x14ac:dyDescent="0.25">
      <c r="A20" s="101" t="s">
        <v>259</v>
      </c>
      <c r="B20" s="17">
        <v>12838406</v>
      </c>
      <c r="C20" s="17">
        <v>3561800</v>
      </c>
      <c r="D20" s="17">
        <f t="shared" si="0"/>
        <v>3561800</v>
      </c>
      <c r="E20" s="49">
        <f>VLOOKUP($A20,'Data shares'!$C:$FA,128)*100</f>
        <v>5.37</v>
      </c>
      <c r="F20" s="49">
        <f>VLOOKUP($A20,'Data shares'!$C:$FA,129)</f>
        <v>124560</v>
      </c>
      <c r="G20" s="17"/>
    </row>
    <row r="21" spans="1:7" x14ac:dyDescent="0.25">
      <c r="A21" s="101" t="s">
        <v>212</v>
      </c>
      <c r="B21" s="17">
        <v>393764205</v>
      </c>
      <c r="C21" s="17">
        <v>124730000</v>
      </c>
      <c r="D21" s="17">
        <f t="shared" si="0"/>
        <v>124730000</v>
      </c>
      <c r="E21" s="49">
        <f>VLOOKUP($A21,'Data shares'!$C:$FA,128)*100</f>
        <v>12.64</v>
      </c>
      <c r="F21" s="49">
        <f>VLOOKUP($A21,'Data shares'!$C:$FA,129)</f>
        <v>7465000</v>
      </c>
      <c r="G21" s="17"/>
    </row>
    <row r="22" spans="1:7" x14ac:dyDescent="0.25">
      <c r="A22" s="101" t="s">
        <v>209</v>
      </c>
      <c r="B22" s="17">
        <v>27768950</v>
      </c>
      <c r="C22" s="17">
        <v>5371100</v>
      </c>
      <c r="D22" s="17">
        <f t="shared" si="0"/>
        <v>5371100</v>
      </c>
      <c r="E22" s="49">
        <f>VLOOKUP($A22,'Data shares'!$C:$FA,128)*100</f>
        <v>8.68</v>
      </c>
      <c r="F22" s="49">
        <f>VLOOKUP($A22,'Data shares'!$C:$FA,129)</f>
        <v>179800</v>
      </c>
      <c r="G22" s="17"/>
    </row>
    <row r="23" spans="1:7" x14ac:dyDescent="0.25">
      <c r="A23" s="101" t="s">
        <v>501</v>
      </c>
      <c r="B23" s="17">
        <v>155792872</v>
      </c>
      <c r="C23" s="17">
        <v>50166406</v>
      </c>
      <c r="D23" s="17">
        <f t="shared" si="0"/>
        <v>50166406</v>
      </c>
      <c r="E23" s="49">
        <f>VLOOKUP($A23,'Data shares'!$C:$FA,128)*100</f>
        <v>6.8599999999999994</v>
      </c>
      <c r="F23" s="49">
        <f>VLOOKUP($A23,'Data shares'!$C:$FA,129)</f>
        <v>1555000</v>
      </c>
      <c r="G23" s="17"/>
    </row>
    <row r="24" spans="1:7" x14ac:dyDescent="0.25">
      <c r="A24" s="101" t="s">
        <v>276</v>
      </c>
      <c r="B24" s="17">
        <v>678857930</v>
      </c>
      <c r="C24" s="17">
        <v>84677374</v>
      </c>
      <c r="D24" s="17">
        <f t="shared" si="0"/>
        <v>84677374</v>
      </c>
      <c r="E24" s="49">
        <f>VLOOKUP($A24,'Data shares'!$C:$FA,128)*100</f>
        <v>11.24</v>
      </c>
      <c r="F24" s="49">
        <f>VLOOKUP($A24,'Data shares'!$C:$FA,129)</f>
        <v>8721000</v>
      </c>
      <c r="G24" s="17"/>
    </row>
    <row r="25" spans="1:7" x14ac:dyDescent="0.25">
      <c r="A25" s="101" t="s">
        <v>210</v>
      </c>
      <c r="B25" s="17">
        <v>14114257</v>
      </c>
      <c r="C25" s="17">
        <v>11000000</v>
      </c>
      <c r="D25" s="17">
        <f t="shared" si="0"/>
        <v>11000000</v>
      </c>
      <c r="E25" s="49">
        <f>VLOOKUP($A25,'Data shares'!$C:$FA,128)*100</f>
        <v>8.68</v>
      </c>
      <c r="F25" s="49">
        <f>VLOOKUP($A25,'Data shares'!$C:$FA,129)</f>
        <v>179800</v>
      </c>
      <c r="G25" s="17"/>
    </row>
    <row r="26" spans="1:7" x14ac:dyDescent="0.25">
      <c r="A26" s="101" t="s">
        <v>267</v>
      </c>
      <c r="B26" s="17">
        <v>229794455</v>
      </c>
      <c r="C26" s="17">
        <v>133289800</v>
      </c>
      <c r="D26" s="17">
        <f t="shared" si="0"/>
        <v>133289800</v>
      </c>
      <c r="E26" s="49">
        <f>VLOOKUP($A26,'Data shares'!$C:$FA,128)*100</f>
        <v>4.84</v>
      </c>
      <c r="F26" s="49">
        <f>VLOOKUP($A26,'Data shares'!$C:$FA,129)</f>
        <v>13898250</v>
      </c>
      <c r="G26" s="17"/>
    </row>
    <row r="27" spans="1:7" x14ac:dyDescent="0.25">
      <c r="A27" s="101" t="s">
        <v>533</v>
      </c>
      <c r="B27" s="17">
        <v>61337685</v>
      </c>
      <c r="C27" s="17">
        <v>24741600</v>
      </c>
      <c r="D27" s="17">
        <f t="shared" si="0"/>
        <v>24741600</v>
      </c>
      <c r="E27" s="49">
        <f>VLOOKUP($A27,'Data shares'!$C:$FA,128)*100</f>
        <v>5.92</v>
      </c>
      <c r="F27" s="49">
        <f>VLOOKUP($A27,'Data shares'!$C:$FA,129)</f>
        <v>803675</v>
      </c>
      <c r="G27" s="17"/>
    </row>
    <row r="28" spans="1:7" x14ac:dyDescent="0.25">
      <c r="A28" s="101" t="s">
        <v>502</v>
      </c>
      <c r="B28" s="17">
        <v>5165920</v>
      </c>
      <c r="C28" s="17">
        <v>1179400</v>
      </c>
      <c r="D28" s="17">
        <f t="shared" si="0"/>
        <v>1179400</v>
      </c>
      <c r="E28" s="49">
        <f>VLOOKUP($A28,'Data shares'!$C:$FA,128)*100</f>
        <v>11.08</v>
      </c>
      <c r="F28" s="49">
        <f>VLOOKUP($A28,'Data shares'!$C:$FA,129)</f>
        <v>285000</v>
      </c>
      <c r="G28" s="17"/>
    </row>
    <row r="29" spans="1:7" x14ac:dyDescent="0.25">
      <c r="A29" s="101" t="s">
        <v>474</v>
      </c>
      <c r="B29" s="17">
        <v>7339737</v>
      </c>
      <c r="C29" s="17">
        <v>979625</v>
      </c>
      <c r="D29" s="17">
        <f t="shared" si="0"/>
        <v>979625</v>
      </c>
      <c r="E29" s="49">
        <f>VLOOKUP($A29,'Data shares'!$C:$FA,128)*100</f>
        <v>8.870000000000001</v>
      </c>
      <c r="F29" s="49">
        <f>VLOOKUP($A29,'Data shares'!$C:$FA,129)</f>
        <v>320025</v>
      </c>
      <c r="G29" s="17"/>
    </row>
    <row r="30" spans="1:7" x14ac:dyDescent="0.25">
      <c r="A30" s="101" t="s">
        <v>158</v>
      </c>
      <c r="B30" s="17">
        <v>17078428</v>
      </c>
      <c r="C30" s="17">
        <v>3648750</v>
      </c>
      <c r="D30" s="17">
        <f t="shared" si="0"/>
        <v>3648750</v>
      </c>
      <c r="E30" s="49">
        <f>VLOOKUP($A30,'Data shares'!$C:$FA,128)*100</f>
        <v>4.0599999999999996</v>
      </c>
      <c r="F30" s="49">
        <f>VLOOKUP($A30,'Data shares'!$C:$FA,129)</f>
        <v>2861300</v>
      </c>
      <c r="G30" s="17"/>
    </row>
    <row r="31" spans="1:7" x14ac:dyDescent="0.25">
      <c r="A31" s="101" t="s">
        <v>268</v>
      </c>
      <c r="B31" s="17">
        <v>948263976</v>
      </c>
      <c r="C31" s="17">
        <v>170042400</v>
      </c>
      <c r="D31" s="17">
        <f t="shared" si="0"/>
        <v>170042400</v>
      </c>
      <c r="E31" s="49">
        <f>VLOOKUP($A31,'Data shares'!$C:$FA,128)*100</f>
        <v>8.75</v>
      </c>
      <c r="F31" s="49">
        <f>VLOOKUP($A31,'Data shares'!$C:$FA,129)</f>
        <v>7582500</v>
      </c>
      <c r="G31" s="17"/>
    </row>
    <row r="32" spans="1:7" x14ac:dyDescent="0.25">
      <c r="A32" s="101" t="s">
        <v>557</v>
      </c>
      <c r="B32" s="17">
        <v>51441633</v>
      </c>
      <c r="C32" s="17">
        <v>26329600</v>
      </c>
      <c r="D32" s="17">
        <f t="shared" si="0"/>
        <v>26329600</v>
      </c>
      <c r="E32" s="49">
        <f>VLOOKUP($A32,'Data shares'!$C:$FA,128)*100</f>
        <v>6.5600000000000005</v>
      </c>
      <c r="F32" s="49">
        <f>VLOOKUP($A32,'Data shares'!$C:$FA,129)</f>
        <v>689400</v>
      </c>
      <c r="G32" s="17"/>
    </row>
    <row r="33" spans="1:7" x14ac:dyDescent="0.25">
      <c r="A33" s="101" t="s">
        <v>549</v>
      </c>
      <c r="B33" s="17">
        <v>319287188</v>
      </c>
      <c r="C33" s="17">
        <v>149780000</v>
      </c>
      <c r="D33" s="17">
        <f t="shared" si="0"/>
        <v>149780000</v>
      </c>
      <c r="E33" s="49">
        <f>VLOOKUP($A33,'Data shares'!$C:$FA,128)*100</f>
        <v>13.780000000000001</v>
      </c>
      <c r="F33" s="49">
        <f>VLOOKUP($A33,'Data shares'!$C:$FA,129)</f>
        <v>919811775</v>
      </c>
      <c r="G33" s="17"/>
    </row>
    <row r="34" spans="1:7" x14ac:dyDescent="0.25">
      <c r="A34" s="101" t="s">
        <v>536</v>
      </c>
      <c r="B34" s="17">
        <v>57585215</v>
      </c>
      <c r="C34" s="17">
        <v>5314000</v>
      </c>
      <c r="D34" s="17">
        <f t="shared" si="0"/>
        <v>5314000</v>
      </c>
      <c r="E34" s="49">
        <f>VLOOKUP($A34,'Data shares'!$C:$FA,128)*100</f>
        <v>8.35</v>
      </c>
      <c r="F34" s="49">
        <f>VLOOKUP($A34,'Data shares'!$C:$FA,129)</f>
        <v>1263200</v>
      </c>
      <c r="G34" s="17"/>
    </row>
    <row r="35" spans="1:7" x14ac:dyDescent="0.25">
      <c r="A35" s="101" t="s">
        <v>270</v>
      </c>
      <c r="B35" s="17">
        <v>1178038</v>
      </c>
      <c r="C35" s="17">
        <v>100890</v>
      </c>
      <c r="D35" s="17">
        <f t="shared" si="0"/>
        <v>100890</v>
      </c>
      <c r="E35" s="49">
        <f>VLOOKUP($A35,'Data shares'!$C:$FA,128)*100</f>
        <v>6.81</v>
      </c>
      <c r="F35" s="49">
        <f>VLOOKUP($A35,'Data shares'!$C:$FA,129)</f>
        <v>16905</v>
      </c>
      <c r="G35" s="17"/>
    </row>
    <row r="36" spans="1:7" x14ac:dyDescent="0.25">
      <c r="A36" s="101" t="s">
        <v>258</v>
      </c>
      <c r="B36" s="17">
        <v>13335005</v>
      </c>
      <c r="C36" s="17">
        <v>5970600</v>
      </c>
      <c r="D36" s="17">
        <f t="shared" si="0"/>
        <v>5970600</v>
      </c>
      <c r="E36" s="49">
        <f>VLOOKUP($A36,'Data shares'!$C:$FA,128)*100</f>
        <v>1.8800000000000001</v>
      </c>
      <c r="F36" s="49">
        <f>VLOOKUP($A36,'Data shares'!$C:$FA,129)</f>
        <v>106000</v>
      </c>
      <c r="G36" s="17"/>
    </row>
    <row r="37" spans="1:7" x14ac:dyDescent="0.25">
      <c r="A37" s="101" t="s">
        <v>301</v>
      </c>
      <c r="B37" s="17">
        <v>14428803</v>
      </c>
      <c r="C37" s="17">
        <v>2171400</v>
      </c>
      <c r="D37" s="17">
        <f t="shared" si="0"/>
        <v>2171400</v>
      </c>
      <c r="E37" s="49">
        <f>VLOOKUP($A37,'Data shares'!$C:$FA,128)*100</f>
        <v>1.87</v>
      </c>
      <c r="F37" s="49">
        <f>VLOOKUP($A37,'Data shares'!$C:$FA,129)</f>
        <v>122675</v>
      </c>
      <c r="G37" s="17"/>
    </row>
    <row r="38" spans="1:7" x14ac:dyDescent="0.25">
      <c r="A38" s="101" t="s">
        <v>283</v>
      </c>
      <c r="B38" s="17">
        <v>747713393</v>
      </c>
      <c r="C38" s="17">
        <v>158166000</v>
      </c>
      <c r="D38" s="17">
        <f t="shared" si="0"/>
        <v>158166000</v>
      </c>
      <c r="E38" s="49">
        <f>VLOOKUP($A38,'Data shares'!$C:$FA,128)*100</f>
        <v>18.459999999999997</v>
      </c>
      <c r="F38" s="49">
        <f>VLOOKUP($A38,'Data shares'!$C:$FA,129)</f>
        <v>11376000</v>
      </c>
      <c r="G38" s="17"/>
    </row>
    <row r="39" spans="1:7" x14ac:dyDescent="0.25">
      <c r="A39" s="101" t="s">
        <v>281</v>
      </c>
      <c r="B39" s="17">
        <v>648405756</v>
      </c>
      <c r="C39" s="17">
        <v>61815500</v>
      </c>
      <c r="D39" s="17">
        <f t="shared" si="0"/>
        <v>61815500</v>
      </c>
      <c r="E39" s="49">
        <f>VLOOKUP($A39,'Data shares'!$C:$FA,128)*100</f>
        <v>11.67</v>
      </c>
      <c r="F39" s="49">
        <f>VLOOKUP($A39,'Data shares'!$C:$FA,129)</f>
        <v>10210500</v>
      </c>
      <c r="G39" s="17"/>
    </row>
    <row r="40" spans="1:7" x14ac:dyDescent="0.25">
      <c r="A40" s="101" t="s">
        <v>198</v>
      </c>
      <c r="B40" s="17">
        <v>79546680</v>
      </c>
      <c r="C40" s="17">
        <v>13283750</v>
      </c>
      <c r="D40" s="17">
        <f t="shared" si="0"/>
        <v>13283750</v>
      </c>
      <c r="E40" s="49">
        <f>VLOOKUP($A40,'Data shares'!$C:$FA,128)*100</f>
        <v>5.7799999999999994</v>
      </c>
      <c r="F40" s="49">
        <f>VLOOKUP($A40,'Data shares'!$C:$FA,129)</f>
        <v>651250</v>
      </c>
      <c r="G40" s="17"/>
    </row>
    <row r="41" spans="1:7" x14ac:dyDescent="0.25">
      <c r="A41" s="101" t="s">
        <v>299</v>
      </c>
      <c r="B41" s="17">
        <v>44634693</v>
      </c>
      <c r="C41" s="17">
        <v>3805500</v>
      </c>
      <c r="D41" s="17">
        <f t="shared" si="0"/>
        <v>3805500</v>
      </c>
      <c r="E41" s="49">
        <f>VLOOKUP($A41,'Data shares'!$C:$FA,128)*100</f>
        <v>11.559999999999999</v>
      </c>
      <c r="F41" s="49">
        <f>VLOOKUP($A41,'Data shares'!$C:$FA,129)</f>
        <v>175525</v>
      </c>
      <c r="G41" s="17"/>
    </row>
    <row r="42" spans="1:7" x14ac:dyDescent="0.25">
      <c r="A42" s="101" t="s">
        <v>273</v>
      </c>
      <c r="B42" s="17">
        <v>232357926</v>
      </c>
      <c r="C42" s="17">
        <v>67053000</v>
      </c>
      <c r="D42" s="17">
        <f t="shared" si="0"/>
        <v>67053000</v>
      </c>
      <c r="E42" s="49">
        <f>VLOOKUP($A42,'Data shares'!$C:$FA,128)*100</f>
        <v>12.120000000000001</v>
      </c>
      <c r="F42" s="49">
        <f>VLOOKUP($A42,'Data shares'!$C:$FA,129)</f>
        <v>9562800</v>
      </c>
      <c r="G42" s="17"/>
    </row>
    <row r="43" spans="1:7" x14ac:dyDescent="0.25">
      <c r="A43" s="101" t="s">
        <v>207</v>
      </c>
      <c r="B43" s="17">
        <v>124016568</v>
      </c>
      <c r="C43" s="17">
        <v>57530550</v>
      </c>
      <c r="D43" s="17">
        <f t="shared" si="0"/>
        <v>57530550</v>
      </c>
      <c r="E43" s="49">
        <f>VLOOKUP($A43,'Data shares'!$C:$FA,128)*100</f>
        <v>5.86</v>
      </c>
      <c r="F43" s="49">
        <f>VLOOKUP($A43,'Data shares'!$C:$FA,129)</f>
        <v>2541000</v>
      </c>
      <c r="G43" s="17"/>
    </row>
    <row r="44" spans="1:7" x14ac:dyDescent="0.25">
      <c r="A44" s="101" t="s">
        <v>191</v>
      </c>
      <c r="B44" s="17">
        <v>92946457</v>
      </c>
      <c r="C44" s="17">
        <v>36478000</v>
      </c>
      <c r="D44" s="17">
        <f t="shared" si="0"/>
        <v>36478000</v>
      </c>
      <c r="E44" s="49">
        <f>VLOOKUP($A44,'Data shares'!$C:$FA,128)*100</f>
        <v>5.09</v>
      </c>
      <c r="F44" s="49">
        <f>VLOOKUP($A44,'Data shares'!$C:$FA,129)</f>
        <v>2322500</v>
      </c>
      <c r="G44" s="17"/>
    </row>
    <row r="45" spans="1:7" x14ac:dyDescent="0.25">
      <c r="A45" s="101" t="s">
        <v>288</v>
      </c>
      <c r="B45" s="17">
        <v>218440087</v>
      </c>
      <c r="C45" s="17">
        <v>44080400</v>
      </c>
      <c r="D45" s="17">
        <f t="shared" si="0"/>
        <v>44080400</v>
      </c>
      <c r="E45" s="49">
        <f>VLOOKUP($A45,'Data shares'!$C:$FA,128)*100</f>
        <v>13.370000000000001</v>
      </c>
      <c r="F45" s="49">
        <f>VLOOKUP($A45,'Data shares'!$C:$FA,129)</f>
        <v>1079400</v>
      </c>
      <c r="G45" s="17"/>
    </row>
    <row r="46" spans="1:7" x14ac:dyDescent="0.25">
      <c r="A46" s="101" t="s">
        <v>275</v>
      </c>
      <c r="B46" s="17">
        <v>591377974</v>
      </c>
      <c r="C46" s="17">
        <v>493488000</v>
      </c>
      <c r="D46" s="17">
        <f t="shared" si="0"/>
        <v>493488000</v>
      </c>
      <c r="E46" s="49">
        <f>VLOOKUP($A46,'Data shares'!$C:$FA,128)*100</f>
        <v>14.04</v>
      </c>
      <c r="F46" s="49">
        <f>VLOOKUP($A46,'Data shares'!$C:$FA,129)</f>
        <v>29792000</v>
      </c>
      <c r="G46" s="17"/>
    </row>
    <row r="47" spans="1:7" x14ac:dyDescent="0.25">
      <c r="A47" s="101" t="s">
        <v>277</v>
      </c>
      <c r="B47" s="17">
        <v>10116165</v>
      </c>
      <c r="C47" s="17">
        <v>7378910</v>
      </c>
      <c r="D47" s="17">
        <f t="shared" si="0"/>
        <v>7378910</v>
      </c>
      <c r="E47" s="49">
        <f>VLOOKUP($A47,'Data shares'!$C:$FA,128)*100</f>
        <v>2.42</v>
      </c>
      <c r="F47" s="49">
        <f>VLOOKUP($A47,'Data shares'!$C:$FA,129)</f>
        <v>64350</v>
      </c>
      <c r="G47" s="17"/>
    </row>
    <row r="48" spans="1:7" x14ac:dyDescent="0.25">
      <c r="A48" s="101" t="s">
        <v>196</v>
      </c>
      <c r="B48" s="17">
        <v>134484114</v>
      </c>
      <c r="C48" s="17">
        <v>73278000</v>
      </c>
      <c r="D48" s="17">
        <f t="shared" si="0"/>
        <v>73278000</v>
      </c>
      <c r="E48" s="49">
        <f>VLOOKUP($A48,'Data shares'!$C:$FA,128)*100</f>
        <v>15.76</v>
      </c>
      <c r="F48" s="49">
        <f>VLOOKUP($A48,'Data shares'!$C:$FA,129)</f>
        <v>20979000</v>
      </c>
      <c r="G48" s="17"/>
    </row>
    <row r="49" spans="1:7" x14ac:dyDescent="0.25">
      <c r="A49" s="101" t="s">
        <v>287</v>
      </c>
      <c r="B49" s="17">
        <v>40005132</v>
      </c>
      <c r="C49" s="17">
        <v>6264400</v>
      </c>
      <c r="D49" s="17">
        <f t="shared" si="0"/>
        <v>6264400</v>
      </c>
      <c r="E49" s="49">
        <f>VLOOKUP($A49,'Data shares'!$C:$FA,128)*100</f>
        <v>4.3600000000000003</v>
      </c>
      <c r="F49" s="49">
        <f>VLOOKUP($A49,'Data shares'!$C:$FA,129)</f>
        <v>151000</v>
      </c>
      <c r="G49" s="17"/>
    </row>
    <row r="50" spans="1:7" x14ac:dyDescent="0.25">
      <c r="A50" s="101" t="s">
        <v>553</v>
      </c>
      <c r="B50" s="17">
        <v>10595418</v>
      </c>
      <c r="C50" s="17">
        <v>250250</v>
      </c>
      <c r="D50" s="17">
        <f t="shared" si="0"/>
        <v>250250</v>
      </c>
      <c r="E50" s="49">
        <f>VLOOKUP($A50,'Data shares'!$C:$FA,128)*100</f>
        <v>11.35</v>
      </c>
      <c r="F50" s="49">
        <f>VLOOKUP($A50,'Data shares'!$C:$FA,129)</f>
        <v>226750</v>
      </c>
      <c r="G50" s="17"/>
    </row>
    <row r="51" spans="1:7" x14ac:dyDescent="0.25">
      <c r="A51" s="101" t="s">
        <v>519</v>
      </c>
      <c r="B51" s="17">
        <v>9516271</v>
      </c>
      <c r="C51" s="17">
        <v>1000800</v>
      </c>
      <c r="D51" s="17">
        <f t="shared" si="0"/>
        <v>1000800</v>
      </c>
      <c r="E51" s="49">
        <f>VLOOKUP($A51,'Data shares'!$C:$FA,128)*100</f>
        <v>7.35</v>
      </c>
      <c r="F51" s="49">
        <f>VLOOKUP($A51,'Data shares'!$C:$FA,129)</f>
        <v>109625</v>
      </c>
      <c r="G51" s="17"/>
    </row>
    <row r="52" spans="1:7" x14ac:dyDescent="0.25">
      <c r="A52" s="101" t="s">
        <v>550</v>
      </c>
      <c r="B52" s="17">
        <v>137684181</v>
      </c>
      <c r="C52" s="17">
        <v>42696000</v>
      </c>
      <c r="D52" s="17">
        <f t="shared" si="0"/>
        <v>42696000</v>
      </c>
      <c r="E52" s="49">
        <f>VLOOKUP($A52,'Data shares'!$C:$FA,128)*100</f>
        <v>6.2799999999999994</v>
      </c>
      <c r="F52" s="49">
        <f>VLOOKUP($A52,'Data shares'!$C:$FA,129)</f>
        <v>4628000</v>
      </c>
      <c r="G52" s="17"/>
    </row>
    <row r="53" spans="1:7" x14ac:dyDescent="0.25">
      <c r="A53" s="101" t="s">
        <v>284</v>
      </c>
      <c r="B53" s="17">
        <v>2702190</v>
      </c>
      <c r="C53" s="17">
        <v>250575</v>
      </c>
      <c r="D53" s="17">
        <f t="shared" si="0"/>
        <v>250575</v>
      </c>
      <c r="E53" s="49">
        <f>VLOOKUP($A53,'Data shares'!$C:$FA,128)*100</f>
        <v>10.47</v>
      </c>
      <c r="F53" s="49">
        <f>VLOOKUP($A53,'Data shares'!$C:$FA,129)</f>
        <v>32550</v>
      </c>
      <c r="G53" s="17"/>
    </row>
    <row r="54" spans="1:7" x14ac:dyDescent="0.25">
      <c r="A54" s="101" t="s">
        <v>488</v>
      </c>
      <c r="B54" s="17">
        <v>5499709</v>
      </c>
      <c r="C54" s="17">
        <v>1097600</v>
      </c>
      <c r="D54" s="17">
        <f t="shared" si="0"/>
        <v>1097600</v>
      </c>
      <c r="E54" s="49">
        <f>VLOOKUP($A54,'Data shares'!$C:$FA,128)*100</f>
        <v>8.33</v>
      </c>
      <c r="F54" s="49">
        <f>VLOOKUP($A54,'Data shares'!$C:$FA,129)</f>
        <v>165750</v>
      </c>
      <c r="G54" s="17"/>
    </row>
    <row r="55" spans="1:7" x14ac:dyDescent="0.25">
      <c r="A55" s="101" t="s">
        <v>523</v>
      </c>
      <c r="B55" s="17">
        <v>118085392</v>
      </c>
      <c r="C55" s="17">
        <v>6549400</v>
      </c>
      <c r="D55" s="17">
        <f t="shared" si="0"/>
        <v>6549400</v>
      </c>
      <c r="E55" s="49">
        <f>VLOOKUP($A55,'Data shares'!$C:$FA,128)*100</f>
        <v>7.61</v>
      </c>
      <c r="F55" s="49">
        <f>VLOOKUP($A55,'Data shares'!$C:$FA,129)</f>
        <v>4154400</v>
      </c>
      <c r="G55" s="17"/>
    </row>
    <row r="56" spans="1:7" x14ac:dyDescent="0.25">
      <c r="A56" s="101" t="s">
        <v>485</v>
      </c>
      <c r="B56" s="17">
        <v>6917069</v>
      </c>
      <c r="C56" s="17">
        <v>762075</v>
      </c>
      <c r="D56" s="17">
        <f t="shared" si="0"/>
        <v>762075</v>
      </c>
      <c r="E56" s="49">
        <f>VLOOKUP($A56,'Data shares'!$C:$FA,128)*100</f>
        <v>7.1499999999999995</v>
      </c>
      <c r="F56" s="49">
        <f>VLOOKUP($A56,'Data shares'!$C:$FA,129)</f>
        <v>504000</v>
      </c>
      <c r="G56" s="17"/>
    </row>
    <row r="57" spans="1:7" x14ac:dyDescent="0.25">
      <c r="A57" s="101" t="s">
        <v>178</v>
      </c>
      <c r="B57" s="17">
        <v>16125398</v>
      </c>
      <c r="C57" s="17">
        <v>1552600</v>
      </c>
      <c r="D57" s="17">
        <f t="shared" si="0"/>
        <v>1552600</v>
      </c>
      <c r="E57" s="49">
        <f>VLOOKUP($A57,'Data shares'!$C:$FA,128)*100</f>
        <v>12.32</v>
      </c>
      <c r="F57" s="49">
        <f>VLOOKUP($A57,'Data shares'!$C:$FA,129)</f>
        <v>8723250</v>
      </c>
      <c r="G57" s="17"/>
    </row>
    <row r="58" spans="1:7" x14ac:dyDescent="0.25">
      <c r="A58" s="101" t="s">
        <v>240</v>
      </c>
      <c r="B58" s="17">
        <v>727896180</v>
      </c>
      <c r="C58" s="17">
        <v>46526100</v>
      </c>
      <c r="D58" s="17">
        <f t="shared" si="0"/>
        <v>46526100</v>
      </c>
      <c r="E58" s="49">
        <f>VLOOKUP($A58,'Data shares'!$C:$FA,128)*100</f>
        <v>15.559999999999999</v>
      </c>
      <c r="F58" s="49">
        <f>VLOOKUP($A58,'Data shares'!$C:$FA,129)</f>
        <v>8604000</v>
      </c>
      <c r="G58" s="17"/>
    </row>
    <row r="59" spans="1:7" x14ac:dyDescent="0.25">
      <c r="A59" s="101" t="s">
        <v>202</v>
      </c>
      <c r="B59" s="17">
        <v>55081874</v>
      </c>
      <c r="C59" s="17">
        <v>10856000</v>
      </c>
      <c r="D59" s="17">
        <f t="shared" si="0"/>
        <v>10856000</v>
      </c>
      <c r="E59" s="49">
        <f>VLOOKUP($A59,'Data shares'!$C:$FA,128)*100</f>
        <v>8.77</v>
      </c>
      <c r="F59" s="49">
        <f>VLOOKUP($A59,'Data shares'!$C:$FA,129)</f>
        <v>3132500</v>
      </c>
      <c r="G59" s="17"/>
    </row>
    <row r="60" spans="1:7" x14ac:dyDescent="0.25">
      <c r="A60" s="101" t="s">
        <v>245</v>
      </c>
      <c r="B60" s="17">
        <v>15273675</v>
      </c>
      <c r="C60" s="17">
        <v>5077125</v>
      </c>
      <c r="D60" s="17">
        <f t="shared" si="0"/>
        <v>5077125</v>
      </c>
      <c r="E60" s="49">
        <f>VLOOKUP($A60,'Data shares'!$C:$FA,128)*100</f>
        <v>11.19</v>
      </c>
      <c r="F60" s="49">
        <f>VLOOKUP($A60,'Data shares'!$C:$FA,129)</f>
        <v>1955000</v>
      </c>
      <c r="G60" s="17"/>
    </row>
    <row r="61" spans="1:7" x14ac:dyDescent="0.25">
      <c r="A61" s="101" t="s">
        <v>173</v>
      </c>
      <c r="B61" s="17">
        <v>541823383</v>
      </c>
      <c r="C61" s="17">
        <v>95378400</v>
      </c>
      <c r="D61" s="17">
        <f t="shared" si="0"/>
        <v>95378400</v>
      </c>
      <c r="E61" s="49">
        <f>VLOOKUP($A61,'Data shares'!$C:$FA,128)*100</f>
        <v>11.87</v>
      </c>
      <c r="F61" s="49">
        <f>VLOOKUP($A61,'Data shares'!$C:$FA,129)</f>
        <v>8218125</v>
      </c>
      <c r="G61" s="17"/>
    </row>
    <row r="62" spans="1:7" x14ac:dyDescent="0.25">
      <c r="A62" s="101" t="s">
        <v>234</v>
      </c>
      <c r="B62" s="17">
        <v>1606294231</v>
      </c>
      <c r="C62" s="17">
        <v>1302000000</v>
      </c>
      <c r="D62" s="17">
        <f t="shared" si="0"/>
        <v>1302000000</v>
      </c>
      <c r="E62" s="49">
        <f>VLOOKUP($A62,'Data shares'!$C:$FA,128)*100</f>
        <v>13.780000000000001</v>
      </c>
      <c r="F62" s="49">
        <f>VLOOKUP($A62,'Data shares'!$C:$FA,129)</f>
        <v>919811775</v>
      </c>
      <c r="G62" s="17"/>
    </row>
    <row r="63" spans="1:7" x14ac:dyDescent="0.25">
      <c r="A63" s="101" t="s">
        <v>235</v>
      </c>
      <c r="B63" s="17">
        <v>789260827</v>
      </c>
      <c r="C63" s="17">
        <v>462303900</v>
      </c>
      <c r="D63" s="17">
        <f t="shared" si="0"/>
        <v>462303900</v>
      </c>
      <c r="E63" s="49">
        <f>VLOOKUP($A63,'Data shares'!$C:$FA,128)*100</f>
        <v>14.29</v>
      </c>
      <c r="F63" s="49">
        <f>VLOOKUP($A63,'Data shares'!$C:$FA,129)</f>
        <v>46328625</v>
      </c>
      <c r="G63" s="17"/>
    </row>
    <row r="64" spans="1:7" x14ac:dyDescent="0.25">
      <c r="A64" s="101" t="s">
        <v>482</v>
      </c>
      <c r="B64" s="17">
        <v>44785930</v>
      </c>
      <c r="C64" s="17">
        <v>4025925</v>
      </c>
      <c r="D64" s="17">
        <f t="shared" si="0"/>
        <v>4025925</v>
      </c>
      <c r="E64" s="49">
        <f>VLOOKUP($A64,'Data shares'!$C:$FA,128)*100</f>
        <v>10.6</v>
      </c>
      <c r="F64" s="49">
        <f>VLOOKUP($A64,'Data shares'!$C:$FA,129)</f>
        <v>904500</v>
      </c>
      <c r="G64" s="17"/>
    </row>
    <row r="65" spans="1:7" x14ac:dyDescent="0.25">
      <c r="A65" s="101" t="s">
        <v>475</v>
      </c>
      <c r="B65" s="17">
        <v>13287700</v>
      </c>
      <c r="C65" s="17">
        <v>3968400</v>
      </c>
      <c r="D65" s="17">
        <f t="shared" si="0"/>
        <v>3968400</v>
      </c>
      <c r="E65" s="49">
        <f>VLOOKUP($A65,'Data shares'!$C:$FA,128)*100</f>
        <v>11.55</v>
      </c>
      <c r="F65" s="49">
        <f>VLOOKUP($A65,'Data shares'!$C:$FA,129)</f>
        <v>395100</v>
      </c>
      <c r="G65" s="17"/>
    </row>
    <row r="66" spans="1:7" x14ac:dyDescent="0.25">
      <c r="A66" s="101" t="s">
        <v>306</v>
      </c>
      <c r="B66" s="17">
        <v>292716179</v>
      </c>
      <c r="C66" s="17">
        <v>57797600</v>
      </c>
      <c r="D66" s="17">
        <f t="shared" si="0"/>
        <v>57797600</v>
      </c>
      <c r="E66" s="49">
        <f>VLOOKUP($A66,'Data shares'!$C:$FA,128)*100</f>
        <v>6.2600000000000007</v>
      </c>
      <c r="F66" s="49">
        <f>VLOOKUP($A66,'Data shares'!$C:$FA,129)</f>
        <v>6996000</v>
      </c>
      <c r="G66" s="17"/>
    </row>
    <row r="67" spans="1:7" x14ac:dyDescent="0.25">
      <c r="A67" s="101" t="s">
        <v>262</v>
      </c>
      <c r="B67" s="17">
        <v>21376133</v>
      </c>
      <c r="C67" s="17">
        <v>5958375</v>
      </c>
      <c r="D67" s="17">
        <f t="shared" si="0"/>
        <v>5958375</v>
      </c>
      <c r="E67" s="49">
        <f>VLOOKUP($A67,'Data shares'!$C:$FA,128)*100</f>
        <v>11.77</v>
      </c>
      <c r="F67" s="49">
        <f>VLOOKUP($A67,'Data shares'!$C:$FA,129)</f>
        <v>254100</v>
      </c>
      <c r="G67" s="17"/>
    </row>
    <row r="68" spans="1:7" x14ac:dyDescent="0.25">
      <c r="A68" s="101" t="s">
        <v>174</v>
      </c>
      <c r="B68" s="17">
        <v>26775498</v>
      </c>
      <c r="C68" s="17">
        <v>3494750</v>
      </c>
      <c r="D68" s="17">
        <f t="shared" si="0"/>
        <v>3494750</v>
      </c>
      <c r="E68" s="49">
        <f>VLOOKUP($A68,'Data shares'!$C:$FA,128)*100</f>
        <v>8.3000000000000007</v>
      </c>
      <c r="F68" s="49">
        <f>VLOOKUP($A68,'Data shares'!$C:$FA,129)</f>
        <v>166725</v>
      </c>
      <c r="G68" s="17"/>
    </row>
    <row r="69" spans="1:7" x14ac:dyDescent="0.25">
      <c r="A69" s="101" t="s">
        <v>286</v>
      </c>
      <c r="B69" s="17">
        <v>29168705</v>
      </c>
      <c r="C69" s="17">
        <v>6373125</v>
      </c>
      <c r="D69" s="17">
        <f t="shared" si="0"/>
        <v>6373125</v>
      </c>
      <c r="E69" s="49">
        <f>VLOOKUP($A69,'Data shares'!$C:$FA,128)*100</f>
        <v>4.3600000000000003</v>
      </c>
      <c r="F69" s="49">
        <f>VLOOKUP($A69,'Data shares'!$C:$FA,129)</f>
        <v>151000</v>
      </c>
      <c r="G69" s="17"/>
    </row>
    <row r="70" spans="1:7" x14ac:dyDescent="0.25">
      <c r="A70" s="101" t="s">
        <v>297</v>
      </c>
      <c r="B70" s="17">
        <v>83636848</v>
      </c>
      <c r="C70" s="17">
        <v>13455750</v>
      </c>
      <c r="D70" s="17">
        <f t="shared" si="0"/>
        <v>13455750</v>
      </c>
      <c r="E70" s="49">
        <f>VLOOKUP($A70,'Data shares'!$C:$FA,128)*100</f>
        <v>12.47</v>
      </c>
      <c r="F70" s="49">
        <f>VLOOKUP($A70,'Data shares'!$C:$FA,129)</f>
        <v>893900</v>
      </c>
      <c r="G70" s="17"/>
    </row>
    <row r="71" spans="1:7" x14ac:dyDescent="0.25">
      <c r="A71" s="101" t="s">
        <v>302</v>
      </c>
      <c r="B71" s="17">
        <v>23058222</v>
      </c>
      <c r="C71" s="17">
        <v>3980500</v>
      </c>
      <c r="D71" s="17">
        <f t="shared" ref="D71:D134" si="1">C71</f>
        <v>3980500</v>
      </c>
      <c r="E71" s="49">
        <f>VLOOKUP($A71,'Data shares'!$C:$FA,128)*100</f>
        <v>8.91</v>
      </c>
      <c r="F71" s="49">
        <f>VLOOKUP($A71,'Data shares'!$C:$FA,129)</f>
        <v>200700</v>
      </c>
      <c r="G71" s="17"/>
    </row>
    <row r="72" spans="1:7" x14ac:dyDescent="0.25">
      <c r="A72" s="101" t="s">
        <v>307</v>
      </c>
      <c r="B72" s="17">
        <v>184439886</v>
      </c>
      <c r="C72" s="17">
        <v>122460000</v>
      </c>
      <c r="D72" s="17">
        <f t="shared" si="1"/>
        <v>122460000</v>
      </c>
      <c r="E72" s="49">
        <f>VLOOKUP($A72,'Data shares'!$C:$FA,128)*100</f>
        <v>13.25</v>
      </c>
      <c r="F72" s="49">
        <f>VLOOKUP($A72,'Data shares'!$C:$FA,129)</f>
        <v>144926000</v>
      </c>
      <c r="G72" s="17"/>
    </row>
    <row r="73" spans="1:7" x14ac:dyDescent="0.25">
      <c r="A73" s="101" t="s">
        <v>177</v>
      </c>
      <c r="B73" s="17">
        <v>52956314</v>
      </c>
      <c r="C73" s="17">
        <v>7784625</v>
      </c>
      <c r="D73" s="17">
        <f t="shared" si="1"/>
        <v>7784625</v>
      </c>
      <c r="E73" s="49">
        <f>VLOOKUP($A73,'Data shares'!$C:$FA,128)*100</f>
        <v>12.32</v>
      </c>
      <c r="F73" s="49">
        <f>VLOOKUP($A73,'Data shares'!$C:$FA,129)</f>
        <v>8723250</v>
      </c>
      <c r="G73" s="17"/>
    </row>
    <row r="74" spans="1:7" x14ac:dyDescent="0.25">
      <c r="A74" s="101" t="s">
        <v>545</v>
      </c>
      <c r="B74" s="17">
        <v>23498849</v>
      </c>
      <c r="C74" s="17">
        <v>15745600</v>
      </c>
      <c r="D74" s="17">
        <f t="shared" si="1"/>
        <v>15745600</v>
      </c>
      <c r="E74" s="49">
        <f>VLOOKUP($A74,'Data shares'!$C:$FA,128)*100</f>
        <v>12.32</v>
      </c>
      <c r="F74" s="49">
        <f>VLOOKUP($A74,'Data shares'!$C:$FA,129)</f>
        <v>8723250</v>
      </c>
      <c r="G74" s="17"/>
    </row>
    <row r="75" spans="1:7" x14ac:dyDescent="0.25">
      <c r="A75" s="101" t="s">
        <v>185</v>
      </c>
      <c r="B75" s="17">
        <v>238123793</v>
      </c>
      <c r="C75" s="17">
        <v>59926000</v>
      </c>
      <c r="D75" s="17">
        <f t="shared" si="1"/>
        <v>59926000</v>
      </c>
      <c r="E75" s="49">
        <f>VLOOKUP($A75,'Data shares'!$C:$FA,128)*100</f>
        <v>15.879999999999999</v>
      </c>
      <c r="F75" s="49">
        <f>VLOOKUP($A75,'Data shares'!$C:$FA,129)</f>
        <v>16927575</v>
      </c>
      <c r="G75" s="17"/>
    </row>
    <row r="76" spans="1:7" x14ac:dyDescent="0.25">
      <c r="A76" s="101" t="s">
        <v>219</v>
      </c>
      <c r="B76" s="17">
        <v>75317259</v>
      </c>
      <c r="C76" s="17">
        <v>12188500</v>
      </c>
      <c r="D76" s="17">
        <f t="shared" si="1"/>
        <v>12188500</v>
      </c>
      <c r="E76" s="49">
        <f>VLOOKUP($A76,'Data shares'!$C:$FA,128)*100</f>
        <v>7.42</v>
      </c>
      <c r="F76" s="49">
        <f>VLOOKUP($A76,'Data shares'!$C:$FA,129)</f>
        <v>921000</v>
      </c>
      <c r="G76" s="17"/>
    </row>
    <row r="77" spans="1:7" x14ac:dyDescent="0.25">
      <c r="A77" s="101" t="s">
        <v>534</v>
      </c>
      <c r="B77" s="17">
        <v>70381221</v>
      </c>
      <c r="C77" s="17">
        <v>3354100</v>
      </c>
      <c r="D77" s="17">
        <f t="shared" si="1"/>
        <v>3354100</v>
      </c>
      <c r="E77" s="49">
        <f>VLOOKUP($A77,'Data shares'!$C:$FA,128)*100</f>
        <v>7.42</v>
      </c>
      <c r="F77" s="49">
        <f>VLOOKUP($A77,'Data shares'!$C:$FA,129)</f>
        <v>921000</v>
      </c>
      <c r="G77" s="17"/>
    </row>
    <row r="78" spans="1:7" x14ac:dyDescent="0.25">
      <c r="A78" s="101" t="s">
        <v>516</v>
      </c>
      <c r="B78" s="17">
        <v>27254349</v>
      </c>
      <c r="C78" s="17">
        <v>1133550</v>
      </c>
      <c r="D78" s="17">
        <f t="shared" si="1"/>
        <v>1133550</v>
      </c>
      <c r="E78" s="49">
        <f>VLOOKUP($A78,'Data shares'!$C:$FA,128)*100</f>
        <v>6.04</v>
      </c>
      <c r="F78" s="49">
        <f>VLOOKUP($A78,'Data shares'!$C:$FA,129)</f>
        <v>5469750</v>
      </c>
      <c r="G78" s="17"/>
    </row>
    <row r="79" spans="1:7" x14ac:dyDescent="0.25">
      <c r="A79" s="101" t="s">
        <v>271</v>
      </c>
      <c r="B79" s="17">
        <v>26746179</v>
      </c>
      <c r="C79" s="17">
        <v>5445825</v>
      </c>
      <c r="D79" s="17">
        <f t="shared" si="1"/>
        <v>5445825</v>
      </c>
      <c r="E79" s="49">
        <f>VLOOKUP($A79,'Data shares'!$C:$FA,128)*100</f>
        <v>5.53</v>
      </c>
      <c r="F79" s="49">
        <f>VLOOKUP($A79,'Data shares'!$C:$FA,129)</f>
        <v>772125</v>
      </c>
      <c r="G79" s="17"/>
    </row>
    <row r="80" spans="1:7" x14ac:dyDescent="0.25">
      <c r="A80" s="101" t="s">
        <v>264</v>
      </c>
      <c r="B80" s="17">
        <v>15844192</v>
      </c>
      <c r="C80" s="17">
        <v>2354125</v>
      </c>
      <c r="D80" s="17">
        <f t="shared" si="1"/>
        <v>2354125</v>
      </c>
      <c r="E80" s="49">
        <f>VLOOKUP($A80,'Data shares'!$C:$FA,128)*100</f>
        <v>7.1499999999999995</v>
      </c>
      <c r="F80" s="49">
        <f>VLOOKUP($A80,'Data shares'!$C:$FA,129)</f>
        <v>504000</v>
      </c>
      <c r="G80" s="17"/>
    </row>
    <row r="81" spans="1:7" x14ac:dyDescent="0.25">
      <c r="A81" s="101" t="s">
        <v>208</v>
      </c>
      <c r="B81" s="17">
        <v>24296838</v>
      </c>
      <c r="C81" s="17">
        <v>5125750</v>
      </c>
      <c r="D81" s="17">
        <f t="shared" si="1"/>
        <v>5125750</v>
      </c>
      <c r="E81" s="49">
        <f>VLOOKUP($A81,'Data shares'!$C:$FA,128)*100</f>
        <v>8.129999999999999</v>
      </c>
      <c r="F81" s="49">
        <f>VLOOKUP($A81,'Data shares'!$C:$FA,129)</f>
        <v>958125</v>
      </c>
      <c r="G81" s="17"/>
    </row>
    <row r="82" spans="1:7" x14ac:dyDescent="0.25">
      <c r="A82" s="101" t="s">
        <v>552</v>
      </c>
      <c r="B82" s="17">
        <v>23447901</v>
      </c>
      <c r="C82" s="17">
        <v>3785600</v>
      </c>
      <c r="D82" s="17">
        <f t="shared" si="1"/>
        <v>3785600</v>
      </c>
      <c r="E82" s="49">
        <f>VLOOKUP($A82,'Data shares'!$C:$FA,128)*100</f>
        <v>3.2</v>
      </c>
      <c r="F82" s="49">
        <f>VLOOKUP($A82,'Data shares'!$C:$FA,129)</f>
        <v>252000</v>
      </c>
      <c r="G82" s="17"/>
    </row>
    <row r="83" spans="1:7" x14ac:dyDescent="0.25">
      <c r="A83" s="101" t="s">
        <v>204</v>
      </c>
      <c r="B83" s="17">
        <v>115362060</v>
      </c>
      <c r="C83" s="17">
        <v>19043750</v>
      </c>
      <c r="D83" s="17">
        <f t="shared" si="1"/>
        <v>19043750</v>
      </c>
      <c r="E83" s="49">
        <f>VLOOKUP($A83,'Data shares'!$C:$FA,128)*100</f>
        <v>6.29</v>
      </c>
      <c r="F83" s="49">
        <f>VLOOKUP($A83,'Data shares'!$C:$FA,129)</f>
        <v>1100000</v>
      </c>
      <c r="G83" s="17"/>
    </row>
    <row r="84" spans="1:7" x14ac:dyDescent="0.25">
      <c r="A84" s="101" t="s">
        <v>528</v>
      </c>
      <c r="B84" s="17">
        <v>23485458</v>
      </c>
      <c r="C84" s="17">
        <v>4272800</v>
      </c>
      <c r="D84" s="17">
        <f t="shared" si="1"/>
        <v>4272800</v>
      </c>
      <c r="E84" s="49">
        <f>VLOOKUP($A84,'Data shares'!$C:$FA,128)*100</f>
        <v>6.02</v>
      </c>
      <c r="F84" s="49">
        <f>VLOOKUP($A84,'Data shares'!$C:$FA,129)</f>
        <v>268100</v>
      </c>
      <c r="G84" s="17"/>
    </row>
    <row r="85" spans="1:7" x14ac:dyDescent="0.25">
      <c r="A85" s="101" t="s">
        <v>551</v>
      </c>
      <c r="B85" s="17">
        <v>39593365</v>
      </c>
      <c r="C85" s="17">
        <v>12215000</v>
      </c>
      <c r="D85" s="17">
        <f t="shared" si="1"/>
        <v>12215000</v>
      </c>
      <c r="E85" s="49">
        <f>VLOOKUP($A85,'Data shares'!$C:$FA,128)*100</f>
        <v>2.42</v>
      </c>
      <c r="F85" s="49">
        <f>VLOOKUP($A85,'Data shares'!$C:$FA,129)</f>
        <v>64350</v>
      </c>
      <c r="G85" s="17"/>
    </row>
    <row r="86" spans="1:7" x14ac:dyDescent="0.25">
      <c r="A86" s="101" t="s">
        <v>292</v>
      </c>
      <c r="B86" s="17">
        <v>355933451</v>
      </c>
      <c r="C86" s="17">
        <v>204117000</v>
      </c>
      <c r="D86" s="17">
        <f t="shared" si="1"/>
        <v>204117000</v>
      </c>
      <c r="E86" s="49">
        <f>VLOOKUP($A86,'Data shares'!$C:$FA,128)*100</f>
        <v>8.77</v>
      </c>
      <c r="F86" s="49">
        <f>VLOOKUP($A86,'Data shares'!$C:$FA,129)</f>
        <v>167200</v>
      </c>
      <c r="G86" s="17"/>
    </row>
    <row r="87" spans="1:7" x14ac:dyDescent="0.25">
      <c r="A87" s="101" t="s">
        <v>239</v>
      </c>
      <c r="B87" s="17">
        <v>117569462</v>
      </c>
      <c r="C87" s="17">
        <v>39785400</v>
      </c>
      <c r="D87" s="17">
        <f t="shared" si="1"/>
        <v>39785400</v>
      </c>
      <c r="E87" s="49">
        <f>VLOOKUP($A87,'Data shares'!$C:$FA,128)*100</f>
        <v>9.75</v>
      </c>
      <c r="F87" s="49">
        <f>VLOOKUP($A87,'Data shares'!$C:$FA,129)</f>
        <v>3855600</v>
      </c>
      <c r="G87" s="17"/>
    </row>
    <row r="88" spans="1:7" x14ac:dyDescent="0.25">
      <c r="A88" s="101" t="s">
        <v>513</v>
      </c>
      <c r="B88" s="17">
        <v>16619018</v>
      </c>
      <c r="C88" s="17">
        <v>3155425</v>
      </c>
      <c r="D88" s="17">
        <f t="shared" si="1"/>
        <v>3155425</v>
      </c>
      <c r="E88" s="49">
        <f>VLOOKUP($A88,'Data shares'!$C:$FA,128)*100</f>
        <v>11.57</v>
      </c>
      <c r="F88" s="49">
        <f>VLOOKUP($A88,'Data shares'!$C:$FA,129)</f>
        <v>1126500</v>
      </c>
      <c r="G88" s="17"/>
    </row>
    <row r="89" spans="1:7" x14ac:dyDescent="0.25">
      <c r="A89" s="101" t="s">
        <v>224</v>
      </c>
      <c r="B89" s="17">
        <v>669931623</v>
      </c>
      <c r="C89" s="17">
        <v>82663350</v>
      </c>
      <c r="D89" s="17">
        <f t="shared" si="1"/>
        <v>82663350</v>
      </c>
      <c r="E89" s="49">
        <f>VLOOKUP($A89,'Data shares'!$C:$FA,128)*100</f>
        <v>16.53</v>
      </c>
      <c r="F89" s="49">
        <f>VLOOKUP($A89,'Data shares'!$C:$FA,129)</f>
        <v>29026250</v>
      </c>
      <c r="G89" s="17"/>
    </row>
    <row r="90" spans="1:7" x14ac:dyDescent="0.25">
      <c r="A90" s="101" t="s">
        <v>232</v>
      </c>
      <c r="B90" s="17">
        <v>1110506052</v>
      </c>
      <c r="C90" s="17">
        <v>174065375</v>
      </c>
      <c r="D90" s="17">
        <f t="shared" si="1"/>
        <v>174065375</v>
      </c>
      <c r="E90" s="49">
        <f>VLOOKUP($A90,'Data shares'!$C:$FA,128)*100</f>
        <v>16.05</v>
      </c>
      <c r="F90" s="49">
        <f>VLOOKUP($A90,'Data shares'!$C:$FA,129)</f>
        <v>14973000</v>
      </c>
      <c r="G90" s="17"/>
    </row>
    <row r="91" spans="1:7" x14ac:dyDescent="0.25">
      <c r="A91" s="101" t="s">
        <v>223</v>
      </c>
      <c r="B91" s="17">
        <v>362202362</v>
      </c>
      <c r="C91" s="17">
        <v>34249800</v>
      </c>
      <c r="D91" s="17">
        <f t="shared" si="1"/>
        <v>34249800</v>
      </c>
      <c r="E91" s="49">
        <f>VLOOKUP($A91,'Data shares'!$C:$FA,128)*100</f>
        <v>6.98</v>
      </c>
      <c r="F91" s="49">
        <f>VLOOKUP($A91,'Data shares'!$C:$FA,129)</f>
        <v>1093050</v>
      </c>
      <c r="G91" s="17"/>
    </row>
    <row r="92" spans="1:7" x14ac:dyDescent="0.25">
      <c r="A92" s="101" t="s">
        <v>218</v>
      </c>
      <c r="B92" s="17">
        <v>23110810</v>
      </c>
      <c r="C92" s="17">
        <v>6940375</v>
      </c>
      <c r="D92" s="17">
        <f t="shared" si="1"/>
        <v>6940375</v>
      </c>
      <c r="E92" s="49">
        <f>VLOOKUP($A92,'Data shares'!$C:$FA,128)*100</f>
        <v>8.61</v>
      </c>
      <c r="F92" s="49">
        <f>VLOOKUP($A92,'Data shares'!$C:$FA,129)</f>
        <v>395725</v>
      </c>
      <c r="G92" s="17"/>
    </row>
    <row r="93" spans="1:7" x14ac:dyDescent="0.25">
      <c r="A93" s="101" t="s">
        <v>236</v>
      </c>
      <c r="B93" s="17">
        <v>77000080</v>
      </c>
      <c r="C93" s="17">
        <v>25785375</v>
      </c>
      <c r="D93" s="17">
        <f t="shared" si="1"/>
        <v>25785375</v>
      </c>
      <c r="E93" s="49">
        <f>VLOOKUP($A93,'Data shares'!$C:$FA,128)*100</f>
        <v>10.5</v>
      </c>
      <c r="F93" s="49">
        <f>VLOOKUP($A93,'Data shares'!$C:$FA,129)</f>
        <v>5677500</v>
      </c>
      <c r="G93" s="17"/>
    </row>
    <row r="94" spans="1:7" x14ac:dyDescent="0.25">
      <c r="A94" s="101" t="s">
        <v>246</v>
      </c>
      <c r="B94" s="17">
        <v>293666614</v>
      </c>
      <c r="C94" s="17">
        <v>30730800</v>
      </c>
      <c r="D94" s="17">
        <f t="shared" si="1"/>
        <v>30730800</v>
      </c>
      <c r="E94" s="49">
        <f>VLOOKUP($A94,'Data shares'!$C:$FA,128)*100</f>
        <v>14.030000000000001</v>
      </c>
      <c r="F94" s="49">
        <f>VLOOKUP($A94,'Data shares'!$C:$FA,129)</f>
        <v>4214800</v>
      </c>
      <c r="G94" s="17"/>
    </row>
    <row r="95" spans="1:7" x14ac:dyDescent="0.25">
      <c r="A95" s="101" t="s">
        <v>532</v>
      </c>
      <c r="B95" s="17">
        <v>32892110</v>
      </c>
      <c r="C95" s="17">
        <v>6216000</v>
      </c>
      <c r="D95" s="17">
        <f t="shared" si="1"/>
        <v>6216000</v>
      </c>
      <c r="E95" s="49">
        <f>VLOOKUP($A95,'Data shares'!$C:$FA,128)*100</f>
        <v>7.8100000000000005</v>
      </c>
      <c r="F95" s="49">
        <f>VLOOKUP($A95,'Data shares'!$C:$FA,129)</f>
        <v>1042950</v>
      </c>
      <c r="G95" s="17"/>
    </row>
    <row r="96" spans="1:7" x14ac:dyDescent="0.25">
      <c r="A96" s="101" t="s">
        <v>242</v>
      </c>
      <c r="B96" s="17">
        <v>2461627231</v>
      </c>
      <c r="C96" s="17">
        <v>322832000</v>
      </c>
      <c r="D96" s="17">
        <f t="shared" si="1"/>
        <v>322832000</v>
      </c>
      <c r="E96" s="49">
        <f>VLOOKUP($A96,'Data shares'!$C:$FA,128)*100</f>
        <v>10.8</v>
      </c>
      <c r="F96" s="49">
        <f>VLOOKUP($A96,'Data shares'!$C:$FA,129)</f>
        <v>15502400</v>
      </c>
      <c r="G96" s="17"/>
    </row>
    <row r="97" spans="1:7" x14ac:dyDescent="0.25">
      <c r="A97" s="101" t="s">
        <v>165</v>
      </c>
      <c r="B97" s="17">
        <v>20321931</v>
      </c>
      <c r="C97" s="17">
        <v>3675125</v>
      </c>
      <c r="D97" s="17">
        <f t="shared" si="1"/>
        <v>3675125</v>
      </c>
      <c r="E97" s="49">
        <f>VLOOKUP($A97,'Data shares'!$C:$FA,128)*100</f>
        <v>7.1999999999999993</v>
      </c>
      <c r="F97" s="49">
        <f>VLOOKUP($A97,'Data shares'!$C:$FA,129)</f>
        <v>186875</v>
      </c>
      <c r="G97" s="17"/>
    </row>
    <row r="98" spans="1:7" x14ac:dyDescent="0.25">
      <c r="A98" s="101" t="s">
        <v>503</v>
      </c>
      <c r="B98" s="17">
        <v>17788750</v>
      </c>
      <c r="C98" s="17">
        <v>925925</v>
      </c>
      <c r="D98" s="17">
        <f t="shared" si="1"/>
        <v>925925</v>
      </c>
      <c r="E98" s="49">
        <f>VLOOKUP($A98,'Data shares'!$C:$FA,128)*100</f>
        <v>9.35</v>
      </c>
      <c r="F98" s="49">
        <f>VLOOKUP($A98,'Data shares'!$C:$FA,129)</f>
        <v>675325</v>
      </c>
      <c r="G98" s="17"/>
    </row>
    <row r="99" spans="1:7" x14ac:dyDescent="0.25">
      <c r="A99" s="101" t="s">
        <v>192</v>
      </c>
      <c r="B99" s="17">
        <v>1737683</v>
      </c>
      <c r="C99" s="17">
        <v>235900</v>
      </c>
      <c r="D99" s="17">
        <f t="shared" si="1"/>
        <v>235900</v>
      </c>
      <c r="E99" s="49">
        <f>VLOOKUP($A99,'Data shares'!$C:$FA,128)*100</f>
        <v>5.0599999999999996</v>
      </c>
      <c r="F99" s="49">
        <f>VLOOKUP($A99,'Data shares'!$C:$FA,129)</f>
        <v>7800</v>
      </c>
      <c r="G99" s="17"/>
    </row>
    <row r="100" spans="1:7" x14ac:dyDescent="0.25">
      <c r="A100" s="101" t="s">
        <v>531</v>
      </c>
      <c r="B100" s="17">
        <v>33015657</v>
      </c>
      <c r="C100" s="17">
        <v>9033700</v>
      </c>
      <c r="D100" s="17">
        <f t="shared" si="1"/>
        <v>9033700</v>
      </c>
      <c r="E100" s="49">
        <f>VLOOKUP($A100,'Data shares'!$C:$FA,128)*100</f>
        <v>12.959999999999999</v>
      </c>
      <c r="F100" s="49">
        <f>VLOOKUP($A100,'Data shares'!$C:$FA,129)</f>
        <v>1331625</v>
      </c>
      <c r="G100" s="17"/>
    </row>
    <row r="101" spans="1:7" x14ac:dyDescent="0.25">
      <c r="A101" s="101" t="s">
        <v>494</v>
      </c>
      <c r="B101" s="17">
        <v>147873568</v>
      </c>
      <c r="C101" s="17">
        <v>20386400</v>
      </c>
      <c r="D101" s="17">
        <f t="shared" si="1"/>
        <v>20386400</v>
      </c>
      <c r="E101" s="49">
        <f>VLOOKUP($A101,'Data shares'!$C:$FA,128)*100</f>
        <v>7.61</v>
      </c>
      <c r="F101" s="49">
        <f>VLOOKUP($A101,'Data shares'!$C:$FA,129)</f>
        <v>4154400</v>
      </c>
      <c r="G101" s="17"/>
    </row>
    <row r="102" spans="1:7" x14ac:dyDescent="0.25">
      <c r="A102" s="101" t="s">
        <v>473</v>
      </c>
      <c r="B102" s="17">
        <v>162372116</v>
      </c>
      <c r="C102" s="17">
        <v>43206800</v>
      </c>
      <c r="D102" s="17">
        <f t="shared" si="1"/>
        <v>43206800</v>
      </c>
      <c r="E102" s="49">
        <f>VLOOKUP($A102,'Data shares'!$C:$FA,128)*100</f>
        <v>3.4299999999999997</v>
      </c>
      <c r="F102" s="49">
        <f>VLOOKUP($A102,'Data shares'!$C:$FA,129)</f>
        <v>2636700</v>
      </c>
      <c r="G102" s="17"/>
    </row>
    <row r="103" spans="1:7" x14ac:dyDescent="0.25">
      <c r="A103" s="101" t="s">
        <v>225</v>
      </c>
      <c r="B103" s="17">
        <v>187118353</v>
      </c>
      <c r="C103" s="17">
        <v>49800300</v>
      </c>
      <c r="D103" s="17">
        <f t="shared" si="1"/>
        <v>49800300</v>
      </c>
      <c r="E103" s="49">
        <f>VLOOKUP($A103,'Data shares'!$C:$FA,128)*100</f>
        <v>8.1199999999999992</v>
      </c>
      <c r="F103" s="49">
        <f>VLOOKUP($A103,'Data shares'!$C:$FA,129)</f>
        <v>2285800</v>
      </c>
      <c r="G103" s="17"/>
    </row>
    <row r="104" spans="1:7" x14ac:dyDescent="0.25">
      <c r="A104" s="101" t="s">
        <v>504</v>
      </c>
      <c r="B104" s="17">
        <v>12641694</v>
      </c>
      <c r="C104" s="17">
        <v>6728400</v>
      </c>
      <c r="D104" s="17">
        <f t="shared" si="1"/>
        <v>6728400</v>
      </c>
      <c r="E104" s="49">
        <f>VLOOKUP($A104,'Data shares'!$C:$FA,128)*100</f>
        <v>4.3600000000000003</v>
      </c>
      <c r="F104" s="49">
        <f>VLOOKUP($A104,'Data shares'!$C:$FA,129)</f>
        <v>151000</v>
      </c>
      <c r="G104" s="17"/>
    </row>
    <row r="105" spans="1:7" x14ac:dyDescent="0.25">
      <c r="A105" s="101" t="s">
        <v>537</v>
      </c>
      <c r="B105" s="17">
        <v>6343591</v>
      </c>
      <c r="C105" s="17">
        <v>1262250</v>
      </c>
      <c r="D105" s="17">
        <f t="shared" si="1"/>
        <v>1262250</v>
      </c>
      <c r="E105" s="49">
        <f>VLOOKUP($A105,'Data shares'!$C:$FA,128)*100</f>
        <v>14.21</v>
      </c>
      <c r="F105" s="49">
        <f>VLOOKUP($A105,'Data shares'!$C:$FA,129)</f>
        <v>1510500</v>
      </c>
      <c r="G105" s="17"/>
    </row>
    <row r="106" spans="1:7" x14ac:dyDescent="0.25">
      <c r="A106" s="101" t="s">
        <v>256</v>
      </c>
      <c r="B106" s="17">
        <v>62880735</v>
      </c>
      <c r="C106" s="17">
        <v>20391250</v>
      </c>
      <c r="D106" s="17">
        <f t="shared" si="1"/>
        <v>20391250</v>
      </c>
      <c r="E106" s="49">
        <f>VLOOKUP($A106,'Data shares'!$C:$FA,128)*100</f>
        <v>10.91</v>
      </c>
      <c r="F106" s="49">
        <f>VLOOKUP($A106,'Data shares'!$C:$FA,129)</f>
        <v>472600</v>
      </c>
      <c r="G106" s="17"/>
    </row>
    <row r="107" spans="1:7" x14ac:dyDescent="0.25">
      <c r="A107" s="101" t="s">
        <v>514</v>
      </c>
      <c r="B107" s="17">
        <v>179174844</v>
      </c>
      <c r="C107" s="17">
        <v>67477500</v>
      </c>
      <c r="D107" s="17">
        <f t="shared" si="1"/>
        <v>67477500</v>
      </c>
      <c r="E107" s="49">
        <f>VLOOKUP($A107,'Data shares'!$C:$FA,128)*100</f>
        <v>10.5</v>
      </c>
      <c r="F107" s="49">
        <f>VLOOKUP($A107,'Data shares'!$C:$FA,129)</f>
        <v>5677500</v>
      </c>
      <c r="G107" s="17"/>
    </row>
    <row r="108" spans="1:7" x14ac:dyDescent="0.25">
      <c r="A108" s="101" t="s">
        <v>272</v>
      </c>
      <c r="B108" s="17">
        <v>150000017</v>
      </c>
      <c r="C108" s="17">
        <v>35217000</v>
      </c>
      <c r="D108" s="17">
        <f t="shared" si="1"/>
        <v>35217000</v>
      </c>
      <c r="E108" s="49">
        <f>VLOOKUP($A108,'Data shares'!$C:$FA,128)*100</f>
        <v>7.71</v>
      </c>
      <c r="F108" s="49">
        <f>VLOOKUP($A108,'Data shares'!$C:$FA,129)</f>
        <v>3587200</v>
      </c>
      <c r="G108" s="17"/>
    </row>
    <row r="109" spans="1:7" x14ac:dyDescent="0.25">
      <c r="A109" s="101" t="s">
        <v>470</v>
      </c>
      <c r="B109" s="17">
        <v>6091932</v>
      </c>
      <c r="C109" s="17">
        <v>1893300</v>
      </c>
      <c r="D109" s="17">
        <f t="shared" si="1"/>
        <v>1893300</v>
      </c>
      <c r="E109" s="49">
        <f>VLOOKUP($A109,'Data shares'!$C:$FA,128)*100</f>
        <v>5.6099999999999994</v>
      </c>
      <c r="F109" s="49">
        <f>VLOOKUP($A109,'Data shares'!$C:$FA,129)</f>
        <v>604125</v>
      </c>
      <c r="G109" s="17"/>
    </row>
    <row r="110" spans="1:7" x14ac:dyDescent="0.25">
      <c r="A110" s="101" t="s">
        <v>176</v>
      </c>
      <c r="B110" s="17">
        <v>12437219</v>
      </c>
      <c r="C110" s="17">
        <v>1155950</v>
      </c>
      <c r="D110" s="17">
        <f t="shared" si="1"/>
        <v>1155950</v>
      </c>
      <c r="E110" s="49">
        <f>VLOOKUP($A110,'Data shares'!$C:$FA,128)*100</f>
        <v>14.299999999999999</v>
      </c>
      <c r="F110" s="49">
        <f>VLOOKUP($A110,'Data shares'!$C:$FA,129)</f>
        <v>2312250</v>
      </c>
      <c r="G110" s="17"/>
    </row>
    <row r="111" spans="1:7" x14ac:dyDescent="0.25">
      <c r="A111" s="101" t="s">
        <v>524</v>
      </c>
      <c r="B111" s="17">
        <v>16479425</v>
      </c>
      <c r="C111" s="17">
        <v>1670750</v>
      </c>
      <c r="D111" s="17">
        <f t="shared" si="1"/>
        <v>1670750</v>
      </c>
      <c r="E111" s="49">
        <f>VLOOKUP($A111,'Data shares'!$C:$FA,128)*100</f>
        <v>9.68</v>
      </c>
      <c r="F111" s="49">
        <f>VLOOKUP($A111,'Data shares'!$C:$FA,129)</f>
        <v>132275</v>
      </c>
      <c r="G111" s="17"/>
    </row>
    <row r="112" spans="1:7" x14ac:dyDescent="0.25">
      <c r="A112" s="101" t="s">
        <v>487</v>
      </c>
      <c r="B112" s="17">
        <v>16533935</v>
      </c>
      <c r="C112" s="17">
        <v>1807050</v>
      </c>
      <c r="D112" s="17">
        <f t="shared" si="1"/>
        <v>1807050</v>
      </c>
      <c r="E112" s="49">
        <f>VLOOKUP($A112,'Data shares'!$C:$FA,128)*100</f>
        <v>2.2200000000000002</v>
      </c>
      <c r="F112" s="49">
        <f>VLOOKUP($A112,'Data shares'!$C:$FA,129)</f>
        <v>99550</v>
      </c>
      <c r="G112" s="17"/>
    </row>
    <row r="113" spans="1:7" x14ac:dyDescent="0.25">
      <c r="A113" s="101" t="s">
        <v>305</v>
      </c>
      <c r="B113" s="17">
        <v>46126252</v>
      </c>
      <c r="C113" s="17">
        <v>7513500</v>
      </c>
      <c r="D113" s="17">
        <f t="shared" si="1"/>
        <v>7513500</v>
      </c>
      <c r="E113" s="49">
        <f>VLOOKUP($A113,'Data shares'!$C:$FA,128)*100</f>
        <v>14.21</v>
      </c>
      <c r="F113" s="49">
        <f>VLOOKUP($A113,'Data shares'!$C:$FA,129)</f>
        <v>1510500</v>
      </c>
      <c r="G113" s="17"/>
    </row>
    <row r="114" spans="1:7" x14ac:dyDescent="0.25">
      <c r="A114" s="101" t="s">
        <v>238</v>
      </c>
      <c r="B114" s="17">
        <v>19428657</v>
      </c>
      <c r="C114" s="17">
        <v>5637750</v>
      </c>
      <c r="D114" s="17">
        <f t="shared" si="1"/>
        <v>5637750</v>
      </c>
      <c r="E114" s="49">
        <f>VLOOKUP($A114,'Data shares'!$C:$FA,128)*100</f>
        <v>10.96</v>
      </c>
      <c r="F114" s="49">
        <f>VLOOKUP($A114,'Data shares'!$C:$FA,129)</f>
        <v>1317900</v>
      </c>
      <c r="G114" s="17"/>
    </row>
    <row r="115" spans="1:7" x14ac:dyDescent="0.25">
      <c r="A115" s="101" t="s">
        <v>527</v>
      </c>
      <c r="B115" s="17">
        <v>7494363</v>
      </c>
      <c r="C115" s="17">
        <v>739375</v>
      </c>
      <c r="D115" s="17">
        <f t="shared" si="1"/>
        <v>739375</v>
      </c>
      <c r="E115" s="49">
        <f>VLOOKUP($A115,'Data shares'!$C:$FA,128)*100</f>
        <v>14.89</v>
      </c>
      <c r="F115" s="49">
        <f>VLOOKUP($A115,'Data shares'!$C:$FA,129)</f>
        <v>22524750</v>
      </c>
      <c r="G115" s="17"/>
    </row>
    <row r="116" spans="1:7" x14ac:dyDescent="0.25">
      <c r="A116" s="101" t="s">
        <v>489</v>
      </c>
      <c r="B116" s="17">
        <v>9087752</v>
      </c>
      <c r="C116" s="17">
        <v>1575750</v>
      </c>
      <c r="D116" s="17">
        <f t="shared" si="1"/>
        <v>1575750</v>
      </c>
      <c r="E116" s="49">
        <f>VLOOKUP($A116,'Data shares'!$C:$FA,128)*100</f>
        <v>5.56</v>
      </c>
      <c r="F116" s="49">
        <f>VLOOKUP($A116,'Data shares'!$C:$FA,129)</f>
        <v>1984500</v>
      </c>
      <c r="G116" s="17"/>
    </row>
    <row r="117" spans="1:7" x14ac:dyDescent="0.25">
      <c r="A117" s="101" t="s">
        <v>484</v>
      </c>
      <c r="B117" s="17">
        <v>3300938</v>
      </c>
      <c r="C117" s="17">
        <v>190125</v>
      </c>
      <c r="D117" s="17">
        <f t="shared" si="1"/>
        <v>190125</v>
      </c>
      <c r="E117" s="49">
        <f>VLOOKUP($A117,'Data shares'!$C:$FA,128)*100</f>
        <v>12.120000000000001</v>
      </c>
      <c r="F117" s="49">
        <f>VLOOKUP($A117,'Data shares'!$C:$FA,129)</f>
        <v>9562800</v>
      </c>
      <c r="G117" s="17"/>
    </row>
    <row r="118" spans="1:7" x14ac:dyDescent="0.25">
      <c r="A118" s="101" t="s">
        <v>285</v>
      </c>
      <c r="B118" s="17">
        <v>17806068</v>
      </c>
      <c r="C118" s="17">
        <v>1857900</v>
      </c>
      <c r="D118" s="17">
        <f t="shared" si="1"/>
        <v>1857900</v>
      </c>
      <c r="E118" s="49">
        <f>VLOOKUP($A118,'Data shares'!$C:$FA,128)*100</f>
        <v>11.3</v>
      </c>
      <c r="F118" s="49">
        <f>VLOOKUP($A118,'Data shares'!$C:$FA,129)</f>
        <v>345625</v>
      </c>
      <c r="G118" s="17"/>
    </row>
    <row r="119" spans="1:7" x14ac:dyDescent="0.25">
      <c r="A119" s="101" t="s">
        <v>554</v>
      </c>
      <c r="B119" s="17">
        <v>18562709</v>
      </c>
      <c r="C119" s="17">
        <v>2173500</v>
      </c>
      <c r="D119" s="17">
        <f t="shared" si="1"/>
        <v>2173500</v>
      </c>
      <c r="E119" s="49">
        <f>VLOOKUP($A119,'Data shares'!$C:$FA,128)*100</f>
        <v>7.35</v>
      </c>
      <c r="F119" s="49">
        <f>VLOOKUP($A119,'Data shares'!$C:$FA,129)</f>
        <v>6259825</v>
      </c>
      <c r="G119" s="17"/>
    </row>
    <row r="120" spans="1:7" x14ac:dyDescent="0.25">
      <c r="A120" s="101" t="s">
        <v>293</v>
      </c>
      <c r="B120" s="17">
        <v>339616396</v>
      </c>
      <c r="C120" s="17">
        <v>214528500</v>
      </c>
      <c r="D120" s="17">
        <f t="shared" si="1"/>
        <v>214528500</v>
      </c>
      <c r="E120" s="49">
        <f>VLOOKUP($A120,'Data shares'!$C:$FA,128)*100</f>
        <v>9.91</v>
      </c>
      <c r="F120" s="49">
        <f>VLOOKUP($A120,'Data shares'!$C:$FA,129)</f>
        <v>5299750</v>
      </c>
      <c r="G120" s="17"/>
    </row>
    <row r="121" spans="1:7" x14ac:dyDescent="0.25">
      <c r="A121" s="101" t="s">
        <v>282</v>
      </c>
      <c r="B121" s="17">
        <v>289139949</v>
      </c>
      <c r="C121" s="17">
        <v>230878500</v>
      </c>
      <c r="D121" s="17">
        <f t="shared" si="1"/>
        <v>230878500</v>
      </c>
      <c r="E121" s="49">
        <f>VLOOKUP($A121,'Data shares'!$C:$FA,128)*100</f>
        <v>10.94</v>
      </c>
      <c r="F121" s="49">
        <f>VLOOKUP($A121,'Data shares'!$C:$FA,129)</f>
        <v>18099700</v>
      </c>
      <c r="G121" s="17"/>
    </row>
    <row r="122" spans="1:7" x14ac:dyDescent="0.25">
      <c r="A122" s="101" t="s">
        <v>248</v>
      </c>
      <c r="B122" s="17">
        <v>60244101</v>
      </c>
      <c r="C122" s="17">
        <v>36578000</v>
      </c>
      <c r="D122" s="17">
        <f t="shared" si="1"/>
        <v>36578000</v>
      </c>
      <c r="E122" s="49">
        <f>VLOOKUP($A122,'Data shares'!$C:$FA,128)*100</f>
        <v>8.3000000000000007</v>
      </c>
      <c r="F122" s="49">
        <f>VLOOKUP($A122,'Data shares'!$C:$FA,129)</f>
        <v>2818000</v>
      </c>
      <c r="G122" s="17"/>
    </row>
    <row r="123" spans="1:7" x14ac:dyDescent="0.25">
      <c r="A123" s="101" t="s">
        <v>189</v>
      </c>
      <c r="B123" s="17">
        <v>510707358</v>
      </c>
      <c r="C123" s="17">
        <v>94385350</v>
      </c>
      <c r="D123" s="17">
        <f t="shared" si="1"/>
        <v>94385350</v>
      </c>
      <c r="E123" s="49">
        <f>VLOOKUP($A123,'Data shares'!$C:$FA,128)*100</f>
        <v>10.47</v>
      </c>
      <c r="F123" s="49">
        <f>VLOOKUP($A123,'Data shares'!$C:$FA,129)</f>
        <v>4515825</v>
      </c>
      <c r="G123" s="17"/>
    </row>
    <row r="124" spans="1:7" x14ac:dyDescent="0.25">
      <c r="A124" s="101" t="s">
        <v>213</v>
      </c>
      <c r="B124" s="17">
        <v>425164259</v>
      </c>
      <c r="C124" s="17">
        <v>85375600</v>
      </c>
      <c r="D124" s="17">
        <f t="shared" si="1"/>
        <v>85375600</v>
      </c>
      <c r="E124" s="49">
        <f>VLOOKUP($A124,'Data shares'!$C:$FA,128)*100</f>
        <v>10.43</v>
      </c>
      <c r="F124" s="49">
        <f>VLOOKUP($A124,'Data shares'!$C:$FA,129)</f>
        <v>10221750</v>
      </c>
      <c r="G124" s="17"/>
    </row>
    <row r="125" spans="1:7" x14ac:dyDescent="0.25">
      <c r="A125" s="101" t="s">
        <v>295</v>
      </c>
      <c r="B125" s="17">
        <v>205769415</v>
      </c>
      <c r="C125" s="17">
        <v>21452100</v>
      </c>
      <c r="D125" s="17">
        <f t="shared" si="1"/>
        <v>21452100</v>
      </c>
      <c r="E125" s="49">
        <f>VLOOKUP($A125,'Data shares'!$C:$FA,128)*100</f>
        <v>9.58</v>
      </c>
      <c r="F125" s="49">
        <f>VLOOKUP($A125,'Data shares'!$C:$FA,129)</f>
        <v>2370200</v>
      </c>
      <c r="G125" s="17"/>
    </row>
    <row r="126" spans="1:7" x14ac:dyDescent="0.25">
      <c r="A126" s="101" t="s">
        <v>490</v>
      </c>
      <c r="B126" s="17">
        <v>52165566</v>
      </c>
      <c r="C126" s="17">
        <v>22212750</v>
      </c>
      <c r="D126" s="17">
        <f t="shared" si="1"/>
        <v>22212750</v>
      </c>
      <c r="E126" s="49">
        <f>VLOOKUP($A126,'Data shares'!$C:$FA,128)*100</f>
        <v>11.76</v>
      </c>
      <c r="F126" s="49">
        <f>VLOOKUP($A126,'Data shares'!$C:$FA,129)</f>
        <v>2270625</v>
      </c>
      <c r="G126" s="17"/>
    </row>
    <row r="127" spans="1:7" x14ac:dyDescent="0.25">
      <c r="A127" s="101" t="s">
        <v>260</v>
      </c>
      <c r="B127" s="17">
        <v>241729538</v>
      </c>
      <c r="C127" s="17">
        <v>65383500</v>
      </c>
      <c r="D127" s="17">
        <f t="shared" si="1"/>
        <v>65383500</v>
      </c>
      <c r="E127" s="49">
        <f>VLOOKUP($A127,'Data shares'!$C:$FA,128)*100</f>
        <v>3.93</v>
      </c>
      <c r="F127" s="49">
        <f>VLOOKUP($A127,'Data shares'!$C:$FA,129)</f>
        <v>6482100</v>
      </c>
      <c r="G127" s="17"/>
    </row>
    <row r="128" spans="1:7" x14ac:dyDescent="0.25">
      <c r="A128" s="101" t="s">
        <v>171</v>
      </c>
      <c r="B128" s="17">
        <v>56444627</v>
      </c>
      <c r="C128" s="17">
        <v>23336250</v>
      </c>
      <c r="D128" s="17">
        <f t="shared" si="1"/>
        <v>23336250</v>
      </c>
      <c r="E128" s="49">
        <f>VLOOKUP($A128,'Data shares'!$C:$FA,128)*100</f>
        <v>3.29</v>
      </c>
      <c r="F128" s="49">
        <f>VLOOKUP($A128,'Data shares'!$C:$FA,129)</f>
        <v>590700</v>
      </c>
      <c r="G128" s="17"/>
    </row>
    <row r="129" spans="1:7" x14ac:dyDescent="0.25">
      <c r="A129" s="101" t="s">
        <v>462</v>
      </c>
      <c r="B129" s="17">
        <v>88648462</v>
      </c>
      <c r="C129" s="17">
        <v>11150250</v>
      </c>
      <c r="D129" s="17">
        <f t="shared" si="1"/>
        <v>11150250</v>
      </c>
      <c r="E129" s="49">
        <f>VLOOKUP($A129,'Data shares'!$C:$FA,128)*100</f>
        <v>5.4399999999999995</v>
      </c>
      <c r="F129" s="49">
        <f>VLOOKUP($A129,'Data shares'!$C:$FA,129)</f>
        <v>350250</v>
      </c>
      <c r="G129" s="17"/>
    </row>
    <row r="130" spans="1:7" x14ac:dyDescent="0.25">
      <c r="A130" s="101" t="s">
        <v>274</v>
      </c>
      <c r="B130" s="17">
        <v>30511703</v>
      </c>
      <c r="C130" s="17">
        <v>3556000</v>
      </c>
      <c r="D130" s="17">
        <f t="shared" si="1"/>
        <v>3556000</v>
      </c>
      <c r="E130" s="49">
        <f>VLOOKUP($A130,'Data shares'!$C:$FA,128)*100</f>
        <v>10.6</v>
      </c>
      <c r="F130" s="49">
        <f>VLOOKUP($A130,'Data shares'!$C:$FA,129)</f>
        <v>374500</v>
      </c>
      <c r="G130" s="17"/>
    </row>
    <row r="131" spans="1:7" x14ac:dyDescent="0.25">
      <c r="A131" s="101" t="s">
        <v>279</v>
      </c>
      <c r="B131" s="17">
        <v>119890099</v>
      </c>
      <c r="C131" s="17">
        <v>77232800</v>
      </c>
      <c r="D131" s="17">
        <f t="shared" si="1"/>
        <v>77232800</v>
      </c>
      <c r="E131" s="49">
        <f>VLOOKUP($A131,'Data shares'!$C:$FA,128)*100</f>
        <v>3.6999999999999997</v>
      </c>
      <c r="F131" s="49">
        <f>VLOOKUP($A131,'Data shares'!$C:$FA,129)</f>
        <v>2197100</v>
      </c>
      <c r="G131" s="17"/>
    </row>
    <row r="132" spans="1:7" x14ac:dyDescent="0.25">
      <c r="A132" s="101" t="s">
        <v>247</v>
      </c>
      <c r="B132" s="17">
        <v>180580821</v>
      </c>
      <c r="C132" s="17">
        <v>128041552</v>
      </c>
      <c r="D132" s="17">
        <f t="shared" si="1"/>
        <v>128041552</v>
      </c>
      <c r="E132" s="49">
        <f>VLOOKUP($A132,'Data shares'!$C:$FA,128)*100</f>
        <v>8.870000000000001</v>
      </c>
      <c r="F132" s="49">
        <f>VLOOKUP($A132,'Data shares'!$C:$FA,129)</f>
        <v>320025</v>
      </c>
      <c r="G132" s="17"/>
    </row>
    <row r="133" spans="1:7" x14ac:dyDescent="0.25">
      <c r="A133" s="101" t="s">
        <v>291</v>
      </c>
      <c r="B133" s="17">
        <v>120211514</v>
      </c>
      <c r="C133" s="17">
        <v>18359325</v>
      </c>
      <c r="D133" s="17">
        <f t="shared" si="1"/>
        <v>18359325</v>
      </c>
      <c r="E133" s="49">
        <f>VLOOKUP($A133,'Data shares'!$C:$FA,128)*100</f>
        <v>8.6</v>
      </c>
      <c r="F133" s="49">
        <f>VLOOKUP($A133,'Data shares'!$C:$FA,129)</f>
        <v>920700</v>
      </c>
      <c r="G133" s="17"/>
    </row>
    <row r="134" spans="1:7" x14ac:dyDescent="0.25">
      <c r="A134" s="101" t="s">
        <v>269</v>
      </c>
      <c r="B134" s="17">
        <v>996134149</v>
      </c>
      <c r="C134" s="17">
        <v>204565900</v>
      </c>
      <c r="D134" s="17">
        <f t="shared" si="1"/>
        <v>204565900</v>
      </c>
      <c r="E134" s="49">
        <f>VLOOKUP($A134,'Data shares'!$C:$FA,128)*100</f>
        <v>7.7399999999999993</v>
      </c>
      <c r="F134" s="49">
        <f>VLOOKUP($A134,'Data shares'!$C:$FA,129)</f>
        <v>7245000</v>
      </c>
      <c r="G134" s="17"/>
    </row>
    <row r="135" spans="1:7" x14ac:dyDescent="0.25">
      <c r="A135" s="101" t="s">
        <v>217</v>
      </c>
      <c r="B135" s="17">
        <v>75218562</v>
      </c>
      <c r="C135" s="17">
        <v>11613000</v>
      </c>
      <c r="D135" s="17">
        <f t="shared" ref="D135:D161" si="2">C135</f>
        <v>11613000</v>
      </c>
      <c r="E135" s="49">
        <f>VLOOKUP($A135,'Data shares'!$C:$FA,128)*100</f>
        <v>2.4500000000000002</v>
      </c>
      <c r="F135" s="49">
        <f>VLOOKUP($A135,'Data shares'!$C:$FA,129)</f>
        <v>191000</v>
      </c>
      <c r="G135" s="17"/>
    </row>
    <row r="136" spans="1:7" x14ac:dyDescent="0.25">
      <c r="A136" s="101" t="s">
        <v>495</v>
      </c>
      <c r="B136" s="17">
        <v>44974045</v>
      </c>
      <c r="C136" s="17">
        <v>4232500</v>
      </c>
      <c r="D136" s="17">
        <f t="shared" si="2"/>
        <v>4232500</v>
      </c>
      <c r="E136" s="49">
        <f>VLOOKUP($A136,'Data shares'!$C:$FA,128)*100</f>
        <v>12.540000000000001</v>
      </c>
      <c r="F136" s="49">
        <f>VLOOKUP($A136,'Data shares'!$C:$FA,129)</f>
        <v>2208000</v>
      </c>
      <c r="G136" s="17"/>
    </row>
    <row r="137" spans="1:7" x14ac:dyDescent="0.25">
      <c r="A137" s="101" t="s">
        <v>250</v>
      </c>
      <c r="B137" s="17">
        <v>48318354</v>
      </c>
      <c r="C137" s="17">
        <v>18007250</v>
      </c>
      <c r="D137" s="17">
        <f t="shared" si="2"/>
        <v>18007250</v>
      </c>
      <c r="E137" s="49">
        <f>VLOOKUP($A137,'Data shares'!$C:$FA,128)*100</f>
        <v>4.3900000000000006</v>
      </c>
      <c r="F137" s="49">
        <f>VLOOKUP($A137,'Data shares'!$C:$FA,129)</f>
        <v>290700</v>
      </c>
      <c r="G137" s="17"/>
    </row>
    <row r="138" spans="1:7" x14ac:dyDescent="0.25">
      <c r="A138" s="101" t="s">
        <v>278</v>
      </c>
      <c r="B138" s="17">
        <v>27187764</v>
      </c>
      <c r="C138" s="17">
        <v>3521550</v>
      </c>
      <c r="D138" s="17">
        <f t="shared" si="2"/>
        <v>3521550</v>
      </c>
      <c r="E138" s="49">
        <f>VLOOKUP($A138,'Data shares'!$C:$FA,128)*100</f>
        <v>2.42</v>
      </c>
      <c r="F138" s="49">
        <f>VLOOKUP($A138,'Data shares'!$C:$FA,129)</f>
        <v>64350</v>
      </c>
      <c r="G138" s="17"/>
    </row>
    <row r="139" spans="1:7" x14ac:dyDescent="0.25">
      <c r="A139" s="101" t="s">
        <v>163</v>
      </c>
      <c r="B139" s="17">
        <v>24576009</v>
      </c>
      <c r="C139" s="17">
        <v>11979000</v>
      </c>
      <c r="D139" s="17">
        <f t="shared" si="2"/>
        <v>11979000</v>
      </c>
      <c r="E139" s="49">
        <f>VLOOKUP($A139,'Data shares'!$C:$FA,128)*100</f>
        <v>3.64</v>
      </c>
      <c r="F139" s="49">
        <f>VLOOKUP($A139,'Data shares'!$C:$FA,129)</f>
        <v>18000</v>
      </c>
      <c r="G139" s="17"/>
    </row>
    <row r="140" spans="1:7" x14ac:dyDescent="0.25">
      <c r="A140" s="101" t="s">
        <v>289</v>
      </c>
      <c r="B140" s="17">
        <v>19704232</v>
      </c>
      <c r="C140" s="17">
        <v>15520500</v>
      </c>
      <c r="D140" s="17">
        <f t="shared" si="2"/>
        <v>15520500</v>
      </c>
      <c r="E140" s="49">
        <f>VLOOKUP($A140,'Data shares'!$C:$FA,128)*100</f>
        <v>13.370000000000001</v>
      </c>
      <c r="F140" s="49">
        <f>VLOOKUP($A140,'Data shares'!$C:$FA,129)</f>
        <v>1079400</v>
      </c>
      <c r="G140" s="17"/>
    </row>
    <row r="141" spans="1:7" x14ac:dyDescent="0.25">
      <c r="A141" s="101" t="s">
        <v>529</v>
      </c>
      <c r="B141" s="17">
        <v>10012679</v>
      </c>
      <c r="C141" s="17">
        <v>530550</v>
      </c>
      <c r="D141" s="17">
        <f t="shared" si="2"/>
        <v>530550</v>
      </c>
      <c r="E141" s="49">
        <f>VLOOKUP($A141,'Data shares'!$C:$FA,128)*100</f>
        <v>5.29</v>
      </c>
      <c r="F141" s="49">
        <f>VLOOKUP($A141,'Data shares'!$C:$FA,129)</f>
        <v>105900</v>
      </c>
      <c r="G141" s="17"/>
    </row>
    <row r="142" spans="1:7" x14ac:dyDescent="0.25">
      <c r="A142" s="101" t="s">
        <v>265</v>
      </c>
      <c r="B142" s="17">
        <v>7180127</v>
      </c>
      <c r="C142" s="17">
        <v>429550</v>
      </c>
      <c r="D142" s="17">
        <f t="shared" si="2"/>
        <v>429550</v>
      </c>
      <c r="E142" s="49">
        <f>VLOOKUP($A142,'Data shares'!$C:$FA,128)*100</f>
        <v>11.799999999999999</v>
      </c>
      <c r="F142" s="49">
        <f>VLOOKUP($A142,'Data shares'!$C:$FA,129)</f>
        <v>1123500</v>
      </c>
      <c r="G142" s="17"/>
    </row>
    <row r="143" spans="1:7" x14ac:dyDescent="0.25">
      <c r="A143" s="101" t="s">
        <v>486</v>
      </c>
      <c r="B143" s="17">
        <v>32559242</v>
      </c>
      <c r="C143" s="17">
        <v>4156800</v>
      </c>
      <c r="D143" s="17">
        <f t="shared" si="2"/>
        <v>4156800</v>
      </c>
      <c r="E143" s="49">
        <f>VLOOKUP($A143,'Data shares'!$C:$FA,128)*100</f>
        <v>11.77</v>
      </c>
      <c r="F143" s="49">
        <f>VLOOKUP($A143,'Data shares'!$C:$FA,129)</f>
        <v>254100</v>
      </c>
      <c r="G143" s="17"/>
    </row>
    <row r="144" spans="1:7" x14ac:dyDescent="0.25">
      <c r="A144" s="101" t="s">
        <v>190</v>
      </c>
      <c r="B144" s="17">
        <v>256482590</v>
      </c>
      <c r="C144" s="17">
        <v>208761000</v>
      </c>
      <c r="D144" s="17">
        <f t="shared" si="2"/>
        <v>208761000</v>
      </c>
      <c r="E144" s="49">
        <f>VLOOKUP($A144,'Data shares'!$C:$FA,128)*100</f>
        <v>6.47</v>
      </c>
      <c r="F144" s="49">
        <f>VLOOKUP($A144,'Data shares'!$C:$FA,129)</f>
        <v>3869250</v>
      </c>
      <c r="G144" s="17"/>
    </row>
    <row r="145" spans="1:7" x14ac:dyDescent="0.25">
      <c r="A145" s="101" t="s">
        <v>303</v>
      </c>
      <c r="B145" s="17">
        <v>109653438</v>
      </c>
      <c r="C145" s="17">
        <v>37709100</v>
      </c>
      <c r="D145" s="17">
        <f t="shared" si="2"/>
        <v>37709100</v>
      </c>
      <c r="E145" s="49">
        <f>VLOOKUP($A145,'Data shares'!$C:$FA,128)*100</f>
        <v>2.29</v>
      </c>
      <c r="F145" s="49">
        <f>VLOOKUP($A145,'Data shares'!$C:$FA,129)</f>
        <v>731700</v>
      </c>
      <c r="G145" s="17"/>
    </row>
    <row r="146" spans="1:7" x14ac:dyDescent="0.25">
      <c r="A146" s="101" t="s">
        <v>255</v>
      </c>
      <c r="B146" s="17">
        <v>26359259</v>
      </c>
      <c r="C146" s="17">
        <v>6916100</v>
      </c>
      <c r="D146" s="17">
        <f t="shared" si="2"/>
        <v>6916100</v>
      </c>
      <c r="E146" s="49">
        <f>VLOOKUP($A146,'Data shares'!$C:$FA,128)*100</f>
        <v>8.42</v>
      </c>
      <c r="F146" s="49">
        <f>VLOOKUP($A146,'Data shares'!$C:$FA,129)</f>
        <v>205050</v>
      </c>
      <c r="G146" s="17"/>
    </row>
    <row r="147" spans="1:7" x14ac:dyDescent="0.25">
      <c r="A147" s="101" t="s">
        <v>180</v>
      </c>
      <c r="B147" s="17">
        <v>372635498</v>
      </c>
      <c r="C147" s="17">
        <v>233426700</v>
      </c>
      <c r="D147" s="17">
        <f t="shared" si="2"/>
        <v>233426700</v>
      </c>
      <c r="E147" s="49">
        <f>VLOOKUP($A147,'Data shares'!$C:$FA,128)*100</f>
        <v>9.3000000000000007</v>
      </c>
      <c r="F147" s="49">
        <f>VLOOKUP($A147,'Data shares'!$C:$FA,129)</f>
        <v>7300800</v>
      </c>
      <c r="G147" s="17"/>
    </row>
    <row r="148" spans="1:7" x14ac:dyDescent="0.25">
      <c r="A148" s="101" t="s">
        <v>179</v>
      </c>
      <c r="B148" s="17">
        <v>193321473</v>
      </c>
      <c r="C148" s="17">
        <v>47098800</v>
      </c>
      <c r="D148" s="17">
        <f t="shared" si="2"/>
        <v>47098800</v>
      </c>
      <c r="E148" s="49">
        <f>VLOOKUP($A148,'Data shares'!$C:$FA,128)*100</f>
        <v>6.2399999999999993</v>
      </c>
      <c r="F148" s="49">
        <f>VLOOKUP($A148,'Data shares'!$C:$FA,129)</f>
        <v>7092000</v>
      </c>
    </row>
    <row r="149" spans="1:7" x14ac:dyDescent="0.25">
      <c r="A149" s="101" t="s">
        <v>253</v>
      </c>
      <c r="B149" s="17">
        <v>109926618</v>
      </c>
      <c r="C149" s="17">
        <v>54285000</v>
      </c>
      <c r="D149" s="17">
        <f t="shared" si="2"/>
        <v>54285000</v>
      </c>
      <c r="E149" s="49">
        <f>VLOOKUP($A149,'Data shares'!$C:$FA,128)*100</f>
        <v>4.78</v>
      </c>
      <c r="F149" s="49">
        <f>VLOOKUP($A149,'Data shares'!$C:$FA,129)</f>
        <v>1512000</v>
      </c>
    </row>
    <row r="150" spans="1:7" x14ac:dyDescent="0.25">
      <c r="A150" s="101" t="s">
        <v>261</v>
      </c>
      <c r="B150" s="17">
        <v>611563</v>
      </c>
      <c r="C150" s="17">
        <v>120180</v>
      </c>
      <c r="D150" s="17">
        <f t="shared" si="2"/>
        <v>120180</v>
      </c>
      <c r="E150" s="49">
        <f>VLOOKUP($A150,'Data shares'!$C:$FA,128)*100</f>
        <v>2.2200000000000002</v>
      </c>
      <c r="F150" s="49">
        <f>VLOOKUP($A150,'Data shares'!$C:$FA,129)</f>
        <v>99550</v>
      </c>
    </row>
    <row r="151" spans="1:7" x14ac:dyDescent="0.25">
      <c r="A151" s="101" t="s">
        <v>164</v>
      </c>
      <c r="B151" s="17">
        <v>145854205</v>
      </c>
      <c r="C151" s="17">
        <v>46824000</v>
      </c>
      <c r="D151" s="17">
        <f t="shared" si="2"/>
        <v>46824000</v>
      </c>
      <c r="E151" s="49">
        <f>VLOOKUP($A151,'Data shares'!$C:$FA,128)*100</f>
        <v>3.5700000000000003</v>
      </c>
      <c r="F151" s="49">
        <f>VLOOKUP($A151,'Data shares'!$C:$FA,129)</f>
        <v>1640100</v>
      </c>
    </row>
    <row r="152" spans="1:7" x14ac:dyDescent="0.25">
      <c r="A152" s="101" t="s">
        <v>526</v>
      </c>
      <c r="B152" s="17">
        <v>44365911</v>
      </c>
      <c r="C152" s="17">
        <v>20668300</v>
      </c>
      <c r="D152" s="17">
        <f t="shared" si="2"/>
        <v>20668300</v>
      </c>
      <c r="E152" s="49">
        <f>VLOOKUP($A152,'Data shares'!$C:$FA,128)*100</f>
        <v>6.8599999999999994</v>
      </c>
      <c r="F152" s="49">
        <f>VLOOKUP($A152,'Data shares'!$C:$FA,129)</f>
        <v>1555000</v>
      </c>
    </row>
    <row r="153" spans="1:7" x14ac:dyDescent="0.25">
      <c r="A153" s="101" t="s">
        <v>515</v>
      </c>
      <c r="B153" s="17">
        <v>3083179</v>
      </c>
      <c r="C153" s="17">
        <v>492075</v>
      </c>
      <c r="D153" s="17">
        <f t="shared" si="2"/>
        <v>492075</v>
      </c>
      <c r="E153" s="49">
        <f>VLOOKUP($A153,'Data shares'!$C:$FA,128)*100</f>
        <v>6.8599999999999994</v>
      </c>
      <c r="F153" s="49">
        <f>VLOOKUP($A153,'Data shares'!$C:$FA,129)</f>
        <v>1555000</v>
      </c>
    </row>
    <row r="154" spans="1:7" x14ac:dyDescent="0.25">
      <c r="A154" s="101" t="s">
        <v>226</v>
      </c>
      <c r="B154" s="17">
        <v>26072630</v>
      </c>
      <c r="C154" s="17">
        <v>9897900</v>
      </c>
      <c r="D154" s="17">
        <f t="shared" si="2"/>
        <v>9897900</v>
      </c>
      <c r="E154" s="49">
        <f>VLOOKUP($A154,'Data shares'!$C:$FA,128)*100</f>
        <v>4.07</v>
      </c>
      <c r="F154" s="49">
        <f>VLOOKUP($A154,'Data shares'!$C:$FA,129)</f>
        <v>203250</v>
      </c>
    </row>
    <row r="155" spans="1:7" x14ac:dyDescent="0.25">
      <c r="A155" s="101" t="s">
        <v>544</v>
      </c>
      <c r="B155" s="17">
        <v>139989683</v>
      </c>
      <c r="C155" s="17">
        <v>28415200</v>
      </c>
      <c r="D155" s="17">
        <f t="shared" si="2"/>
        <v>28415200</v>
      </c>
      <c r="E155" s="49">
        <f>VLOOKUP($A155,'Data shares'!$C:$FA,128)*100</f>
        <v>4.0599999999999996</v>
      </c>
      <c r="F155" s="49">
        <f>VLOOKUP($A155,'Data shares'!$C:$FA,129)</f>
        <v>2861300</v>
      </c>
    </row>
    <row r="156" spans="1:7" x14ac:dyDescent="0.25">
      <c r="A156" s="101" t="s">
        <v>547</v>
      </c>
      <c r="B156" s="17">
        <v>65482129</v>
      </c>
      <c r="C156" s="17">
        <v>33944200</v>
      </c>
      <c r="D156" s="17">
        <f t="shared" si="2"/>
        <v>33944200</v>
      </c>
      <c r="E156" s="49">
        <f>VLOOKUP($A156,'Data shares'!$C:$FA,128)*100</f>
        <v>4.18</v>
      </c>
      <c r="F156" s="49">
        <f>VLOOKUP($A156,'Data shares'!$C:$FA,129)</f>
        <v>2123800</v>
      </c>
    </row>
    <row r="157" spans="1:7" x14ac:dyDescent="0.25">
      <c r="A157" s="101" t="s">
        <v>499</v>
      </c>
      <c r="B157" s="17">
        <v>66687240</v>
      </c>
      <c r="C157" s="17">
        <v>16125200</v>
      </c>
      <c r="D157" s="17">
        <f t="shared" si="2"/>
        <v>16125200</v>
      </c>
      <c r="E157" s="49">
        <f>VLOOKUP($A157,'Data shares'!$C:$FA,128)*100</f>
        <v>4.0599999999999996</v>
      </c>
      <c r="F157" s="49">
        <f>VLOOKUP($A157,'Data shares'!$C:$FA,129)</f>
        <v>2861300</v>
      </c>
    </row>
    <row r="158" spans="1:7" x14ac:dyDescent="0.25">
      <c r="A158" s="101" t="s">
        <v>483</v>
      </c>
      <c r="B158" s="17">
        <v>16146181</v>
      </c>
      <c r="C158" s="17">
        <v>1914250</v>
      </c>
      <c r="D158" s="17">
        <f t="shared" si="2"/>
        <v>1914250</v>
      </c>
      <c r="E158" s="49">
        <f>VLOOKUP($A158,'Data shares'!$C:$FA,128)*100</f>
        <v>10.72</v>
      </c>
      <c r="F158" s="49">
        <f>VLOOKUP($A158,'Data shares'!$C:$FA,129)</f>
        <v>278075</v>
      </c>
    </row>
    <row r="159" spans="1:7" x14ac:dyDescent="0.25">
      <c r="A159" s="101" t="s">
        <v>546</v>
      </c>
      <c r="B159" s="17">
        <v>18282414</v>
      </c>
      <c r="C159" s="17">
        <v>13742300</v>
      </c>
      <c r="D159" s="17">
        <f t="shared" si="2"/>
        <v>13742300</v>
      </c>
      <c r="E159" s="49">
        <f>VLOOKUP($A159,'Data shares'!$C:$FA,128)*100</f>
        <v>10.66</v>
      </c>
      <c r="F159" s="49">
        <f>VLOOKUP($A159,'Data shares'!$C:$FA,129)</f>
        <v>16614450</v>
      </c>
    </row>
    <row r="160" spans="1:7" x14ac:dyDescent="0.25">
      <c r="A160" s="101" t="s">
        <v>220</v>
      </c>
      <c r="B160" s="17">
        <v>50687734</v>
      </c>
      <c r="C160" s="17">
        <v>6783500</v>
      </c>
      <c r="D160" s="17">
        <f t="shared" si="2"/>
        <v>6783500</v>
      </c>
      <c r="E160" s="49">
        <f>VLOOKUP($A160,'Data shares'!$C:$FA,128)*100</f>
        <v>5.83</v>
      </c>
      <c r="F160" s="49">
        <f>VLOOKUP($A160,'Data shares'!$C:$FA,129)</f>
        <v>486500</v>
      </c>
    </row>
    <row r="161" spans="1:6" x14ac:dyDescent="0.25">
      <c r="A161" s="101" t="s">
        <v>472</v>
      </c>
      <c r="B161" s="17">
        <v>50993734</v>
      </c>
      <c r="C161" s="17">
        <v>3803750</v>
      </c>
      <c r="D161" s="17">
        <f t="shared" si="2"/>
        <v>3803750</v>
      </c>
      <c r="E161" s="49">
        <f>VLOOKUP($A161,'Data shares'!$C:$FA,128)*100</f>
        <v>2.2800000000000002</v>
      </c>
      <c r="F161" s="49">
        <f>VLOOKUP($A161,'Data shares'!$C:$FA,129)</f>
        <v>94900</v>
      </c>
    </row>
    <row r="162" spans="1:6" x14ac:dyDescent="0.25">
      <c r="A162" t="s">
        <v>535</v>
      </c>
      <c r="B162">
        <v>78168147</v>
      </c>
      <c r="C162">
        <v>9571500</v>
      </c>
      <c r="D162" s="17">
        <f t="shared" ref="D162:D204" si="3">C162</f>
        <v>9571500</v>
      </c>
      <c r="E162" s="49">
        <f>VLOOKUP($A162,'Data shares'!$C:$FA,128)*100</f>
        <v>8.94</v>
      </c>
      <c r="F162" s="49">
        <f>VLOOKUP($A162,'Data shares'!$C:$FA,129)</f>
        <v>1413550</v>
      </c>
    </row>
    <row r="163" spans="1:6" x14ac:dyDescent="0.25">
      <c r="A163" t="s">
        <v>492</v>
      </c>
      <c r="B163">
        <v>28779078</v>
      </c>
      <c r="C163">
        <v>14404150</v>
      </c>
      <c r="D163" s="17">
        <f t="shared" si="3"/>
        <v>14404150</v>
      </c>
      <c r="E163" s="49">
        <f>VLOOKUP($A163,'Data shares'!$C:$FA,128)*100</f>
        <v>8.61</v>
      </c>
      <c r="F163" s="49">
        <f>VLOOKUP($A163,'Data shares'!$C:$FA,129)</f>
        <v>395725</v>
      </c>
    </row>
    <row r="164" spans="1:6" x14ac:dyDescent="0.25">
      <c r="A164" t="s">
        <v>298</v>
      </c>
      <c r="B164">
        <v>9731600</v>
      </c>
      <c r="C164">
        <v>863500</v>
      </c>
      <c r="D164" s="17">
        <f t="shared" si="3"/>
        <v>863500</v>
      </c>
      <c r="E164" s="49">
        <f>VLOOKUP($A164,'Data shares'!$C:$FA,128)*100</f>
        <v>1.17</v>
      </c>
      <c r="F164" s="49">
        <f>VLOOKUP($A164,'Data shares'!$C:$FA,129)</f>
        <v>28000</v>
      </c>
    </row>
    <row r="165" spans="1:6" x14ac:dyDescent="0.25">
      <c r="A165" t="s">
        <v>548</v>
      </c>
      <c r="B165">
        <v>442076</v>
      </c>
      <c r="C165">
        <v>9615</v>
      </c>
      <c r="D165" s="17">
        <f t="shared" si="3"/>
        <v>9615</v>
      </c>
      <c r="E165" s="49">
        <f>VLOOKUP($A165,'Data shares'!$C:$FA,128)*100</f>
        <v>11.98</v>
      </c>
      <c r="F165" s="49">
        <f>VLOOKUP($A165,'Data shares'!$C:$FA,129)</f>
        <v>3616200</v>
      </c>
    </row>
    <row r="166" spans="1:6" x14ac:dyDescent="0.25">
      <c r="A166" t="s">
        <v>530</v>
      </c>
      <c r="B166">
        <v>3258166</v>
      </c>
      <c r="C166">
        <v>219750</v>
      </c>
      <c r="D166" s="17">
        <f t="shared" si="3"/>
        <v>219750</v>
      </c>
      <c r="E166" s="49">
        <f>VLOOKUP($A166,'Data shares'!$C:$FA,128)*100</f>
        <v>9.35</v>
      </c>
      <c r="F166" s="49">
        <f>VLOOKUP($A166,'Data shares'!$C:$FA,129)</f>
        <v>675325</v>
      </c>
    </row>
    <row r="167" spans="1:6" x14ac:dyDescent="0.25">
      <c r="A167" t="s">
        <v>249</v>
      </c>
      <c r="B167">
        <v>277168216</v>
      </c>
      <c r="C167">
        <v>21795375</v>
      </c>
      <c r="D167" s="17">
        <f t="shared" si="3"/>
        <v>21795375</v>
      </c>
      <c r="E167" s="49">
        <f>VLOOKUP($A167,'Data shares'!$C:$FA,128)*100</f>
        <v>14.24</v>
      </c>
      <c r="F167" s="49">
        <f>VLOOKUP($A167,'Data shares'!$C:$FA,129)</f>
        <v>1783250</v>
      </c>
    </row>
    <row r="168" spans="1:6" x14ac:dyDescent="0.25">
      <c r="A168" t="s">
        <v>216</v>
      </c>
      <c r="B168">
        <v>484955219</v>
      </c>
      <c r="C168">
        <v>230400000</v>
      </c>
      <c r="D168" s="17">
        <f t="shared" si="3"/>
        <v>230400000</v>
      </c>
      <c r="E168" s="49">
        <f>VLOOKUP($A168,'Data shares'!$C:$FA,128)*100</f>
        <v>10.66</v>
      </c>
      <c r="F168" s="49">
        <f>VLOOKUP($A168,'Data shares'!$C:$FA,129)</f>
        <v>16614450</v>
      </c>
    </row>
    <row r="169" spans="1:6" x14ac:dyDescent="0.25">
      <c r="A169" t="s">
        <v>252</v>
      </c>
      <c r="B169">
        <v>117640832</v>
      </c>
      <c r="C169">
        <v>52456000</v>
      </c>
      <c r="D169" s="17">
        <f t="shared" si="3"/>
        <v>52456000</v>
      </c>
      <c r="E169" s="49">
        <f>VLOOKUP($A169,'Data shares'!$C:$FA,128)*100</f>
        <v>10</v>
      </c>
      <c r="F169" s="49">
        <f>VLOOKUP($A169,'Data shares'!$C:$FA,129)</f>
        <v>1538600</v>
      </c>
    </row>
    <row r="170" spans="1:6" x14ac:dyDescent="0.25">
      <c r="A170" t="s">
        <v>205</v>
      </c>
      <c r="B170">
        <v>25513876</v>
      </c>
      <c r="C170">
        <v>3302300</v>
      </c>
      <c r="D170" s="17">
        <f t="shared" si="3"/>
        <v>3302300</v>
      </c>
      <c r="E170" s="49">
        <f>VLOOKUP($A170,'Data shares'!$C:$FA,128)*100</f>
        <v>3.35</v>
      </c>
      <c r="F170" s="49">
        <f>VLOOKUP($A170,'Data shares'!$C:$FA,129)</f>
        <v>84300</v>
      </c>
    </row>
    <row r="171" spans="1:6" x14ac:dyDescent="0.25">
      <c r="A171" t="s">
        <v>194</v>
      </c>
      <c r="B171">
        <v>202646440</v>
      </c>
      <c r="C171">
        <v>52470000</v>
      </c>
      <c r="D171" s="17">
        <f t="shared" si="3"/>
        <v>52470000</v>
      </c>
      <c r="E171" s="49">
        <f>VLOOKUP($A171,'Data shares'!$C:$FA,128)*100</f>
        <v>5.24</v>
      </c>
      <c r="F171" s="49">
        <f>VLOOKUP($A171,'Data shares'!$C:$FA,129)</f>
        <v>1366700</v>
      </c>
    </row>
    <row r="172" spans="1:6" x14ac:dyDescent="0.25">
      <c r="A172" t="s">
        <v>263</v>
      </c>
      <c r="B172">
        <v>178967755</v>
      </c>
      <c r="C172">
        <v>142910500</v>
      </c>
      <c r="D172" s="17">
        <f t="shared" si="3"/>
        <v>142910500</v>
      </c>
      <c r="E172" s="49">
        <f>VLOOKUP($A172,'Data shares'!$C:$FA,128)*100</f>
        <v>10.100000000000001</v>
      </c>
      <c r="F172" s="49">
        <f>VLOOKUP($A172,'Data shares'!$C:$FA,129)</f>
        <v>5658750</v>
      </c>
    </row>
    <row r="173" spans="1:6" x14ac:dyDescent="0.25">
      <c r="A173" t="s">
        <v>476</v>
      </c>
      <c r="B173">
        <v>40446155</v>
      </c>
      <c r="C173">
        <v>4358800</v>
      </c>
      <c r="D173" s="17">
        <f t="shared" si="3"/>
        <v>4358800</v>
      </c>
      <c r="E173" s="49">
        <f>VLOOKUP($A173,'Data shares'!$C:$FA,128)*100</f>
        <v>6.2799999999999994</v>
      </c>
      <c r="F173" s="49">
        <f>VLOOKUP($A173,'Data shares'!$C:$FA,129)</f>
        <v>86500</v>
      </c>
    </row>
    <row r="174" spans="1:6" x14ac:dyDescent="0.25">
      <c r="A174" t="s">
        <v>187</v>
      </c>
      <c r="B174">
        <v>51436398</v>
      </c>
      <c r="C174">
        <v>7413750</v>
      </c>
      <c r="D174" s="17">
        <f t="shared" si="3"/>
        <v>7413750</v>
      </c>
      <c r="E174" s="49">
        <f>VLOOKUP($A174,'Data shares'!$C:$FA,128)*100</f>
        <v>8.74</v>
      </c>
      <c r="F174" s="49">
        <f>VLOOKUP($A174,'Data shares'!$C:$FA,129)</f>
        <v>541000</v>
      </c>
    </row>
    <row r="175" spans="1:6" x14ac:dyDescent="0.25">
      <c r="A175" t="s">
        <v>493</v>
      </c>
      <c r="B175">
        <v>14814614</v>
      </c>
      <c r="C175">
        <v>3344250</v>
      </c>
      <c r="D175" s="17">
        <f t="shared" si="3"/>
        <v>3344250</v>
      </c>
      <c r="E175" s="49">
        <f>VLOOKUP($A175,'Data shares'!$C:$FA,128)*100</f>
        <v>9.68</v>
      </c>
      <c r="F175" s="49">
        <f>VLOOKUP($A175,'Data shares'!$C:$FA,129)</f>
        <v>132275</v>
      </c>
    </row>
    <row r="176" spans="1:6" x14ac:dyDescent="0.25">
      <c r="A176" t="s">
        <v>525</v>
      </c>
      <c r="B176">
        <v>35635456</v>
      </c>
      <c r="C176">
        <v>28959300</v>
      </c>
      <c r="D176" s="17">
        <f t="shared" si="3"/>
        <v>28959300</v>
      </c>
      <c r="E176" s="49">
        <f>VLOOKUP($A176,'Data shares'!$C:$FA,128)*100</f>
        <v>6.47</v>
      </c>
      <c r="F176" s="49">
        <f>VLOOKUP($A176,'Data shares'!$C:$FA,129)</f>
        <v>989775</v>
      </c>
    </row>
    <row r="177" spans="1:6" x14ac:dyDescent="0.25">
      <c r="A177" t="s">
        <v>512</v>
      </c>
      <c r="B177">
        <v>7771646</v>
      </c>
      <c r="C177">
        <v>1119375</v>
      </c>
      <c r="D177" s="17">
        <f t="shared" si="3"/>
        <v>1119375</v>
      </c>
      <c r="E177" s="49">
        <f>VLOOKUP($A177,'Data shares'!$C:$FA,128)*100</f>
        <v>12.25</v>
      </c>
      <c r="F177" s="49">
        <f>VLOOKUP($A177,'Data shares'!$C:$FA,129)</f>
        <v>250050</v>
      </c>
    </row>
    <row r="178" spans="1:6" x14ac:dyDescent="0.25">
      <c r="A178" t="s">
        <v>233</v>
      </c>
      <c r="B178">
        <v>76432837</v>
      </c>
      <c r="C178">
        <v>9804000</v>
      </c>
      <c r="D178" s="17">
        <f t="shared" si="3"/>
        <v>9804000</v>
      </c>
      <c r="E178" s="49">
        <f>VLOOKUP($A178,'Data shares'!$C:$FA,128)*100</f>
        <v>2.78</v>
      </c>
      <c r="F178" s="49">
        <f>VLOOKUP($A178,'Data shares'!$C:$FA,129)</f>
        <v>407925</v>
      </c>
    </row>
    <row r="179" spans="1:6" x14ac:dyDescent="0.25">
      <c r="A179" t="s">
        <v>183</v>
      </c>
      <c r="B179">
        <v>12092405</v>
      </c>
      <c r="C179">
        <v>2606450</v>
      </c>
      <c r="D179" s="17">
        <f t="shared" si="3"/>
        <v>2606450</v>
      </c>
      <c r="E179" s="49">
        <f>VLOOKUP($A179,'Data shares'!$C:$FA,128)*100</f>
        <v>12.01</v>
      </c>
      <c r="F179" s="49">
        <f>VLOOKUP($A179,'Data shares'!$C:$FA,129)</f>
        <v>232050</v>
      </c>
    </row>
    <row r="180" spans="1:6" x14ac:dyDescent="0.25">
      <c r="A180" t="s">
        <v>280</v>
      </c>
      <c r="B180">
        <v>187084550</v>
      </c>
      <c r="C180">
        <v>50568000</v>
      </c>
      <c r="D180" s="17">
        <f t="shared" si="3"/>
        <v>50568000</v>
      </c>
      <c r="E180" s="49">
        <f>VLOOKUP($A180,'Data shares'!$C:$FA,128)*100</f>
        <v>10.73</v>
      </c>
      <c r="F180" s="49">
        <f>VLOOKUP($A180,'Data shares'!$C:$FA,129)</f>
        <v>10514000</v>
      </c>
    </row>
    <row r="181" spans="1:6" x14ac:dyDescent="0.25">
      <c r="A181" t="s">
        <v>166</v>
      </c>
      <c r="B181">
        <v>79597108</v>
      </c>
      <c r="C181">
        <v>26630000</v>
      </c>
      <c r="D181" s="17">
        <f t="shared" si="3"/>
        <v>26630000</v>
      </c>
      <c r="E181" s="49">
        <f>VLOOKUP($A181,'Data shares'!$C:$FA,128)*100</f>
        <v>7.1999999999999993</v>
      </c>
      <c r="F181" s="49">
        <f>VLOOKUP($A181,'Data shares'!$C:$FA,129)</f>
        <v>186875</v>
      </c>
    </row>
    <row r="182" spans="1:6" x14ac:dyDescent="0.25">
      <c r="A182" t="s">
        <v>241</v>
      </c>
      <c r="B182">
        <v>913205148</v>
      </c>
      <c r="C182">
        <v>118527500</v>
      </c>
      <c r="D182" s="17">
        <f t="shared" si="3"/>
        <v>118527500</v>
      </c>
      <c r="E182" s="49">
        <f>VLOOKUP($A182,'Data shares'!$C:$FA,128)*100</f>
        <v>6.04</v>
      </c>
      <c r="F182" s="49">
        <f>VLOOKUP($A182,'Data shares'!$C:$FA,129)</f>
        <v>5469750</v>
      </c>
    </row>
    <row r="183" spans="1:6" x14ac:dyDescent="0.25">
      <c r="A183" t="s">
        <v>517</v>
      </c>
      <c r="B183">
        <v>10180563</v>
      </c>
      <c r="C183">
        <v>3926650</v>
      </c>
      <c r="D183" s="17">
        <f t="shared" si="3"/>
        <v>3926650</v>
      </c>
      <c r="E183" s="49">
        <f>VLOOKUP($A183,'Data shares'!$C:$FA,128)*100</f>
        <v>11.08</v>
      </c>
      <c r="F183" s="49">
        <f>VLOOKUP($A183,'Data shares'!$C:$FA,129)</f>
        <v>285000</v>
      </c>
    </row>
    <row r="184" spans="1:6" x14ac:dyDescent="0.25">
      <c r="A184" t="s">
        <v>211</v>
      </c>
      <c r="B184">
        <v>91809066</v>
      </c>
      <c r="C184">
        <v>33516000</v>
      </c>
      <c r="D184" s="17">
        <f t="shared" si="3"/>
        <v>33516000</v>
      </c>
      <c r="E184" s="49">
        <f>VLOOKUP($A184,'Data shares'!$C:$FA,128)*100</f>
        <v>7.06</v>
      </c>
      <c r="F184" s="49">
        <f>VLOOKUP($A184,'Data shares'!$C:$FA,129)</f>
        <v>1992600</v>
      </c>
    </row>
    <row r="185" spans="1:6" x14ac:dyDescent="0.25">
      <c r="A185" t="s">
        <v>518</v>
      </c>
      <c r="B185">
        <v>4636018</v>
      </c>
      <c r="C185">
        <v>608375</v>
      </c>
      <c r="D185" s="17">
        <f t="shared" si="3"/>
        <v>608375</v>
      </c>
      <c r="E185" s="49">
        <f>VLOOKUP($A185,'Data shares'!$C:$FA,128)*100</f>
        <v>6.47</v>
      </c>
      <c r="F185" s="49">
        <f>VLOOKUP($A185,'Data shares'!$C:$FA,129)</f>
        <v>73725</v>
      </c>
    </row>
    <row r="186" spans="1:6" x14ac:dyDescent="0.25">
      <c r="A186" t="s">
        <v>511</v>
      </c>
      <c r="B186">
        <v>18644752</v>
      </c>
      <c r="C186">
        <v>4227600</v>
      </c>
      <c r="D186" s="17">
        <f t="shared" si="3"/>
        <v>4227600</v>
      </c>
      <c r="E186" s="49">
        <f>VLOOKUP($A186,'Data shares'!$C:$FA,128)*100</f>
        <v>15.76</v>
      </c>
      <c r="F186" s="49">
        <f>VLOOKUP($A186,'Data shares'!$C:$FA,129)</f>
        <v>20979000</v>
      </c>
    </row>
    <row r="187" spans="1:6" x14ac:dyDescent="0.25">
      <c r="A187" t="s">
        <v>186</v>
      </c>
      <c r="B187">
        <v>48589957</v>
      </c>
      <c r="C187">
        <v>5942200</v>
      </c>
      <c r="D187" s="17">
        <f t="shared" si="3"/>
        <v>5942200</v>
      </c>
      <c r="E187" s="49">
        <f>VLOOKUP($A187,'Data shares'!$C:$FA,128)*100</f>
        <v>15.879999999999999</v>
      </c>
      <c r="F187" s="49">
        <f>VLOOKUP($A187,'Data shares'!$C:$FA,129)</f>
        <v>16927575</v>
      </c>
    </row>
    <row r="188" spans="1:6" x14ac:dyDescent="0.25">
      <c r="A188" t="s">
        <v>522</v>
      </c>
      <c r="B188">
        <v>1063050</v>
      </c>
      <c r="C188">
        <v>54050</v>
      </c>
      <c r="D188" s="17">
        <f t="shared" si="3"/>
        <v>54050</v>
      </c>
      <c r="E188" s="49">
        <f>VLOOKUP($A188,'Data shares'!$C:$FA,128)*100</f>
        <v>11.35</v>
      </c>
      <c r="F188" s="49">
        <f>VLOOKUP($A188,'Data shares'!$C:$FA,129)</f>
        <v>226750</v>
      </c>
    </row>
    <row r="189" spans="1:6" x14ac:dyDescent="0.25">
      <c r="A189" t="s">
        <v>300</v>
      </c>
      <c r="B189">
        <v>45360865</v>
      </c>
      <c r="C189">
        <v>14277200</v>
      </c>
      <c r="D189" s="17">
        <f t="shared" si="3"/>
        <v>14277200</v>
      </c>
      <c r="E189" s="49">
        <f>VLOOKUP($A189,'Data shares'!$C:$FA,128)*100</f>
        <v>1.87</v>
      </c>
      <c r="F189" s="49">
        <f>VLOOKUP($A189,'Data shares'!$C:$FA,129)</f>
        <v>122675</v>
      </c>
    </row>
    <row r="190" spans="1:6" x14ac:dyDescent="0.25">
      <c r="A190" t="s">
        <v>520</v>
      </c>
      <c r="B190">
        <v>23139622</v>
      </c>
      <c r="C190">
        <v>1555500</v>
      </c>
      <c r="D190" s="17">
        <f t="shared" si="3"/>
        <v>1555500</v>
      </c>
      <c r="E190" s="49">
        <f>VLOOKUP($A190,'Data shares'!$C:$FA,128)*100</f>
        <v>3.2</v>
      </c>
      <c r="F190" s="49">
        <f>VLOOKUP($A190,'Data shares'!$C:$FA,129)</f>
        <v>252000</v>
      </c>
    </row>
    <row r="191" spans="1:6" x14ac:dyDescent="0.25">
      <c r="A191" t="s">
        <v>294</v>
      </c>
      <c r="B191">
        <v>161436977</v>
      </c>
      <c r="C191">
        <v>59382700</v>
      </c>
      <c r="D191" s="17">
        <f t="shared" si="3"/>
        <v>59382700</v>
      </c>
      <c r="E191" s="49">
        <f>VLOOKUP($A191,'Data shares'!$C:$FA,128)*100</f>
        <v>13.450000000000001</v>
      </c>
      <c r="F191" s="49">
        <f>VLOOKUP($A191,'Data shares'!$C:$FA,129)</f>
        <v>31757000</v>
      </c>
    </row>
    <row r="192" spans="1:6" x14ac:dyDescent="0.25">
      <c r="A192" t="s">
        <v>244</v>
      </c>
      <c r="B192">
        <v>265685393</v>
      </c>
      <c r="C192">
        <v>44023500</v>
      </c>
      <c r="D192" s="17">
        <f t="shared" si="3"/>
        <v>44023500</v>
      </c>
      <c r="E192" s="49">
        <f>VLOOKUP($A192,'Data shares'!$C:$FA,128)*100</f>
        <v>5.07</v>
      </c>
      <c r="F192" s="49">
        <f>VLOOKUP($A192,'Data shares'!$C:$FA,129)</f>
        <v>2205225</v>
      </c>
    </row>
    <row r="193" spans="1:6" x14ac:dyDescent="0.25">
      <c r="A193" t="s">
        <v>160</v>
      </c>
      <c r="B193">
        <v>145684825</v>
      </c>
      <c r="C193">
        <v>110820000</v>
      </c>
      <c r="D193" s="17">
        <f t="shared" si="3"/>
        <v>110820000</v>
      </c>
      <c r="E193" s="49">
        <f>VLOOKUP($A193,'Data shares'!$C:$FA,128)*100</f>
        <v>9.7100000000000009</v>
      </c>
      <c r="F193" s="49">
        <f>VLOOKUP($A193,'Data shares'!$C:$FA,129)</f>
        <v>2066250</v>
      </c>
    </row>
    <row r="194" spans="1:6" x14ac:dyDescent="0.25">
      <c r="A194" t="s">
        <v>496</v>
      </c>
      <c r="B194">
        <v>11999202</v>
      </c>
      <c r="C194">
        <v>2345700</v>
      </c>
      <c r="D194" s="17">
        <f t="shared" si="3"/>
        <v>2345700</v>
      </c>
      <c r="E194" s="49">
        <f>VLOOKUP($A194,'Data shares'!$C:$FA,128)*100</f>
        <v>3.7800000000000002</v>
      </c>
      <c r="F194" s="49">
        <f>VLOOKUP($A194,'Data shares'!$C:$FA,129)</f>
        <v>256900</v>
      </c>
    </row>
    <row r="195" spans="1:6" x14ac:dyDescent="0.25">
      <c r="A195" t="s">
        <v>230</v>
      </c>
      <c r="B195">
        <v>179034270</v>
      </c>
      <c r="C195">
        <v>24257400</v>
      </c>
      <c r="D195" s="17">
        <f t="shared" si="3"/>
        <v>24257400</v>
      </c>
      <c r="E195" s="49">
        <f>VLOOKUP($A195,'Data shares'!$C:$FA,128)*100</f>
        <v>16.07</v>
      </c>
      <c r="F195" s="49">
        <f>VLOOKUP($A195,'Data shares'!$C:$FA,129)</f>
        <v>1699800</v>
      </c>
    </row>
    <row r="196" spans="1:6" x14ac:dyDescent="0.25">
      <c r="A196" t="s">
        <v>203</v>
      </c>
      <c r="B196">
        <v>27165463</v>
      </c>
      <c r="C196">
        <v>3318000</v>
      </c>
      <c r="D196" s="17">
        <f t="shared" si="3"/>
        <v>3318000</v>
      </c>
      <c r="E196" s="49">
        <f>VLOOKUP($A196,'Data shares'!$C:$FA,128)*100</f>
        <v>2.87</v>
      </c>
      <c r="F196" s="49">
        <f>VLOOKUP($A196,'Data shares'!$C:$FA,129)</f>
        <v>71000</v>
      </c>
    </row>
    <row r="197" spans="1:6" x14ac:dyDescent="0.25">
      <c r="A197" t="s">
        <v>251</v>
      </c>
      <c r="B197">
        <v>184464522</v>
      </c>
      <c r="C197">
        <v>32566800</v>
      </c>
      <c r="D197" s="17">
        <f t="shared" si="3"/>
        <v>32566800</v>
      </c>
      <c r="E197" s="49">
        <f>VLOOKUP($A197,'Data shares'!$C:$FA,128)*100</f>
        <v>10</v>
      </c>
      <c r="F197" s="49">
        <f>VLOOKUP($A197,'Data shares'!$C:$FA,129)</f>
        <v>1538600</v>
      </c>
    </row>
    <row r="198" spans="1:6" x14ac:dyDescent="0.25">
      <c r="A198" t="s">
        <v>254</v>
      </c>
      <c r="B198">
        <v>104419539</v>
      </c>
      <c r="C198">
        <v>12741000</v>
      </c>
      <c r="D198" s="17">
        <f t="shared" si="3"/>
        <v>12741000</v>
      </c>
      <c r="E198" s="49">
        <f>VLOOKUP($A198,'Data shares'!$C:$FA,128)*100</f>
        <v>0.72</v>
      </c>
      <c r="F198" s="49">
        <f>VLOOKUP($A198,'Data shares'!$C:$FA,129)</f>
        <v>238800</v>
      </c>
    </row>
    <row r="199" spans="1:6" x14ac:dyDescent="0.25">
      <c r="A199" t="s">
        <v>159</v>
      </c>
      <c r="B199">
        <v>55169320</v>
      </c>
      <c r="C199">
        <v>29565500</v>
      </c>
      <c r="D199" s="17">
        <f t="shared" si="3"/>
        <v>29565500</v>
      </c>
      <c r="E199" s="49">
        <f>VLOOKUP($A199,'Data shares'!$C:$FA,128)*100</f>
        <v>11.66</v>
      </c>
      <c r="F199" s="49">
        <f>VLOOKUP($A199,'Data shares'!$C:$FA,129)</f>
        <v>2548014</v>
      </c>
    </row>
    <row r="200" spans="1:6" x14ac:dyDescent="0.25">
      <c r="A200" t="s">
        <v>201</v>
      </c>
      <c r="B200">
        <v>26654592</v>
      </c>
      <c r="C200">
        <v>3469200</v>
      </c>
      <c r="D200" s="17">
        <f t="shared" si="3"/>
        <v>3469200</v>
      </c>
      <c r="E200" s="49">
        <f>VLOOKUP($A200,'Data shares'!$C:$FA,128)*100</f>
        <v>11.73</v>
      </c>
      <c r="F200" s="49">
        <f>VLOOKUP($A200,'Data shares'!$C:$FA,129)</f>
        <v>464850</v>
      </c>
    </row>
    <row r="201" spans="1:6" x14ac:dyDescent="0.25">
      <c r="A201" t="s">
        <v>199</v>
      </c>
      <c r="B201">
        <v>102562642</v>
      </c>
      <c r="C201">
        <v>20641400</v>
      </c>
      <c r="D201" s="17">
        <f t="shared" si="3"/>
        <v>20641400</v>
      </c>
      <c r="E201" s="49">
        <f>VLOOKUP($A201,'Data shares'!$C:$FA,128)*100</f>
        <v>10.040000000000001</v>
      </c>
      <c r="F201" s="49">
        <f>VLOOKUP($A201,'Data shares'!$C:$FA,129)</f>
        <v>1022625</v>
      </c>
    </row>
    <row r="202" spans="1:6" x14ac:dyDescent="0.25">
      <c r="A202" t="s">
        <v>296</v>
      </c>
      <c r="B202">
        <v>124861039</v>
      </c>
      <c r="C202">
        <v>20543400</v>
      </c>
      <c r="D202" s="17">
        <f t="shared" si="3"/>
        <v>20543400</v>
      </c>
      <c r="E202" s="49">
        <f>VLOOKUP($A202,'Data shares'!$C:$FA,128)*100</f>
        <v>4.03</v>
      </c>
      <c r="F202" s="49">
        <f>VLOOKUP($A202,'Data shares'!$C:$FA,129)</f>
        <v>808800</v>
      </c>
    </row>
    <row r="203" spans="1:6" x14ac:dyDescent="0.25">
      <c r="A203" t="s">
        <v>229</v>
      </c>
      <c r="B203">
        <v>127940594</v>
      </c>
      <c r="C203">
        <v>33552900</v>
      </c>
      <c r="D203" s="17">
        <f t="shared" si="3"/>
        <v>33552900</v>
      </c>
      <c r="E203" s="49">
        <f>VLOOKUP($A203,'Data shares'!$C:$FA,128)*100</f>
        <v>4</v>
      </c>
      <c r="F203" s="49">
        <f>VLOOKUP($A203,'Data shares'!$C:$FA,129)</f>
        <v>1425600</v>
      </c>
    </row>
    <row r="204" spans="1:6" x14ac:dyDescent="0.25">
      <c r="A204" t="s">
        <v>497</v>
      </c>
      <c r="B204">
        <v>10251929</v>
      </c>
      <c r="C204">
        <v>266200</v>
      </c>
      <c r="D204" s="17">
        <f t="shared" si="3"/>
        <v>266200</v>
      </c>
      <c r="E204" s="49">
        <f>VLOOKUP($A204,'Data shares'!$C:$FA,128)*100</f>
        <v>3.64</v>
      </c>
      <c r="F204" s="49">
        <f>VLOOKUP($A204,'Data shares'!$C:$FA,129)</f>
        <v>18000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68" zoomScale="86" zoomScaleNormal="86" workbookViewId="0">
      <selection activeCell="K76" sqref="K76"/>
    </sheetView>
  </sheetViews>
  <sheetFormatPr defaultRowHeight="15" x14ac:dyDescent="0.25"/>
  <cols>
    <col min="1" max="1" width="12.42578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19.1406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46008</v>
      </c>
      <c r="B2" s="227" t="s">
        <v>175</v>
      </c>
      <c r="C2" s="227" t="s">
        <v>683</v>
      </c>
      <c r="D2" s="228">
        <v>500</v>
      </c>
      <c r="E2" s="228">
        <v>13</v>
      </c>
      <c r="F2" s="231">
        <v>1130.0999999999999</v>
      </c>
      <c r="G2" s="231">
        <v>1133.2</v>
      </c>
      <c r="H2" s="228">
        <v>-3.1</v>
      </c>
      <c r="I2" s="229">
        <v>-2.7000000000000001E-3</v>
      </c>
      <c r="J2" s="231">
        <v>1126.0999999999999</v>
      </c>
      <c r="K2" s="231">
        <v>1133.4000000000001</v>
      </c>
      <c r="L2" s="228">
        <v>-7.3</v>
      </c>
      <c r="M2" s="229">
        <v>-6.4000000000000003E-3</v>
      </c>
      <c r="N2" s="231">
        <v>1130.0999999999999</v>
      </c>
      <c r="O2" s="231">
        <v>1133.2</v>
      </c>
      <c r="P2" s="228">
        <v>-3.1</v>
      </c>
      <c r="Q2" s="229">
        <v>-2.7000000000000001E-3</v>
      </c>
      <c r="R2" s="231">
        <v>1130.5999999999999</v>
      </c>
      <c r="S2" s="231">
        <v>1134.4000000000001</v>
      </c>
      <c r="T2" s="228">
        <v>-3.8</v>
      </c>
      <c r="U2" s="229">
        <v>-3.3E-3</v>
      </c>
      <c r="V2" s="231">
        <v>1142</v>
      </c>
      <c r="W2" s="231">
        <v>1146</v>
      </c>
      <c r="X2" s="228">
        <v>-4</v>
      </c>
      <c r="Y2" s="229">
        <v>-3.5000000000000001E-3</v>
      </c>
      <c r="Z2" s="228">
        <v>4</v>
      </c>
      <c r="AA2" s="228">
        <v>-0.2</v>
      </c>
      <c r="AB2" s="228">
        <v>4.2</v>
      </c>
      <c r="AC2" s="229">
        <v>3.5999999999999999E-3</v>
      </c>
      <c r="AD2" s="228">
        <v>4</v>
      </c>
      <c r="AE2" s="228">
        <v>-0.2</v>
      </c>
      <c r="AF2" s="228">
        <v>4.2</v>
      </c>
      <c r="AG2" s="229">
        <v>3.5999999999999999E-3</v>
      </c>
      <c r="AH2" s="228">
        <v>4.5</v>
      </c>
      <c r="AI2" s="228">
        <v>1</v>
      </c>
      <c r="AJ2" s="228">
        <v>3.5</v>
      </c>
      <c r="AK2" s="229">
        <v>4.0000000000000001E-3</v>
      </c>
      <c r="AL2" s="228">
        <v>15.9</v>
      </c>
      <c r="AM2" s="228">
        <v>12.6</v>
      </c>
      <c r="AN2" s="228">
        <v>3.3</v>
      </c>
      <c r="AO2" s="229">
        <v>1.41E-2</v>
      </c>
      <c r="AP2" s="231">
        <v>1142.1600000000001</v>
      </c>
      <c r="AQ2" s="231">
        <v>1143.54</v>
      </c>
      <c r="AR2" s="228">
        <v>0</v>
      </c>
      <c r="AS2" s="228">
        <v>348</v>
      </c>
      <c r="AT2" s="228">
        <v>47</v>
      </c>
      <c r="AU2" s="228">
        <v>300</v>
      </c>
      <c r="AV2" s="229">
        <v>6.3285999999999998</v>
      </c>
      <c r="AW2" s="228">
        <v>290</v>
      </c>
      <c r="AX2" s="228">
        <v>41</v>
      </c>
      <c r="AY2" s="228">
        <v>249</v>
      </c>
      <c r="AZ2" s="229">
        <v>6.0041000000000002</v>
      </c>
      <c r="BA2" s="228">
        <v>58</v>
      </c>
      <c r="BB2" s="228">
        <v>6</v>
      </c>
      <c r="BC2" s="228">
        <v>52</v>
      </c>
      <c r="BD2" s="229">
        <v>8.5420999999999996</v>
      </c>
      <c r="BE2" s="228">
        <v>0</v>
      </c>
      <c r="BF2" s="228">
        <v>0</v>
      </c>
      <c r="BG2" s="228">
        <v>0</v>
      </c>
      <c r="BH2" s="229">
        <v>0</v>
      </c>
      <c r="BI2" s="230">
        <v>1079</v>
      </c>
      <c r="BJ2" s="228">
        <v>78</v>
      </c>
      <c r="BK2" s="230">
        <v>1001</v>
      </c>
      <c r="BL2" s="229">
        <v>12.801299999999999</v>
      </c>
      <c r="BM2" s="228">
        <v>662</v>
      </c>
      <c r="BN2" s="228">
        <v>36</v>
      </c>
      <c r="BO2" s="228">
        <v>626</v>
      </c>
      <c r="BP2" s="229">
        <v>17.474799999999998</v>
      </c>
      <c r="BQ2" s="230">
        <v>2089</v>
      </c>
      <c r="BR2" s="228">
        <v>161</v>
      </c>
      <c r="BS2" s="230">
        <v>1927</v>
      </c>
      <c r="BT2" s="229">
        <v>11.935600000000001</v>
      </c>
      <c r="BU2" s="230">
        <v>1074755</v>
      </c>
      <c r="BV2" s="230">
        <v>287669</v>
      </c>
      <c r="BW2" s="230">
        <v>787086</v>
      </c>
      <c r="BX2" s="229">
        <v>2.7361</v>
      </c>
      <c r="BY2" s="228">
        <v>218</v>
      </c>
      <c r="BZ2" s="228">
        <v>207</v>
      </c>
      <c r="CA2" s="228">
        <v>11</v>
      </c>
      <c r="CB2" s="229">
        <v>5.1299999999999998E-2</v>
      </c>
      <c r="CC2" s="228">
        <v>204</v>
      </c>
      <c r="CD2" s="228">
        <v>197</v>
      </c>
      <c r="CE2" s="228">
        <v>7</v>
      </c>
      <c r="CF2" s="229">
        <v>3.4099999999999998E-2</v>
      </c>
      <c r="CG2" s="228">
        <v>13</v>
      </c>
      <c r="CH2" s="228">
        <v>9</v>
      </c>
      <c r="CI2" s="228">
        <v>4</v>
      </c>
      <c r="CJ2" s="229">
        <v>0.41210000000000002</v>
      </c>
      <c r="CK2" s="228">
        <v>1</v>
      </c>
      <c r="CL2" s="228">
        <v>0</v>
      </c>
      <c r="CM2" s="228">
        <v>0</v>
      </c>
      <c r="CN2" s="229">
        <v>0.125</v>
      </c>
      <c r="CO2" s="228">
        <v>195</v>
      </c>
      <c r="CP2" s="228">
        <v>185</v>
      </c>
      <c r="CQ2" s="228">
        <v>10</v>
      </c>
      <c r="CR2" s="229">
        <v>5.2200000000000003E-2</v>
      </c>
      <c r="CS2" s="228">
        <v>123</v>
      </c>
      <c r="CT2" s="228">
        <v>115</v>
      </c>
      <c r="CU2" s="228">
        <v>7</v>
      </c>
      <c r="CV2" s="229">
        <v>6.2700000000000006E-2</v>
      </c>
      <c r="CW2" s="228">
        <v>535</v>
      </c>
      <c r="CX2" s="228">
        <v>507</v>
      </c>
      <c r="CY2" s="228">
        <v>28</v>
      </c>
      <c r="CZ2" s="229">
        <v>5.4199999999999998E-2</v>
      </c>
      <c r="DA2" s="228">
        <v>27.35</v>
      </c>
      <c r="DB2" s="228">
        <v>29.21</v>
      </c>
      <c r="DC2" s="228">
        <v>-1.86</v>
      </c>
      <c r="DD2" s="228">
        <v>-1.86</v>
      </c>
      <c r="DE2" s="228">
        <v>43.42</v>
      </c>
      <c r="DF2" s="228">
        <v>43.52</v>
      </c>
      <c r="DG2" s="228">
        <v>-16.07</v>
      </c>
      <c r="DH2" s="228">
        <v>-0.1</v>
      </c>
      <c r="DI2" s="228">
        <v>27.58</v>
      </c>
      <c r="DJ2" s="228">
        <v>28.98</v>
      </c>
      <c r="DK2" s="228">
        <v>-1.4</v>
      </c>
      <c r="DL2" s="228">
        <v>-1.4</v>
      </c>
      <c r="DM2" s="228">
        <v>26.98</v>
      </c>
      <c r="DN2" s="228">
        <v>29.71</v>
      </c>
      <c r="DO2" s="228">
        <v>-2.73</v>
      </c>
      <c r="DP2" s="228">
        <v>-2.73</v>
      </c>
      <c r="DQ2" s="228">
        <v>0.63</v>
      </c>
      <c r="DR2" s="228">
        <v>0.62</v>
      </c>
      <c r="DS2" s="228">
        <v>0.01</v>
      </c>
      <c r="DT2" s="229">
        <v>1.61E-2</v>
      </c>
      <c r="DU2" s="231">
        <v>1200</v>
      </c>
      <c r="DV2" s="231">
        <v>1060</v>
      </c>
      <c r="DW2" s="228">
        <v>0.61</v>
      </c>
      <c r="DX2" s="228">
        <v>0.46</v>
      </c>
      <c r="DY2" s="228">
        <v>0.15</v>
      </c>
      <c r="DZ2" s="229">
        <v>0.3261</v>
      </c>
      <c r="EA2" s="229">
        <v>6.2799999999999995E-2</v>
      </c>
      <c r="EB2" s="230">
        <v>86500</v>
      </c>
      <c r="EC2" s="229">
        <v>4.0000000000000002E-4</v>
      </c>
      <c r="ED2" s="229">
        <v>6.2799999999999995E-2</v>
      </c>
      <c r="EE2" s="228">
        <v>1.38</v>
      </c>
      <c r="EF2" s="229">
        <v>1.1999999999999999E-3</v>
      </c>
      <c r="EG2" s="230">
        <v>178064</v>
      </c>
      <c r="EH2" s="230">
        <v>170595</v>
      </c>
      <c r="EI2" s="229">
        <v>4.3799999999999999E-2</v>
      </c>
      <c r="EJ2" s="229">
        <v>0.16569999999999999</v>
      </c>
      <c r="EK2" s="231">
        <v>1121.73</v>
      </c>
      <c r="EL2" s="228">
        <v>684.46</v>
      </c>
      <c r="EM2" s="228">
        <v>351.63</v>
      </c>
      <c r="EN2" s="228">
        <v>28.62</v>
      </c>
      <c r="EO2" s="231">
        <v>2157.81</v>
      </c>
      <c r="EP2" s="228">
        <v>165.63</v>
      </c>
      <c r="EQ2" s="231">
        <v>1992.18</v>
      </c>
      <c r="ER2" s="229">
        <v>12.027799999999999</v>
      </c>
      <c r="ES2" s="228">
        <v>205.41</v>
      </c>
      <c r="ET2" s="228">
        <v>119.72</v>
      </c>
      <c r="EU2" s="228">
        <v>217.72</v>
      </c>
      <c r="EV2" s="231">
        <v>44660948</v>
      </c>
      <c r="EW2" s="228">
        <v>542.86</v>
      </c>
      <c r="EX2" s="228">
        <v>515.80999999999995</v>
      </c>
      <c r="EY2" s="228">
        <v>27.05</v>
      </c>
      <c r="EZ2" s="229">
        <v>5.2400000000000002E-2</v>
      </c>
      <c r="FA2" s="229">
        <v>0.106</v>
      </c>
      <c r="FB2" s="227" t="s">
        <v>567</v>
      </c>
      <c r="FC2">
        <f>BY2-CC2</f>
        <v>14</v>
      </c>
    </row>
    <row r="3" spans="1:159" ht="17.25" thickBot="1" x14ac:dyDescent="0.3">
      <c r="A3" s="226">
        <v>46008</v>
      </c>
      <c r="B3" s="227" t="s">
        <v>184</v>
      </c>
      <c r="C3" s="227" t="s">
        <v>553</v>
      </c>
      <c r="D3" s="228">
        <v>125</v>
      </c>
      <c r="E3" s="228">
        <v>13</v>
      </c>
      <c r="F3" s="231">
        <v>5190</v>
      </c>
      <c r="G3" s="231">
        <v>5262</v>
      </c>
      <c r="H3" s="228">
        <v>-72</v>
      </c>
      <c r="I3" s="229">
        <v>-1.37E-2</v>
      </c>
      <c r="J3" s="231">
        <v>5171</v>
      </c>
      <c r="K3" s="231">
        <v>5242</v>
      </c>
      <c r="L3" s="228">
        <v>-71</v>
      </c>
      <c r="M3" s="229">
        <v>-1.35E-2</v>
      </c>
      <c r="N3" s="231">
        <v>5190</v>
      </c>
      <c r="O3" s="231">
        <v>5262</v>
      </c>
      <c r="P3" s="228">
        <v>-72</v>
      </c>
      <c r="Q3" s="229">
        <v>-1.37E-2</v>
      </c>
      <c r="R3" s="231">
        <v>5198</v>
      </c>
      <c r="S3" s="231">
        <v>5273.5</v>
      </c>
      <c r="T3" s="228">
        <v>-75.5</v>
      </c>
      <c r="U3" s="229">
        <v>-1.43E-2</v>
      </c>
      <c r="V3" s="231">
        <v>5228.5</v>
      </c>
      <c r="W3" s="231">
        <v>5289.5</v>
      </c>
      <c r="X3" s="228">
        <v>-61</v>
      </c>
      <c r="Y3" s="229">
        <v>-1.15E-2</v>
      </c>
      <c r="Z3" s="228">
        <v>19</v>
      </c>
      <c r="AA3" s="228">
        <v>20</v>
      </c>
      <c r="AB3" s="228">
        <v>-1</v>
      </c>
      <c r="AC3" s="229">
        <v>3.7000000000000002E-3</v>
      </c>
      <c r="AD3" s="228">
        <v>19</v>
      </c>
      <c r="AE3" s="228">
        <v>20</v>
      </c>
      <c r="AF3" s="228">
        <v>-1</v>
      </c>
      <c r="AG3" s="229">
        <v>3.7000000000000002E-3</v>
      </c>
      <c r="AH3" s="228">
        <v>27</v>
      </c>
      <c r="AI3" s="228">
        <v>31.5</v>
      </c>
      <c r="AJ3" s="228">
        <v>-4.5</v>
      </c>
      <c r="AK3" s="229">
        <v>5.1999999999999998E-3</v>
      </c>
      <c r="AL3" s="228">
        <v>57.5</v>
      </c>
      <c r="AM3" s="228">
        <v>47.5</v>
      </c>
      <c r="AN3" s="228">
        <v>10</v>
      </c>
      <c r="AO3" s="229">
        <v>1.11E-2</v>
      </c>
      <c r="AP3" s="231">
        <v>5213.4399999999996</v>
      </c>
      <c r="AQ3" s="231">
        <v>5225.99</v>
      </c>
      <c r="AR3" s="228">
        <v>0</v>
      </c>
      <c r="AS3" s="228">
        <v>173</v>
      </c>
      <c r="AT3" s="228">
        <v>166</v>
      </c>
      <c r="AU3" s="228">
        <v>7</v>
      </c>
      <c r="AV3" s="229">
        <v>4.1399999999999999E-2</v>
      </c>
      <c r="AW3" s="228">
        <v>123</v>
      </c>
      <c r="AX3" s="228">
        <v>135</v>
      </c>
      <c r="AY3" s="228">
        <v>-12</v>
      </c>
      <c r="AZ3" s="229">
        <v>-8.9099999999999999E-2</v>
      </c>
      <c r="BA3" s="228">
        <v>48</v>
      </c>
      <c r="BB3" s="228">
        <v>30</v>
      </c>
      <c r="BC3" s="228">
        <v>18</v>
      </c>
      <c r="BD3" s="229">
        <v>0.59689999999999999</v>
      </c>
      <c r="BE3" s="228">
        <v>2</v>
      </c>
      <c r="BF3" s="228">
        <v>1</v>
      </c>
      <c r="BG3" s="228">
        <v>1</v>
      </c>
      <c r="BH3" s="229">
        <v>1.125</v>
      </c>
      <c r="BI3" s="228">
        <v>381</v>
      </c>
      <c r="BJ3" s="228">
        <v>271</v>
      </c>
      <c r="BK3" s="228">
        <v>110</v>
      </c>
      <c r="BL3" s="229">
        <v>0.40360000000000001</v>
      </c>
      <c r="BM3" s="228">
        <v>191</v>
      </c>
      <c r="BN3" s="228">
        <v>141</v>
      </c>
      <c r="BO3" s="228">
        <v>50</v>
      </c>
      <c r="BP3" s="229">
        <v>0.35560000000000003</v>
      </c>
      <c r="BQ3" s="228">
        <v>745</v>
      </c>
      <c r="BR3" s="228">
        <v>578</v>
      </c>
      <c r="BS3" s="228">
        <v>166</v>
      </c>
      <c r="BT3" s="229">
        <v>0.2878</v>
      </c>
      <c r="BU3" s="230">
        <v>87853</v>
      </c>
      <c r="BV3" s="230">
        <v>134178</v>
      </c>
      <c r="BW3" s="230">
        <v>-46325</v>
      </c>
      <c r="BX3" s="229">
        <v>-0.3453</v>
      </c>
      <c r="BY3" s="230">
        <v>1300</v>
      </c>
      <c r="BZ3" s="230">
        <v>1288</v>
      </c>
      <c r="CA3" s="228">
        <v>12</v>
      </c>
      <c r="CB3" s="229">
        <v>9.1000000000000004E-3</v>
      </c>
      <c r="CC3" s="230">
        <v>1153</v>
      </c>
      <c r="CD3" s="230">
        <v>1171</v>
      </c>
      <c r="CE3" s="228">
        <v>-18</v>
      </c>
      <c r="CF3" s="229">
        <v>-1.55E-2</v>
      </c>
      <c r="CG3" s="228">
        <v>136</v>
      </c>
      <c r="CH3" s="228">
        <v>107</v>
      </c>
      <c r="CI3" s="228">
        <v>29</v>
      </c>
      <c r="CJ3" s="229">
        <v>0.27079999999999999</v>
      </c>
      <c r="CK3" s="228">
        <v>12</v>
      </c>
      <c r="CL3" s="228">
        <v>11</v>
      </c>
      <c r="CM3" s="228">
        <v>1</v>
      </c>
      <c r="CN3" s="229">
        <v>8.3799999999999999E-2</v>
      </c>
      <c r="CO3" s="228">
        <v>453</v>
      </c>
      <c r="CP3" s="228">
        <v>430</v>
      </c>
      <c r="CQ3" s="228">
        <v>23</v>
      </c>
      <c r="CR3" s="229">
        <v>5.2699999999999997E-2</v>
      </c>
      <c r="CS3" s="228">
        <v>351</v>
      </c>
      <c r="CT3" s="228">
        <v>358</v>
      </c>
      <c r="CU3" s="228">
        <v>-8</v>
      </c>
      <c r="CV3" s="229">
        <v>-2.1000000000000001E-2</v>
      </c>
      <c r="CW3" s="230">
        <v>2104</v>
      </c>
      <c r="CX3" s="230">
        <v>2077</v>
      </c>
      <c r="CY3" s="228">
        <v>27</v>
      </c>
      <c r="CZ3" s="229">
        <v>1.29E-2</v>
      </c>
      <c r="DA3" s="228">
        <v>20.93</v>
      </c>
      <c r="DB3" s="228">
        <v>20.57</v>
      </c>
      <c r="DC3" s="228">
        <v>0.36</v>
      </c>
      <c r="DD3" s="228">
        <v>0.36</v>
      </c>
      <c r="DE3" s="228">
        <v>34.450000000000003</v>
      </c>
      <c r="DF3" s="228">
        <v>34.479999999999997</v>
      </c>
      <c r="DG3" s="228">
        <v>-13.52</v>
      </c>
      <c r="DH3" s="228">
        <v>-0.03</v>
      </c>
      <c r="DI3" s="228">
        <v>21.38</v>
      </c>
      <c r="DJ3" s="228">
        <v>20.92</v>
      </c>
      <c r="DK3" s="228">
        <v>0.46</v>
      </c>
      <c r="DL3" s="228">
        <v>0.46</v>
      </c>
      <c r="DM3" s="228">
        <v>20.04</v>
      </c>
      <c r="DN3" s="228">
        <v>19.899999999999999</v>
      </c>
      <c r="DO3" s="228">
        <v>0.14000000000000001</v>
      </c>
      <c r="DP3" s="228">
        <v>0.14000000000000001</v>
      </c>
      <c r="DQ3" s="228">
        <v>0.78</v>
      </c>
      <c r="DR3" s="228">
        <v>0.83</v>
      </c>
      <c r="DS3" s="228">
        <v>-0.05</v>
      </c>
      <c r="DT3" s="229">
        <v>-6.0199999999999997E-2</v>
      </c>
      <c r="DU3" s="231">
        <v>5500</v>
      </c>
      <c r="DV3" s="231">
        <v>5000</v>
      </c>
      <c r="DW3" s="228">
        <v>0.5</v>
      </c>
      <c r="DX3" s="228">
        <v>0.52</v>
      </c>
      <c r="DY3" s="228">
        <v>-0.02</v>
      </c>
      <c r="DZ3" s="229">
        <v>-3.85E-2</v>
      </c>
      <c r="EA3" s="229">
        <v>0.1135</v>
      </c>
      <c r="EB3" s="230">
        <v>226750</v>
      </c>
      <c r="EC3" s="229">
        <v>1.5E-3</v>
      </c>
      <c r="ED3" s="229">
        <v>0.1135</v>
      </c>
      <c r="EE3" s="228">
        <v>12.55</v>
      </c>
      <c r="EF3" s="229">
        <v>2.3999999999999998E-3</v>
      </c>
      <c r="EG3" s="230">
        <v>47393</v>
      </c>
      <c r="EH3" s="230">
        <v>98282</v>
      </c>
      <c r="EI3" s="229">
        <v>-0.51780000000000004</v>
      </c>
      <c r="EJ3" s="229">
        <v>0.53949999999999998</v>
      </c>
      <c r="EK3" s="228">
        <v>399.23</v>
      </c>
      <c r="EL3" s="228">
        <v>190.29</v>
      </c>
      <c r="EM3" s="228">
        <v>174.06</v>
      </c>
      <c r="EN3" s="228">
        <v>35.35</v>
      </c>
      <c r="EO3" s="228">
        <v>763.58</v>
      </c>
      <c r="EP3" s="228">
        <v>598.52</v>
      </c>
      <c r="EQ3" s="228">
        <v>165.06</v>
      </c>
      <c r="ER3" s="229">
        <v>0.27579999999999999</v>
      </c>
      <c r="ES3" s="228">
        <v>469.86</v>
      </c>
      <c r="ET3" s="228">
        <v>347.53</v>
      </c>
      <c r="EU3" s="231">
        <v>1300.52</v>
      </c>
      <c r="EV3" s="231">
        <v>7946564</v>
      </c>
      <c r="EW3" s="231">
        <v>2117.92</v>
      </c>
      <c r="EX3" s="231">
        <v>2108.4299999999998</v>
      </c>
      <c r="EY3" s="228">
        <v>9.49</v>
      </c>
      <c r="EZ3" s="229">
        <v>4.4999999999999997E-3</v>
      </c>
      <c r="FA3" s="229">
        <v>0.51</v>
      </c>
      <c r="FB3" s="227" t="s">
        <v>567</v>
      </c>
      <c r="FC3">
        <f t="shared" ref="FC3:FC66" si="0">BY3-CC3</f>
        <v>147</v>
      </c>
    </row>
    <row r="4" spans="1:159" ht="17.25" thickBot="1" x14ac:dyDescent="0.3">
      <c r="A4" s="226">
        <v>46008</v>
      </c>
      <c r="B4" s="227" t="s">
        <v>175</v>
      </c>
      <c r="C4" s="227" t="s">
        <v>544</v>
      </c>
      <c r="D4" s="228">
        <v>3100</v>
      </c>
      <c r="E4" s="228">
        <v>13</v>
      </c>
      <c r="F4" s="228">
        <v>347.7</v>
      </c>
      <c r="G4" s="228">
        <v>348.75</v>
      </c>
      <c r="H4" s="228">
        <v>-1.05</v>
      </c>
      <c r="I4" s="229">
        <v>-3.0000000000000001E-3</v>
      </c>
      <c r="J4" s="228">
        <v>346.8</v>
      </c>
      <c r="K4" s="228">
        <v>348.05</v>
      </c>
      <c r="L4" s="228">
        <v>-1.25</v>
      </c>
      <c r="M4" s="229">
        <v>-3.5999999999999999E-3</v>
      </c>
      <c r="N4" s="228">
        <v>347.7</v>
      </c>
      <c r="O4" s="228">
        <v>348.75</v>
      </c>
      <c r="P4" s="228">
        <v>-1.05</v>
      </c>
      <c r="Q4" s="229">
        <v>-3.0000000000000001E-3</v>
      </c>
      <c r="R4" s="228">
        <v>349.7</v>
      </c>
      <c r="S4" s="228">
        <v>350.65</v>
      </c>
      <c r="T4" s="228">
        <v>-0.95</v>
      </c>
      <c r="U4" s="229">
        <v>-2.7000000000000001E-3</v>
      </c>
      <c r="V4" s="228">
        <v>351.55</v>
      </c>
      <c r="W4" s="228">
        <v>352.55</v>
      </c>
      <c r="X4" s="228">
        <v>-1</v>
      </c>
      <c r="Y4" s="229">
        <v>-2.8E-3</v>
      </c>
      <c r="Z4" s="228">
        <v>0.9</v>
      </c>
      <c r="AA4" s="228">
        <v>0.7</v>
      </c>
      <c r="AB4" s="228">
        <v>0.2</v>
      </c>
      <c r="AC4" s="229">
        <v>2.5999999999999999E-3</v>
      </c>
      <c r="AD4" s="228">
        <v>0.9</v>
      </c>
      <c r="AE4" s="228">
        <v>0.7</v>
      </c>
      <c r="AF4" s="228">
        <v>0.2</v>
      </c>
      <c r="AG4" s="229">
        <v>2.5999999999999999E-3</v>
      </c>
      <c r="AH4" s="228">
        <v>2.9</v>
      </c>
      <c r="AI4" s="228">
        <v>2.6</v>
      </c>
      <c r="AJ4" s="228">
        <v>0.3</v>
      </c>
      <c r="AK4" s="229">
        <v>8.3999999999999995E-3</v>
      </c>
      <c r="AL4" s="228">
        <v>4.75</v>
      </c>
      <c r="AM4" s="228">
        <v>4.5</v>
      </c>
      <c r="AN4" s="228">
        <v>0.25</v>
      </c>
      <c r="AO4" s="229">
        <v>1.37E-2</v>
      </c>
      <c r="AP4" s="228">
        <v>349.59</v>
      </c>
      <c r="AQ4" s="228">
        <v>351.03</v>
      </c>
      <c r="AR4" s="228">
        <v>0</v>
      </c>
      <c r="AS4" s="228">
        <v>293</v>
      </c>
      <c r="AT4" s="228">
        <v>324</v>
      </c>
      <c r="AU4" s="228">
        <v>-31</v>
      </c>
      <c r="AV4" s="229">
        <v>-9.5500000000000002E-2</v>
      </c>
      <c r="AW4" s="228">
        <v>261</v>
      </c>
      <c r="AX4" s="228">
        <v>278</v>
      </c>
      <c r="AY4" s="228">
        <v>-17</v>
      </c>
      <c r="AZ4" s="229">
        <v>-6.0199999999999997E-2</v>
      </c>
      <c r="BA4" s="228">
        <v>29</v>
      </c>
      <c r="BB4" s="228">
        <v>43</v>
      </c>
      <c r="BC4" s="228">
        <v>-14</v>
      </c>
      <c r="BD4" s="229">
        <v>-0.3291</v>
      </c>
      <c r="BE4" s="228">
        <v>3</v>
      </c>
      <c r="BF4" s="228">
        <v>4</v>
      </c>
      <c r="BG4" s="228">
        <v>0</v>
      </c>
      <c r="BH4" s="229">
        <v>-3.0300000000000001E-2</v>
      </c>
      <c r="BI4" s="230">
        <v>1037</v>
      </c>
      <c r="BJ4" s="230">
        <v>1075</v>
      </c>
      <c r="BK4" s="228">
        <v>-39</v>
      </c>
      <c r="BL4" s="229">
        <v>-3.5900000000000001E-2</v>
      </c>
      <c r="BM4" s="228">
        <v>570</v>
      </c>
      <c r="BN4" s="228">
        <v>398</v>
      </c>
      <c r="BO4" s="228">
        <v>172</v>
      </c>
      <c r="BP4" s="229">
        <v>0.43149999999999999</v>
      </c>
      <c r="BQ4" s="230">
        <v>1900</v>
      </c>
      <c r="BR4" s="230">
        <v>1797</v>
      </c>
      <c r="BS4" s="228">
        <v>102</v>
      </c>
      <c r="BT4" s="229">
        <v>5.6899999999999999E-2</v>
      </c>
      <c r="BU4" s="230">
        <v>3471979</v>
      </c>
      <c r="BV4" s="230">
        <v>3796041</v>
      </c>
      <c r="BW4" s="230">
        <v>-324062</v>
      </c>
      <c r="BX4" s="229">
        <v>-8.5400000000000004E-2</v>
      </c>
      <c r="BY4" s="230">
        <v>2610</v>
      </c>
      <c r="BZ4" s="230">
        <v>2618</v>
      </c>
      <c r="CA4" s="228">
        <v>-8</v>
      </c>
      <c r="CB4" s="229">
        <v>-3.2000000000000002E-3</v>
      </c>
      <c r="CC4" s="230">
        <v>2504</v>
      </c>
      <c r="CD4" s="230">
        <v>2519</v>
      </c>
      <c r="CE4" s="228">
        <v>-15</v>
      </c>
      <c r="CF4" s="229">
        <v>-5.8999999999999999E-3</v>
      </c>
      <c r="CG4" s="228">
        <v>91</v>
      </c>
      <c r="CH4" s="228">
        <v>85</v>
      </c>
      <c r="CI4" s="228">
        <v>6</v>
      </c>
      <c r="CJ4" s="229">
        <v>7.3999999999999996E-2</v>
      </c>
      <c r="CK4" s="228">
        <v>15</v>
      </c>
      <c r="CL4" s="228">
        <v>15</v>
      </c>
      <c r="CM4" s="228">
        <v>0</v>
      </c>
      <c r="CN4" s="229">
        <v>1.44E-2</v>
      </c>
      <c r="CO4" s="228">
        <v>945</v>
      </c>
      <c r="CP4" s="228">
        <v>903</v>
      </c>
      <c r="CQ4" s="228">
        <v>42</v>
      </c>
      <c r="CR4" s="229">
        <v>4.6800000000000001E-2</v>
      </c>
      <c r="CS4" s="228">
        <v>618</v>
      </c>
      <c r="CT4" s="228">
        <v>596</v>
      </c>
      <c r="CU4" s="228">
        <v>22</v>
      </c>
      <c r="CV4" s="229">
        <v>3.6700000000000003E-2</v>
      </c>
      <c r="CW4" s="230">
        <v>4173</v>
      </c>
      <c r="CX4" s="230">
        <v>4117</v>
      </c>
      <c r="CY4" s="228">
        <v>56</v>
      </c>
      <c r="CZ4" s="229">
        <v>1.3599999999999999E-2</v>
      </c>
      <c r="DA4" s="228">
        <v>27.01</v>
      </c>
      <c r="DB4" s="228">
        <v>28.07</v>
      </c>
      <c r="DC4" s="228">
        <v>-1.06</v>
      </c>
      <c r="DD4" s="228">
        <v>-1.06</v>
      </c>
      <c r="DE4" s="228">
        <v>38.950000000000003</v>
      </c>
      <c r="DF4" s="228">
        <v>39.049999999999997</v>
      </c>
      <c r="DG4" s="228">
        <v>-11.94</v>
      </c>
      <c r="DH4" s="228">
        <v>-0.1</v>
      </c>
      <c r="DI4" s="228">
        <v>27.59</v>
      </c>
      <c r="DJ4" s="228">
        <v>28.74</v>
      </c>
      <c r="DK4" s="228">
        <v>-1.1499999999999999</v>
      </c>
      <c r="DL4" s="228">
        <v>-1.1499999999999999</v>
      </c>
      <c r="DM4" s="228">
        <v>25.97</v>
      </c>
      <c r="DN4" s="228">
        <v>26.26</v>
      </c>
      <c r="DO4" s="228">
        <v>-0.28999999999999998</v>
      </c>
      <c r="DP4" s="228">
        <v>-0.28999999999999998</v>
      </c>
      <c r="DQ4" s="228">
        <v>0.65</v>
      </c>
      <c r="DR4" s="228">
        <v>0.66</v>
      </c>
      <c r="DS4" s="228">
        <v>-0.01</v>
      </c>
      <c r="DT4" s="229">
        <v>-1.52E-2</v>
      </c>
      <c r="DU4" s="228">
        <v>360</v>
      </c>
      <c r="DV4" s="228">
        <v>340</v>
      </c>
      <c r="DW4" s="228">
        <v>0.55000000000000004</v>
      </c>
      <c r="DX4" s="228">
        <v>0.37</v>
      </c>
      <c r="DY4" s="228">
        <v>0.18</v>
      </c>
      <c r="DZ4" s="229">
        <v>0.48649999999999999</v>
      </c>
      <c r="EA4" s="229">
        <v>4.0599999999999997E-2</v>
      </c>
      <c r="EB4" s="230">
        <v>2861300</v>
      </c>
      <c r="EC4" s="229">
        <v>5.7999999999999996E-3</v>
      </c>
      <c r="ED4" s="229">
        <v>4.0599999999999997E-2</v>
      </c>
      <c r="EE4" s="228">
        <v>1.44</v>
      </c>
      <c r="EF4" s="229">
        <v>4.1000000000000003E-3</v>
      </c>
      <c r="EG4" s="230">
        <v>1680944</v>
      </c>
      <c r="EH4" s="230">
        <v>1989135</v>
      </c>
      <c r="EI4" s="229">
        <v>-0.15490000000000001</v>
      </c>
      <c r="EJ4" s="229">
        <v>0.48409999999999997</v>
      </c>
      <c r="EK4" s="231">
        <v>1086.83</v>
      </c>
      <c r="EL4" s="228">
        <v>568.07000000000005</v>
      </c>
      <c r="EM4" s="228">
        <v>294.82</v>
      </c>
      <c r="EN4" s="228">
        <v>37.35</v>
      </c>
      <c r="EO4" s="231">
        <v>1949.71</v>
      </c>
      <c r="EP4" s="231">
        <v>1872.55</v>
      </c>
      <c r="EQ4" s="228">
        <v>77.16</v>
      </c>
      <c r="ER4" s="229">
        <v>4.1200000000000001E-2</v>
      </c>
      <c r="ES4" s="228">
        <v>989.34</v>
      </c>
      <c r="ET4" s="228">
        <v>596.92999999999995</v>
      </c>
      <c r="EU4" s="231">
        <v>2610.4299999999998</v>
      </c>
      <c r="EV4" s="231">
        <v>122316423</v>
      </c>
      <c r="EW4" s="231">
        <v>4196.6899999999996</v>
      </c>
      <c r="EX4" s="231">
        <v>4151.26</v>
      </c>
      <c r="EY4" s="228">
        <v>45.43</v>
      </c>
      <c r="EZ4" s="229">
        <v>1.09E-2</v>
      </c>
      <c r="FA4" s="229">
        <v>0.98109999999999997</v>
      </c>
      <c r="FB4" s="227" t="s">
        <v>568</v>
      </c>
      <c r="FC4">
        <f t="shared" si="0"/>
        <v>106</v>
      </c>
    </row>
    <row r="5" spans="1:159" ht="17.25" thickBot="1" x14ac:dyDescent="0.3">
      <c r="A5" s="226">
        <v>46008</v>
      </c>
      <c r="B5" s="227" t="s">
        <v>161</v>
      </c>
      <c r="C5" s="227" t="s">
        <v>579</v>
      </c>
      <c r="D5" s="228">
        <v>675</v>
      </c>
      <c r="E5" s="228">
        <v>13</v>
      </c>
      <c r="F5" s="228">
        <v>981.3</v>
      </c>
      <c r="G5" s="228">
        <v>995.95</v>
      </c>
      <c r="H5" s="228">
        <v>-14.65</v>
      </c>
      <c r="I5" s="229">
        <v>-1.47E-2</v>
      </c>
      <c r="J5" s="228">
        <v>977.55</v>
      </c>
      <c r="K5" s="228">
        <v>994.3</v>
      </c>
      <c r="L5" s="228">
        <v>-16.75</v>
      </c>
      <c r="M5" s="229">
        <v>-1.6799999999999999E-2</v>
      </c>
      <c r="N5" s="228">
        <v>981.3</v>
      </c>
      <c r="O5" s="228">
        <v>995.95</v>
      </c>
      <c r="P5" s="228">
        <v>-14.65</v>
      </c>
      <c r="Q5" s="229">
        <v>-1.47E-2</v>
      </c>
      <c r="R5" s="228">
        <v>986.9</v>
      </c>
      <c r="S5" s="231">
        <v>1002.95</v>
      </c>
      <c r="T5" s="228">
        <v>-16.05</v>
      </c>
      <c r="U5" s="229">
        <v>-1.6E-2</v>
      </c>
      <c r="V5" s="228">
        <v>994.7</v>
      </c>
      <c r="W5" s="231">
        <v>1010.7</v>
      </c>
      <c r="X5" s="228">
        <v>-16</v>
      </c>
      <c r="Y5" s="229">
        <v>-1.5800000000000002E-2</v>
      </c>
      <c r="Z5" s="228">
        <v>3.75</v>
      </c>
      <c r="AA5" s="228">
        <v>1.65</v>
      </c>
      <c r="AB5" s="228">
        <v>2.1</v>
      </c>
      <c r="AC5" s="229">
        <v>3.8E-3</v>
      </c>
      <c r="AD5" s="228">
        <v>3.75</v>
      </c>
      <c r="AE5" s="228">
        <v>1.65</v>
      </c>
      <c r="AF5" s="228">
        <v>2.1</v>
      </c>
      <c r="AG5" s="229">
        <v>3.8E-3</v>
      </c>
      <c r="AH5" s="228">
        <v>9.35</v>
      </c>
      <c r="AI5" s="228">
        <v>8.65</v>
      </c>
      <c r="AJ5" s="228">
        <v>0.7</v>
      </c>
      <c r="AK5" s="229">
        <v>9.5999999999999992E-3</v>
      </c>
      <c r="AL5" s="228">
        <v>17.149999999999999</v>
      </c>
      <c r="AM5" s="228">
        <v>16.399999999999999</v>
      </c>
      <c r="AN5" s="228">
        <v>0.75</v>
      </c>
      <c r="AO5" s="229">
        <v>1.7500000000000002E-2</v>
      </c>
      <c r="AP5" s="228">
        <v>986.58</v>
      </c>
      <c r="AQ5" s="228">
        <v>991.47</v>
      </c>
      <c r="AR5" s="228">
        <v>0</v>
      </c>
      <c r="AS5" s="228">
        <v>127</v>
      </c>
      <c r="AT5" s="228">
        <v>89</v>
      </c>
      <c r="AU5" s="228">
        <v>38</v>
      </c>
      <c r="AV5" s="229">
        <v>0.42599999999999999</v>
      </c>
      <c r="AW5" s="228">
        <v>106</v>
      </c>
      <c r="AX5" s="228">
        <v>80</v>
      </c>
      <c r="AY5" s="228">
        <v>26</v>
      </c>
      <c r="AZ5" s="229">
        <v>0.32129999999999997</v>
      </c>
      <c r="BA5" s="228">
        <v>21</v>
      </c>
      <c r="BB5" s="228">
        <v>8</v>
      </c>
      <c r="BC5" s="228">
        <v>12</v>
      </c>
      <c r="BD5" s="229">
        <v>1.488</v>
      </c>
      <c r="BE5" s="228">
        <v>0</v>
      </c>
      <c r="BF5" s="228">
        <v>0</v>
      </c>
      <c r="BG5" s="228">
        <v>0</v>
      </c>
      <c r="BH5" s="229">
        <v>-0.5</v>
      </c>
      <c r="BI5" s="228">
        <v>372</v>
      </c>
      <c r="BJ5" s="228">
        <v>311</v>
      </c>
      <c r="BK5" s="228">
        <v>61</v>
      </c>
      <c r="BL5" s="229">
        <v>0.1966</v>
      </c>
      <c r="BM5" s="228">
        <v>224</v>
      </c>
      <c r="BN5" s="228">
        <v>226</v>
      </c>
      <c r="BO5" s="228">
        <v>-2</v>
      </c>
      <c r="BP5" s="229">
        <v>-8.5000000000000006E-3</v>
      </c>
      <c r="BQ5" s="228">
        <v>722</v>
      </c>
      <c r="BR5" s="228">
        <v>625</v>
      </c>
      <c r="BS5" s="228">
        <v>97</v>
      </c>
      <c r="BT5" s="229">
        <v>0.15529999999999999</v>
      </c>
      <c r="BU5" s="230">
        <v>758614</v>
      </c>
      <c r="BV5" s="230">
        <v>768141</v>
      </c>
      <c r="BW5" s="230">
        <v>-9527</v>
      </c>
      <c r="BX5" s="229">
        <v>-1.24E-2</v>
      </c>
      <c r="BY5" s="230">
        <v>1772</v>
      </c>
      <c r="BZ5" s="230">
        <v>1779</v>
      </c>
      <c r="CA5" s="228">
        <v>-6</v>
      </c>
      <c r="CB5" s="229">
        <v>-3.5999999999999999E-3</v>
      </c>
      <c r="CC5" s="230">
        <v>1732</v>
      </c>
      <c r="CD5" s="230">
        <v>1755</v>
      </c>
      <c r="CE5" s="228">
        <v>-22</v>
      </c>
      <c r="CF5" s="229">
        <v>-1.2699999999999999E-2</v>
      </c>
      <c r="CG5" s="228">
        <v>33</v>
      </c>
      <c r="CH5" s="228">
        <v>17</v>
      </c>
      <c r="CI5" s="228">
        <v>16</v>
      </c>
      <c r="CJ5" s="229">
        <v>0.9375</v>
      </c>
      <c r="CK5" s="228">
        <v>7</v>
      </c>
      <c r="CL5" s="228">
        <v>7</v>
      </c>
      <c r="CM5" s="228">
        <v>0</v>
      </c>
      <c r="CN5" s="229">
        <v>0</v>
      </c>
      <c r="CO5" s="228">
        <v>398</v>
      </c>
      <c r="CP5" s="228">
        <v>394</v>
      </c>
      <c r="CQ5" s="228">
        <v>4</v>
      </c>
      <c r="CR5" s="229">
        <v>9.4000000000000004E-3</v>
      </c>
      <c r="CS5" s="228">
        <v>225</v>
      </c>
      <c r="CT5" s="228">
        <v>225</v>
      </c>
      <c r="CU5" s="228">
        <v>-1</v>
      </c>
      <c r="CV5" s="229">
        <v>-3.2000000000000002E-3</v>
      </c>
      <c r="CW5" s="230">
        <v>2395</v>
      </c>
      <c r="CX5" s="230">
        <v>2398</v>
      </c>
      <c r="CY5" s="228">
        <v>-3</v>
      </c>
      <c r="CZ5" s="229">
        <v>-1.4E-3</v>
      </c>
      <c r="DA5" s="228">
        <v>25.09</v>
      </c>
      <c r="DB5" s="228">
        <v>25.9</v>
      </c>
      <c r="DC5" s="228">
        <v>-0.81</v>
      </c>
      <c r="DD5" s="228">
        <v>-0.81</v>
      </c>
      <c r="DE5" s="228">
        <v>51.86</v>
      </c>
      <c r="DF5" s="228">
        <v>51.95</v>
      </c>
      <c r="DG5" s="228">
        <v>-26.77</v>
      </c>
      <c r="DH5" s="228">
        <v>-0.09</v>
      </c>
      <c r="DI5" s="228">
        <v>25.79</v>
      </c>
      <c r="DJ5" s="228">
        <v>26.78</v>
      </c>
      <c r="DK5" s="228">
        <v>-0.99</v>
      </c>
      <c r="DL5" s="228">
        <v>-0.99</v>
      </c>
      <c r="DM5" s="228">
        <v>23.93</v>
      </c>
      <c r="DN5" s="228">
        <v>24.69</v>
      </c>
      <c r="DO5" s="228">
        <v>-0.76</v>
      </c>
      <c r="DP5" s="228">
        <v>-0.76</v>
      </c>
      <c r="DQ5" s="228">
        <v>0.56000000000000005</v>
      </c>
      <c r="DR5" s="228">
        <v>0.56999999999999995</v>
      </c>
      <c r="DS5" s="228">
        <v>-0.01</v>
      </c>
      <c r="DT5" s="229">
        <v>-1.7500000000000002E-2</v>
      </c>
      <c r="DU5" s="231">
        <v>1050</v>
      </c>
      <c r="DV5" s="228">
        <v>900</v>
      </c>
      <c r="DW5" s="228">
        <v>0.6</v>
      </c>
      <c r="DX5" s="228">
        <v>0.73</v>
      </c>
      <c r="DY5" s="228">
        <v>-0.13</v>
      </c>
      <c r="DZ5" s="229">
        <v>-0.17810000000000001</v>
      </c>
      <c r="EA5" s="229">
        <v>2.2599999999999999E-2</v>
      </c>
      <c r="EB5" s="230">
        <v>245700</v>
      </c>
      <c r="EC5" s="229">
        <v>5.7000000000000002E-3</v>
      </c>
      <c r="ED5" s="229">
        <v>2.2599999999999999E-2</v>
      </c>
      <c r="EE5" s="228">
        <v>4.8899999999999997</v>
      </c>
      <c r="EF5" s="229">
        <v>5.0000000000000001E-3</v>
      </c>
      <c r="EG5" s="230">
        <v>365757</v>
      </c>
      <c r="EH5" s="230">
        <v>313312</v>
      </c>
      <c r="EI5" s="229">
        <v>0.16739999999999999</v>
      </c>
      <c r="EJ5" s="229">
        <v>0.48209999999999997</v>
      </c>
      <c r="EK5" s="228">
        <v>391.07</v>
      </c>
      <c r="EL5" s="228">
        <v>224.12</v>
      </c>
      <c r="EM5" s="228">
        <v>127.83</v>
      </c>
      <c r="EN5" s="228">
        <v>27.2</v>
      </c>
      <c r="EO5" s="228">
        <v>743.03</v>
      </c>
      <c r="EP5" s="228">
        <v>650.71</v>
      </c>
      <c r="EQ5" s="228">
        <v>92.31</v>
      </c>
      <c r="ER5" s="229">
        <v>0.1419</v>
      </c>
      <c r="ES5" s="228">
        <v>422.35</v>
      </c>
      <c r="ET5" s="228">
        <v>216.83</v>
      </c>
      <c r="EU5" s="231">
        <v>1772.54</v>
      </c>
      <c r="EV5" s="231">
        <v>51907388</v>
      </c>
      <c r="EW5" s="231">
        <v>2411.73</v>
      </c>
      <c r="EX5" s="231">
        <v>2442.33</v>
      </c>
      <c r="EY5" s="228">
        <v>-30.6</v>
      </c>
      <c r="EZ5" s="229">
        <v>-1.2500000000000001E-2</v>
      </c>
      <c r="FA5" s="229">
        <v>0.47020000000000001</v>
      </c>
      <c r="FB5" s="227" t="s">
        <v>568</v>
      </c>
      <c r="FC5">
        <f t="shared" si="0"/>
        <v>40</v>
      </c>
    </row>
    <row r="6" spans="1:159" ht="17.25" thickBot="1" x14ac:dyDescent="0.3">
      <c r="A6" s="226">
        <v>46008</v>
      </c>
      <c r="B6" s="227" t="s">
        <v>215</v>
      </c>
      <c r="C6" s="227" t="s">
        <v>159</v>
      </c>
      <c r="D6" s="228">
        <v>309</v>
      </c>
      <c r="E6" s="228">
        <v>13</v>
      </c>
      <c r="F6" s="231">
        <v>2241.8000000000002</v>
      </c>
      <c r="G6" s="231">
        <v>2256.1999999999998</v>
      </c>
      <c r="H6" s="228">
        <v>-14.4</v>
      </c>
      <c r="I6" s="229">
        <v>-6.4000000000000003E-3</v>
      </c>
      <c r="J6" s="231">
        <v>2232.5</v>
      </c>
      <c r="K6" s="231">
        <v>2247.9</v>
      </c>
      <c r="L6" s="228">
        <v>-15.4</v>
      </c>
      <c r="M6" s="229">
        <v>-6.8999999999999999E-3</v>
      </c>
      <c r="N6" s="231">
        <v>2241.8000000000002</v>
      </c>
      <c r="O6" s="231">
        <v>2256.1999999999998</v>
      </c>
      <c r="P6" s="228">
        <v>-14.4</v>
      </c>
      <c r="Q6" s="229">
        <v>-6.4000000000000003E-3</v>
      </c>
      <c r="R6" s="231">
        <v>2250.9</v>
      </c>
      <c r="S6" s="231">
        <v>2263.9</v>
      </c>
      <c r="T6" s="228">
        <v>-13</v>
      </c>
      <c r="U6" s="229">
        <v>-5.7000000000000002E-3</v>
      </c>
      <c r="V6" s="231">
        <v>2258.1999999999998</v>
      </c>
      <c r="W6" s="231">
        <v>2271.8000000000002</v>
      </c>
      <c r="X6" s="228">
        <v>-13.6</v>
      </c>
      <c r="Y6" s="229">
        <v>-6.0000000000000001E-3</v>
      </c>
      <c r="Z6" s="228">
        <v>9.3000000000000007</v>
      </c>
      <c r="AA6" s="228">
        <v>8.3000000000000007</v>
      </c>
      <c r="AB6" s="228">
        <v>1</v>
      </c>
      <c r="AC6" s="229">
        <v>4.1999999999999997E-3</v>
      </c>
      <c r="AD6" s="228">
        <v>9.3000000000000007</v>
      </c>
      <c r="AE6" s="228">
        <v>8.3000000000000007</v>
      </c>
      <c r="AF6" s="228">
        <v>1</v>
      </c>
      <c r="AG6" s="229">
        <v>4.1999999999999997E-3</v>
      </c>
      <c r="AH6" s="228">
        <v>18.399999999999999</v>
      </c>
      <c r="AI6" s="228">
        <v>16</v>
      </c>
      <c r="AJ6" s="228">
        <v>2.4</v>
      </c>
      <c r="AK6" s="229">
        <v>8.2000000000000007E-3</v>
      </c>
      <c r="AL6" s="228">
        <v>25.7</v>
      </c>
      <c r="AM6" s="228">
        <v>23.9</v>
      </c>
      <c r="AN6" s="228">
        <v>1.8</v>
      </c>
      <c r="AO6" s="229">
        <v>1.15E-2</v>
      </c>
      <c r="AP6" s="231">
        <v>2244.02</v>
      </c>
      <c r="AQ6" s="231">
        <v>2252.71</v>
      </c>
      <c r="AR6" s="228">
        <v>0</v>
      </c>
      <c r="AS6" s="228">
        <v>423</v>
      </c>
      <c r="AT6" s="228">
        <v>490</v>
      </c>
      <c r="AU6" s="228">
        <v>-67</v>
      </c>
      <c r="AV6" s="229">
        <v>-0.13689999999999999</v>
      </c>
      <c r="AW6" s="228">
        <v>358</v>
      </c>
      <c r="AX6" s="228">
        <v>343</v>
      </c>
      <c r="AY6" s="228">
        <v>15</v>
      </c>
      <c r="AZ6" s="229">
        <v>4.3400000000000001E-2</v>
      </c>
      <c r="BA6" s="228">
        <v>52</v>
      </c>
      <c r="BB6" s="228">
        <v>112</v>
      </c>
      <c r="BC6" s="228">
        <v>-60</v>
      </c>
      <c r="BD6" s="229">
        <v>-0.53649999999999998</v>
      </c>
      <c r="BE6" s="228">
        <v>13</v>
      </c>
      <c r="BF6" s="228">
        <v>35</v>
      </c>
      <c r="BG6" s="228">
        <v>-22</v>
      </c>
      <c r="BH6" s="229">
        <v>-0.629</v>
      </c>
      <c r="BI6" s="230">
        <v>1865</v>
      </c>
      <c r="BJ6" s="230">
        <v>1913</v>
      </c>
      <c r="BK6" s="228">
        <v>-48</v>
      </c>
      <c r="BL6" s="229">
        <v>-2.5100000000000001E-2</v>
      </c>
      <c r="BM6" s="228">
        <v>873</v>
      </c>
      <c r="BN6" s="228">
        <v>778</v>
      </c>
      <c r="BO6" s="228">
        <v>94</v>
      </c>
      <c r="BP6" s="229">
        <v>0.1212</v>
      </c>
      <c r="BQ6" s="230">
        <v>3160</v>
      </c>
      <c r="BR6" s="230">
        <v>3181</v>
      </c>
      <c r="BS6" s="228">
        <v>-21</v>
      </c>
      <c r="BT6" s="229">
        <v>-6.6E-3</v>
      </c>
      <c r="BU6" s="230">
        <v>675126</v>
      </c>
      <c r="BV6" s="230">
        <v>698246</v>
      </c>
      <c r="BW6" s="230">
        <v>-23120</v>
      </c>
      <c r="BX6" s="229">
        <v>-3.3099999999999997E-2</v>
      </c>
      <c r="BY6" s="230">
        <v>5070</v>
      </c>
      <c r="BZ6" s="230">
        <v>5043</v>
      </c>
      <c r="CA6" s="228">
        <v>27</v>
      </c>
      <c r="CB6" s="229">
        <v>5.4000000000000003E-3</v>
      </c>
      <c r="CC6" s="230">
        <v>4479</v>
      </c>
      <c r="CD6" s="230">
        <v>4472</v>
      </c>
      <c r="CE6" s="228">
        <v>7</v>
      </c>
      <c r="CF6" s="229">
        <v>1.6000000000000001E-3</v>
      </c>
      <c r="CG6" s="228">
        <v>495</v>
      </c>
      <c r="CH6" s="228">
        <v>483</v>
      </c>
      <c r="CI6" s="228">
        <v>12</v>
      </c>
      <c r="CJ6" s="229">
        <v>2.5000000000000001E-2</v>
      </c>
      <c r="CK6" s="228">
        <v>96</v>
      </c>
      <c r="CL6" s="228">
        <v>88</v>
      </c>
      <c r="CM6" s="228">
        <v>8</v>
      </c>
      <c r="CN6" s="229">
        <v>8.9399999999999993E-2</v>
      </c>
      <c r="CO6" s="230">
        <v>3223</v>
      </c>
      <c r="CP6" s="230">
        <v>3177</v>
      </c>
      <c r="CQ6" s="228">
        <v>45</v>
      </c>
      <c r="CR6" s="229">
        <v>1.43E-2</v>
      </c>
      <c r="CS6" s="230">
        <v>1963</v>
      </c>
      <c r="CT6" s="230">
        <v>1932</v>
      </c>
      <c r="CU6" s="228">
        <v>32</v>
      </c>
      <c r="CV6" s="229">
        <v>1.6400000000000001E-2</v>
      </c>
      <c r="CW6" s="230">
        <v>10256</v>
      </c>
      <c r="CX6" s="230">
        <v>10152</v>
      </c>
      <c r="CY6" s="228">
        <v>104</v>
      </c>
      <c r="CZ6" s="229">
        <v>1.03E-2</v>
      </c>
      <c r="DA6" s="228">
        <v>27.89</v>
      </c>
      <c r="DB6" s="228">
        <v>29.37</v>
      </c>
      <c r="DC6" s="228">
        <v>-1.48</v>
      </c>
      <c r="DD6" s="228">
        <v>-1.48</v>
      </c>
      <c r="DE6" s="228">
        <v>46.68</v>
      </c>
      <c r="DF6" s="228">
        <v>46.79</v>
      </c>
      <c r="DG6" s="228">
        <v>-18.79</v>
      </c>
      <c r="DH6" s="228">
        <v>-0.11</v>
      </c>
      <c r="DI6" s="228">
        <v>28.21</v>
      </c>
      <c r="DJ6" s="228">
        <v>29.9</v>
      </c>
      <c r="DK6" s="228">
        <v>-1.69</v>
      </c>
      <c r="DL6" s="228">
        <v>-1.69</v>
      </c>
      <c r="DM6" s="228">
        <v>27.22</v>
      </c>
      <c r="DN6" s="228">
        <v>28.06</v>
      </c>
      <c r="DO6" s="228">
        <v>-0.84</v>
      </c>
      <c r="DP6" s="228">
        <v>-0.84</v>
      </c>
      <c r="DQ6" s="228">
        <v>0.61</v>
      </c>
      <c r="DR6" s="228">
        <v>0.61</v>
      </c>
      <c r="DS6" s="228">
        <v>0</v>
      </c>
      <c r="DT6" s="229">
        <v>0</v>
      </c>
      <c r="DU6" s="231">
        <v>2300</v>
      </c>
      <c r="DV6" s="231">
        <v>2300</v>
      </c>
      <c r="DW6" s="228">
        <v>0.47</v>
      </c>
      <c r="DX6" s="228">
        <v>0.41</v>
      </c>
      <c r="DY6" s="228">
        <v>0.06</v>
      </c>
      <c r="DZ6" s="229">
        <v>0.14630000000000001</v>
      </c>
      <c r="EA6" s="229">
        <v>0.1166</v>
      </c>
      <c r="EB6" s="230">
        <v>2548014</v>
      </c>
      <c r="EC6" s="229">
        <v>4.1000000000000003E-3</v>
      </c>
      <c r="ED6" s="229">
        <v>0.1166</v>
      </c>
      <c r="EE6" s="228">
        <v>8.69</v>
      </c>
      <c r="EF6" s="229">
        <v>3.8999999999999998E-3</v>
      </c>
      <c r="EG6" s="230">
        <v>190283</v>
      </c>
      <c r="EH6" s="230">
        <v>253730</v>
      </c>
      <c r="EI6" s="229">
        <v>-0.25009999999999999</v>
      </c>
      <c r="EJ6" s="229">
        <v>0.28179999999999999</v>
      </c>
      <c r="EK6" s="231">
        <v>1954.56</v>
      </c>
      <c r="EL6" s="228">
        <v>871.97</v>
      </c>
      <c r="EM6" s="228">
        <v>423.75</v>
      </c>
      <c r="EN6" s="228">
        <v>93.12</v>
      </c>
      <c r="EO6" s="231">
        <v>3250.28</v>
      </c>
      <c r="EP6" s="231">
        <v>3308.27</v>
      </c>
      <c r="EQ6" s="228">
        <v>-57.99</v>
      </c>
      <c r="ER6" s="229">
        <v>-1.7500000000000002E-2</v>
      </c>
      <c r="ES6" s="231">
        <v>3418.88</v>
      </c>
      <c r="ET6" s="231">
        <v>1985.52</v>
      </c>
      <c r="EU6" s="231">
        <v>5073.05</v>
      </c>
      <c r="EV6" s="231">
        <v>30942206</v>
      </c>
      <c r="EW6" s="231">
        <v>10477.450000000001</v>
      </c>
      <c r="EX6" s="231">
        <v>10412.17</v>
      </c>
      <c r="EY6" s="228">
        <v>65.28</v>
      </c>
      <c r="EZ6" s="229">
        <v>6.3E-3</v>
      </c>
      <c r="FA6" s="229">
        <v>1.4785999999999999</v>
      </c>
      <c r="FB6" s="227" t="s">
        <v>567</v>
      </c>
      <c r="FC6">
        <f t="shared" si="0"/>
        <v>591</v>
      </c>
    </row>
    <row r="7" spans="1:159" ht="17.25" thickBot="1" x14ac:dyDescent="0.3">
      <c r="A7" s="226">
        <v>46008</v>
      </c>
      <c r="B7" s="227" t="s">
        <v>161</v>
      </c>
      <c r="C7" s="227" t="s">
        <v>606</v>
      </c>
      <c r="D7" s="228">
        <v>600</v>
      </c>
      <c r="E7" s="228">
        <v>13</v>
      </c>
      <c r="F7" s="231">
        <v>1023.6</v>
      </c>
      <c r="G7" s="231">
        <v>1030.8</v>
      </c>
      <c r="H7" s="228">
        <v>-7.2</v>
      </c>
      <c r="I7" s="229">
        <v>-7.0000000000000001E-3</v>
      </c>
      <c r="J7" s="231">
        <v>1020.7</v>
      </c>
      <c r="K7" s="231">
        <v>1028.2</v>
      </c>
      <c r="L7" s="228">
        <v>-7.5</v>
      </c>
      <c r="M7" s="229">
        <v>-7.3000000000000001E-3</v>
      </c>
      <c r="N7" s="231">
        <v>1023.6</v>
      </c>
      <c r="O7" s="231">
        <v>1030.8</v>
      </c>
      <c r="P7" s="228">
        <v>-7.2</v>
      </c>
      <c r="Q7" s="229">
        <v>-7.0000000000000001E-3</v>
      </c>
      <c r="R7" s="231">
        <v>1029.9000000000001</v>
      </c>
      <c r="S7" s="231">
        <v>1037.4000000000001</v>
      </c>
      <c r="T7" s="228">
        <v>-7.5</v>
      </c>
      <c r="U7" s="229">
        <v>-7.1999999999999998E-3</v>
      </c>
      <c r="V7" s="231">
        <v>1036.5</v>
      </c>
      <c r="W7" s="231">
        <v>1042.2</v>
      </c>
      <c r="X7" s="228">
        <v>-5.7</v>
      </c>
      <c r="Y7" s="229">
        <v>-5.4999999999999997E-3</v>
      </c>
      <c r="Z7" s="228">
        <v>2.9</v>
      </c>
      <c r="AA7" s="228">
        <v>2.6</v>
      </c>
      <c r="AB7" s="228">
        <v>0.3</v>
      </c>
      <c r="AC7" s="229">
        <v>2.8E-3</v>
      </c>
      <c r="AD7" s="228">
        <v>2.9</v>
      </c>
      <c r="AE7" s="228">
        <v>2.6</v>
      </c>
      <c r="AF7" s="228">
        <v>0.3</v>
      </c>
      <c r="AG7" s="229">
        <v>2.8E-3</v>
      </c>
      <c r="AH7" s="228">
        <v>9.1999999999999993</v>
      </c>
      <c r="AI7" s="228">
        <v>9.1999999999999993</v>
      </c>
      <c r="AJ7" s="228">
        <v>0</v>
      </c>
      <c r="AK7" s="229">
        <v>8.9999999999999993E-3</v>
      </c>
      <c r="AL7" s="228">
        <v>15.8</v>
      </c>
      <c r="AM7" s="228">
        <v>14</v>
      </c>
      <c r="AN7" s="228">
        <v>1.8</v>
      </c>
      <c r="AO7" s="229">
        <v>1.55E-2</v>
      </c>
      <c r="AP7" s="231">
        <v>1026.4100000000001</v>
      </c>
      <c r="AQ7" s="231">
        <v>1032.96</v>
      </c>
      <c r="AR7" s="228">
        <v>0</v>
      </c>
      <c r="AS7" s="228">
        <v>194</v>
      </c>
      <c r="AT7" s="228">
        <v>226</v>
      </c>
      <c r="AU7" s="228">
        <v>-32</v>
      </c>
      <c r="AV7" s="229">
        <v>-0.1419</v>
      </c>
      <c r="AW7" s="228">
        <v>171</v>
      </c>
      <c r="AX7" s="228">
        <v>197</v>
      </c>
      <c r="AY7" s="228">
        <v>-25</v>
      </c>
      <c r="AZ7" s="229">
        <v>-0.12809999999999999</v>
      </c>
      <c r="BA7" s="228">
        <v>21</v>
      </c>
      <c r="BB7" s="228">
        <v>28</v>
      </c>
      <c r="BC7" s="228">
        <v>-8</v>
      </c>
      <c r="BD7" s="229">
        <v>-0.26719999999999999</v>
      </c>
      <c r="BE7" s="228">
        <v>2</v>
      </c>
      <c r="BF7" s="228">
        <v>1</v>
      </c>
      <c r="BG7" s="228">
        <v>1</v>
      </c>
      <c r="BH7" s="229">
        <v>0.5</v>
      </c>
      <c r="BI7" s="228">
        <v>988</v>
      </c>
      <c r="BJ7" s="230">
        <v>1045</v>
      </c>
      <c r="BK7" s="228">
        <v>-57</v>
      </c>
      <c r="BL7" s="229">
        <v>-5.4800000000000001E-2</v>
      </c>
      <c r="BM7" s="228">
        <v>523</v>
      </c>
      <c r="BN7" s="228">
        <v>770</v>
      </c>
      <c r="BO7" s="228">
        <v>-247</v>
      </c>
      <c r="BP7" s="229">
        <v>-0.32050000000000001</v>
      </c>
      <c r="BQ7" s="230">
        <v>1705</v>
      </c>
      <c r="BR7" s="230">
        <v>2041</v>
      </c>
      <c r="BS7" s="228">
        <v>-336</v>
      </c>
      <c r="BT7" s="229">
        <v>-0.1646</v>
      </c>
      <c r="BU7" s="230">
        <v>1383030</v>
      </c>
      <c r="BV7" s="230">
        <v>1139615</v>
      </c>
      <c r="BW7" s="230">
        <v>243415</v>
      </c>
      <c r="BX7" s="229">
        <v>0.21360000000000001</v>
      </c>
      <c r="BY7" s="230">
        <v>2623</v>
      </c>
      <c r="BZ7" s="230">
        <v>2598</v>
      </c>
      <c r="CA7" s="228">
        <v>24</v>
      </c>
      <c r="CB7" s="229">
        <v>9.4000000000000004E-3</v>
      </c>
      <c r="CC7" s="230">
        <v>2491</v>
      </c>
      <c r="CD7" s="230">
        <v>2473</v>
      </c>
      <c r="CE7" s="228">
        <v>18</v>
      </c>
      <c r="CF7" s="229">
        <v>7.1999999999999998E-3</v>
      </c>
      <c r="CG7" s="228">
        <v>110</v>
      </c>
      <c r="CH7" s="228">
        <v>105</v>
      </c>
      <c r="CI7" s="228">
        <v>5</v>
      </c>
      <c r="CJ7" s="229">
        <v>5.11E-2</v>
      </c>
      <c r="CK7" s="228">
        <v>22</v>
      </c>
      <c r="CL7" s="228">
        <v>21</v>
      </c>
      <c r="CM7" s="228">
        <v>1</v>
      </c>
      <c r="CN7" s="229">
        <v>5.2499999999999998E-2</v>
      </c>
      <c r="CO7" s="230">
        <v>1300</v>
      </c>
      <c r="CP7" s="230">
        <v>1306</v>
      </c>
      <c r="CQ7" s="228">
        <v>-6</v>
      </c>
      <c r="CR7" s="229">
        <v>-4.7000000000000002E-3</v>
      </c>
      <c r="CS7" s="228">
        <v>697</v>
      </c>
      <c r="CT7" s="228">
        <v>690</v>
      </c>
      <c r="CU7" s="228">
        <v>7</v>
      </c>
      <c r="CV7" s="229">
        <v>9.7000000000000003E-3</v>
      </c>
      <c r="CW7" s="230">
        <v>4620</v>
      </c>
      <c r="CX7" s="230">
        <v>4595</v>
      </c>
      <c r="CY7" s="228">
        <v>25</v>
      </c>
      <c r="CZ7" s="229">
        <v>5.4000000000000003E-3</v>
      </c>
      <c r="DA7" s="228">
        <v>29.61</v>
      </c>
      <c r="DB7" s="228">
        <v>30.15</v>
      </c>
      <c r="DC7" s="228">
        <v>-0.54</v>
      </c>
      <c r="DD7" s="228">
        <v>-0.54</v>
      </c>
      <c r="DE7" s="228">
        <v>55.76</v>
      </c>
      <c r="DF7" s="228">
        <v>55.89</v>
      </c>
      <c r="DG7" s="228">
        <v>-26.15</v>
      </c>
      <c r="DH7" s="228">
        <v>-0.13</v>
      </c>
      <c r="DI7" s="228">
        <v>30.45</v>
      </c>
      <c r="DJ7" s="228">
        <v>31.48</v>
      </c>
      <c r="DK7" s="228">
        <v>-1.03</v>
      </c>
      <c r="DL7" s="228">
        <v>-1.03</v>
      </c>
      <c r="DM7" s="228">
        <v>28.03</v>
      </c>
      <c r="DN7" s="228">
        <v>28.34</v>
      </c>
      <c r="DO7" s="228">
        <v>-0.31</v>
      </c>
      <c r="DP7" s="228">
        <v>-0.31</v>
      </c>
      <c r="DQ7" s="228">
        <v>0.54</v>
      </c>
      <c r="DR7" s="228">
        <v>0.53</v>
      </c>
      <c r="DS7" s="228">
        <v>0.01</v>
      </c>
      <c r="DT7" s="229">
        <v>1.89E-2</v>
      </c>
      <c r="DU7" s="231">
        <v>1100</v>
      </c>
      <c r="DV7" s="231">
        <v>1000</v>
      </c>
      <c r="DW7" s="228">
        <v>0.53</v>
      </c>
      <c r="DX7" s="228">
        <v>0.74</v>
      </c>
      <c r="DY7" s="228">
        <v>-0.21</v>
      </c>
      <c r="DZ7" s="229">
        <v>-0.2838</v>
      </c>
      <c r="EA7" s="229">
        <v>5.04E-2</v>
      </c>
      <c r="EB7" s="230">
        <v>1228200</v>
      </c>
      <c r="EC7" s="229">
        <v>6.1999999999999998E-3</v>
      </c>
      <c r="ED7" s="229">
        <v>5.04E-2</v>
      </c>
      <c r="EE7" s="228">
        <v>6.55</v>
      </c>
      <c r="EF7" s="229">
        <v>6.4000000000000003E-3</v>
      </c>
      <c r="EG7" s="230">
        <v>500496</v>
      </c>
      <c r="EH7" s="230">
        <v>414006</v>
      </c>
      <c r="EI7" s="229">
        <v>0.2089</v>
      </c>
      <c r="EJ7" s="229">
        <v>0.3619</v>
      </c>
      <c r="EK7" s="231">
        <v>1048.03</v>
      </c>
      <c r="EL7" s="228">
        <v>523.79999999999995</v>
      </c>
      <c r="EM7" s="228">
        <v>194.95</v>
      </c>
      <c r="EN7" s="228">
        <v>96.31</v>
      </c>
      <c r="EO7" s="231">
        <v>1766.78</v>
      </c>
      <c r="EP7" s="231">
        <v>2117.38</v>
      </c>
      <c r="EQ7" s="228">
        <v>-350.61</v>
      </c>
      <c r="ER7" s="229">
        <v>-0.1656</v>
      </c>
      <c r="ES7" s="231">
        <v>1388.44</v>
      </c>
      <c r="ET7" s="228">
        <v>685.61</v>
      </c>
      <c r="EU7" s="231">
        <v>2623.67</v>
      </c>
      <c r="EV7" s="231">
        <v>61877951</v>
      </c>
      <c r="EW7" s="231">
        <v>4697.71</v>
      </c>
      <c r="EX7" s="231">
        <v>4693.2700000000004</v>
      </c>
      <c r="EY7" s="228">
        <v>4.4400000000000004</v>
      </c>
      <c r="EZ7" s="229">
        <v>8.9999999999999998E-4</v>
      </c>
      <c r="FA7" s="229">
        <v>0.72929999999999995</v>
      </c>
      <c r="FB7" s="227" t="s">
        <v>567</v>
      </c>
      <c r="FC7">
        <f t="shared" si="0"/>
        <v>132</v>
      </c>
    </row>
    <row r="8" spans="1:159" ht="17.25" thickBot="1" x14ac:dyDescent="0.3">
      <c r="A8" s="226">
        <v>46008</v>
      </c>
      <c r="B8" s="227" t="s">
        <v>215</v>
      </c>
      <c r="C8" s="227" t="s">
        <v>160</v>
      </c>
      <c r="D8" s="228">
        <v>475</v>
      </c>
      <c r="E8" s="228">
        <v>13</v>
      </c>
      <c r="F8" s="231">
        <v>1491.8</v>
      </c>
      <c r="G8" s="231">
        <v>1503.9</v>
      </c>
      <c r="H8" s="228">
        <v>-12.1</v>
      </c>
      <c r="I8" s="229">
        <v>-8.0000000000000002E-3</v>
      </c>
      <c r="J8" s="231">
        <v>1486.3</v>
      </c>
      <c r="K8" s="231">
        <v>1499</v>
      </c>
      <c r="L8" s="228">
        <v>-12.7</v>
      </c>
      <c r="M8" s="229">
        <v>-8.5000000000000006E-3</v>
      </c>
      <c r="N8" s="231">
        <v>1491.8</v>
      </c>
      <c r="O8" s="231">
        <v>1503.9</v>
      </c>
      <c r="P8" s="228">
        <v>-12.1</v>
      </c>
      <c r="Q8" s="229">
        <v>-8.0000000000000002E-3</v>
      </c>
      <c r="R8" s="231">
        <v>1500.1</v>
      </c>
      <c r="S8" s="231">
        <v>1512.1</v>
      </c>
      <c r="T8" s="228">
        <v>-12</v>
      </c>
      <c r="U8" s="229">
        <v>-7.9000000000000008E-3</v>
      </c>
      <c r="V8" s="231">
        <v>1509.8</v>
      </c>
      <c r="W8" s="231">
        <v>1521</v>
      </c>
      <c r="X8" s="228">
        <v>-11.2</v>
      </c>
      <c r="Y8" s="229">
        <v>-7.4000000000000003E-3</v>
      </c>
      <c r="Z8" s="228">
        <v>5.5</v>
      </c>
      <c r="AA8" s="228">
        <v>4.9000000000000004</v>
      </c>
      <c r="AB8" s="228">
        <v>0.6</v>
      </c>
      <c r="AC8" s="229">
        <v>3.7000000000000002E-3</v>
      </c>
      <c r="AD8" s="228">
        <v>5.5</v>
      </c>
      <c r="AE8" s="228">
        <v>4.9000000000000004</v>
      </c>
      <c r="AF8" s="228">
        <v>0.6</v>
      </c>
      <c r="AG8" s="229">
        <v>3.7000000000000002E-3</v>
      </c>
      <c r="AH8" s="228">
        <v>13.8</v>
      </c>
      <c r="AI8" s="228">
        <v>13.1</v>
      </c>
      <c r="AJ8" s="228">
        <v>0.7</v>
      </c>
      <c r="AK8" s="229">
        <v>9.2999999999999992E-3</v>
      </c>
      <c r="AL8" s="228">
        <v>23.5</v>
      </c>
      <c r="AM8" s="228">
        <v>22</v>
      </c>
      <c r="AN8" s="228">
        <v>1.5</v>
      </c>
      <c r="AO8" s="229">
        <v>1.5800000000000002E-2</v>
      </c>
      <c r="AP8" s="231">
        <v>1494.27</v>
      </c>
      <c r="AQ8" s="231">
        <v>1501.94</v>
      </c>
      <c r="AR8" s="228">
        <v>0</v>
      </c>
      <c r="AS8" s="228">
        <v>246</v>
      </c>
      <c r="AT8" s="228">
        <v>303</v>
      </c>
      <c r="AU8" s="228">
        <v>-57</v>
      </c>
      <c r="AV8" s="229">
        <v>-0.1888</v>
      </c>
      <c r="AW8" s="228">
        <v>186</v>
      </c>
      <c r="AX8" s="228">
        <v>234</v>
      </c>
      <c r="AY8" s="228">
        <v>-48</v>
      </c>
      <c r="AZ8" s="229">
        <v>-0.2056</v>
      </c>
      <c r="BA8" s="228">
        <v>56</v>
      </c>
      <c r="BB8" s="228">
        <v>67</v>
      </c>
      <c r="BC8" s="228">
        <v>-11</v>
      </c>
      <c r="BD8" s="229">
        <v>-0.15770000000000001</v>
      </c>
      <c r="BE8" s="228">
        <v>4</v>
      </c>
      <c r="BF8" s="228">
        <v>3</v>
      </c>
      <c r="BG8" s="228">
        <v>1</v>
      </c>
      <c r="BH8" s="229">
        <v>0.5</v>
      </c>
      <c r="BI8" s="230">
        <v>1059</v>
      </c>
      <c r="BJ8" s="228">
        <v>785</v>
      </c>
      <c r="BK8" s="228">
        <v>273</v>
      </c>
      <c r="BL8" s="229">
        <v>0.34770000000000001</v>
      </c>
      <c r="BM8" s="228">
        <v>478</v>
      </c>
      <c r="BN8" s="228">
        <v>370</v>
      </c>
      <c r="BO8" s="228">
        <v>108</v>
      </c>
      <c r="BP8" s="229">
        <v>0.29139999999999999</v>
      </c>
      <c r="BQ8" s="230">
        <v>1782</v>
      </c>
      <c r="BR8" s="230">
        <v>1459</v>
      </c>
      <c r="BS8" s="228">
        <v>324</v>
      </c>
      <c r="BT8" s="229">
        <v>0.22189999999999999</v>
      </c>
      <c r="BU8" s="230">
        <v>1004997</v>
      </c>
      <c r="BV8" s="230">
        <v>1139802</v>
      </c>
      <c r="BW8" s="230">
        <v>-134805</v>
      </c>
      <c r="BX8" s="229">
        <v>-0.1183</v>
      </c>
      <c r="BY8" s="230">
        <v>3547</v>
      </c>
      <c r="BZ8" s="230">
        <v>3514</v>
      </c>
      <c r="CA8" s="228">
        <v>33</v>
      </c>
      <c r="CB8" s="229">
        <v>9.4000000000000004E-3</v>
      </c>
      <c r="CC8" s="230">
        <v>3203</v>
      </c>
      <c r="CD8" s="230">
        <v>3205</v>
      </c>
      <c r="CE8" s="228">
        <v>-3</v>
      </c>
      <c r="CF8" s="229">
        <v>-8.9999999999999998E-4</v>
      </c>
      <c r="CG8" s="228">
        <v>305</v>
      </c>
      <c r="CH8" s="228">
        <v>269</v>
      </c>
      <c r="CI8" s="228">
        <v>35</v>
      </c>
      <c r="CJ8" s="229">
        <v>0.13150000000000001</v>
      </c>
      <c r="CK8" s="228">
        <v>39</v>
      </c>
      <c r="CL8" s="228">
        <v>39</v>
      </c>
      <c r="CM8" s="228">
        <v>1</v>
      </c>
      <c r="CN8" s="229">
        <v>1.6500000000000001E-2</v>
      </c>
      <c r="CO8" s="230">
        <v>1404</v>
      </c>
      <c r="CP8" s="230">
        <v>1344</v>
      </c>
      <c r="CQ8" s="228">
        <v>60</v>
      </c>
      <c r="CR8" s="229">
        <v>4.4600000000000001E-2</v>
      </c>
      <c r="CS8" s="228">
        <v>688</v>
      </c>
      <c r="CT8" s="228">
        <v>681</v>
      </c>
      <c r="CU8" s="228">
        <v>7</v>
      </c>
      <c r="CV8" s="229">
        <v>1.0800000000000001E-2</v>
      </c>
      <c r="CW8" s="230">
        <v>5639</v>
      </c>
      <c r="CX8" s="230">
        <v>5538</v>
      </c>
      <c r="CY8" s="228">
        <v>100</v>
      </c>
      <c r="CZ8" s="229">
        <v>1.8100000000000002E-2</v>
      </c>
      <c r="DA8" s="228">
        <v>20.86</v>
      </c>
      <c r="DB8" s="228">
        <v>20.59</v>
      </c>
      <c r="DC8" s="228">
        <v>0.27</v>
      </c>
      <c r="DD8" s="228">
        <v>0.27</v>
      </c>
      <c r="DE8" s="228">
        <v>36.1</v>
      </c>
      <c r="DF8" s="228">
        <v>36.18</v>
      </c>
      <c r="DG8" s="228">
        <v>-15.24</v>
      </c>
      <c r="DH8" s="228">
        <v>-0.08</v>
      </c>
      <c r="DI8" s="228">
        <v>21.32</v>
      </c>
      <c r="DJ8" s="228">
        <v>21.08</v>
      </c>
      <c r="DK8" s="228">
        <v>0.24</v>
      </c>
      <c r="DL8" s="228">
        <v>0.24</v>
      </c>
      <c r="DM8" s="228">
        <v>19.84</v>
      </c>
      <c r="DN8" s="228">
        <v>19.559999999999999</v>
      </c>
      <c r="DO8" s="228">
        <v>0.28000000000000003</v>
      </c>
      <c r="DP8" s="228">
        <v>0.28000000000000003</v>
      </c>
      <c r="DQ8" s="228">
        <v>0.49</v>
      </c>
      <c r="DR8" s="228">
        <v>0.51</v>
      </c>
      <c r="DS8" s="228">
        <v>-0.02</v>
      </c>
      <c r="DT8" s="229">
        <v>-3.9199999999999999E-2</v>
      </c>
      <c r="DU8" s="231">
        <v>1600</v>
      </c>
      <c r="DV8" s="231">
        <v>1500</v>
      </c>
      <c r="DW8" s="228">
        <v>0.45</v>
      </c>
      <c r="DX8" s="228">
        <v>0.47</v>
      </c>
      <c r="DY8" s="228">
        <v>-0.02</v>
      </c>
      <c r="DZ8" s="229">
        <v>-4.2599999999999999E-2</v>
      </c>
      <c r="EA8" s="229">
        <v>9.7100000000000006E-2</v>
      </c>
      <c r="EB8" s="230">
        <v>2066250</v>
      </c>
      <c r="EC8" s="229">
        <v>5.5999999999999999E-3</v>
      </c>
      <c r="ED8" s="229">
        <v>9.7100000000000006E-2</v>
      </c>
      <c r="EE8" s="228">
        <v>7.67</v>
      </c>
      <c r="EF8" s="229">
        <v>5.1000000000000004E-3</v>
      </c>
      <c r="EG8" s="230">
        <v>560736</v>
      </c>
      <c r="EH8" s="230">
        <v>671928</v>
      </c>
      <c r="EI8" s="229">
        <v>-0.16550000000000001</v>
      </c>
      <c r="EJ8" s="229">
        <v>0.55789999999999995</v>
      </c>
      <c r="EK8" s="231">
        <v>1101.47</v>
      </c>
      <c r="EL8" s="228">
        <v>477.15</v>
      </c>
      <c r="EM8" s="228">
        <v>246.77</v>
      </c>
      <c r="EN8" s="228">
        <v>45.71</v>
      </c>
      <c r="EO8" s="231">
        <v>1825.39</v>
      </c>
      <c r="EP8" s="231">
        <v>1499.16</v>
      </c>
      <c r="EQ8" s="228">
        <v>326.23</v>
      </c>
      <c r="ER8" s="229">
        <v>0.21759999999999999</v>
      </c>
      <c r="ES8" s="231">
        <v>1467.43</v>
      </c>
      <c r="ET8" s="228">
        <v>670.4</v>
      </c>
      <c r="EU8" s="231">
        <v>3549.02</v>
      </c>
      <c r="EV8" s="231">
        <v>73799006</v>
      </c>
      <c r="EW8" s="231">
        <v>5686.86</v>
      </c>
      <c r="EX8" s="231">
        <v>5614.85</v>
      </c>
      <c r="EY8" s="228">
        <v>72.010000000000005</v>
      </c>
      <c r="EZ8" s="229">
        <v>1.2800000000000001E-2</v>
      </c>
      <c r="FA8" s="229">
        <v>0.51219999999999999</v>
      </c>
      <c r="FB8" s="227" t="s">
        <v>567</v>
      </c>
      <c r="FC8">
        <f t="shared" si="0"/>
        <v>344</v>
      </c>
    </row>
    <row r="9" spans="1:159" ht="17.25" thickBot="1" x14ac:dyDescent="0.3">
      <c r="A9" s="226">
        <v>46008</v>
      </c>
      <c r="B9" s="227" t="s">
        <v>170</v>
      </c>
      <c r="C9" s="227" t="s">
        <v>497</v>
      </c>
      <c r="D9" s="228">
        <v>125</v>
      </c>
      <c r="E9" s="228">
        <v>13</v>
      </c>
      <c r="F9" s="231">
        <v>5635.5</v>
      </c>
      <c r="G9" s="231">
        <v>5671.5</v>
      </c>
      <c r="H9" s="228">
        <v>-36</v>
      </c>
      <c r="I9" s="229">
        <v>-6.3E-3</v>
      </c>
      <c r="J9" s="231">
        <v>5628.5</v>
      </c>
      <c r="K9" s="231">
        <v>5663.5</v>
      </c>
      <c r="L9" s="228">
        <v>-35</v>
      </c>
      <c r="M9" s="229">
        <v>-6.1999999999999998E-3</v>
      </c>
      <c r="N9" s="231">
        <v>5635.5</v>
      </c>
      <c r="O9" s="231">
        <v>5671.5</v>
      </c>
      <c r="P9" s="228">
        <v>-36</v>
      </c>
      <c r="Q9" s="229">
        <v>-6.3E-3</v>
      </c>
      <c r="R9" s="231">
        <v>5666.5</v>
      </c>
      <c r="S9" s="231">
        <v>5695</v>
      </c>
      <c r="T9" s="228">
        <v>-28.5</v>
      </c>
      <c r="U9" s="229">
        <v>-5.0000000000000001E-3</v>
      </c>
      <c r="V9" s="231">
        <v>5657.5</v>
      </c>
      <c r="W9" s="231">
        <v>5657.5</v>
      </c>
      <c r="X9" s="228">
        <v>0</v>
      </c>
      <c r="Y9" s="229">
        <v>0</v>
      </c>
      <c r="Z9" s="228">
        <v>7</v>
      </c>
      <c r="AA9" s="228">
        <v>8</v>
      </c>
      <c r="AB9" s="228">
        <v>-1</v>
      </c>
      <c r="AC9" s="229">
        <v>1.1999999999999999E-3</v>
      </c>
      <c r="AD9" s="228">
        <v>7</v>
      </c>
      <c r="AE9" s="228">
        <v>8</v>
      </c>
      <c r="AF9" s="228">
        <v>-1</v>
      </c>
      <c r="AG9" s="229">
        <v>1.1999999999999999E-3</v>
      </c>
      <c r="AH9" s="228">
        <v>38</v>
      </c>
      <c r="AI9" s="228">
        <v>31.5</v>
      </c>
      <c r="AJ9" s="228">
        <v>6.5</v>
      </c>
      <c r="AK9" s="229">
        <v>6.7999999999999996E-3</v>
      </c>
      <c r="AL9" s="228">
        <v>29</v>
      </c>
      <c r="AM9" s="228">
        <v>-6</v>
      </c>
      <c r="AN9" s="228">
        <v>35</v>
      </c>
      <c r="AO9" s="229">
        <v>5.1999999999999998E-3</v>
      </c>
      <c r="AP9" s="231">
        <v>5644.08</v>
      </c>
      <c r="AQ9" s="231">
        <v>5660.55</v>
      </c>
      <c r="AR9" s="228">
        <v>0</v>
      </c>
      <c r="AS9" s="228">
        <v>127</v>
      </c>
      <c r="AT9" s="228">
        <v>62</v>
      </c>
      <c r="AU9" s="228">
        <v>65</v>
      </c>
      <c r="AV9" s="229">
        <v>1.0488999999999999</v>
      </c>
      <c r="AW9" s="228">
        <v>94</v>
      </c>
      <c r="AX9" s="228">
        <v>58</v>
      </c>
      <c r="AY9" s="228">
        <v>36</v>
      </c>
      <c r="AZ9" s="229">
        <v>0.61329999999999996</v>
      </c>
      <c r="BA9" s="228">
        <v>33</v>
      </c>
      <c r="BB9" s="228">
        <v>3</v>
      </c>
      <c r="BC9" s="228">
        <v>29</v>
      </c>
      <c r="BD9" s="229">
        <v>8.4285999999999994</v>
      </c>
      <c r="BE9" s="228">
        <v>0</v>
      </c>
      <c r="BF9" s="228">
        <v>0</v>
      </c>
      <c r="BG9" s="228">
        <v>0</v>
      </c>
      <c r="BH9" s="229">
        <v>0</v>
      </c>
      <c r="BI9" s="228">
        <v>170</v>
      </c>
      <c r="BJ9" s="228">
        <v>134</v>
      </c>
      <c r="BK9" s="228">
        <v>36</v>
      </c>
      <c r="BL9" s="229">
        <v>0.26400000000000001</v>
      </c>
      <c r="BM9" s="228">
        <v>71</v>
      </c>
      <c r="BN9" s="228">
        <v>43</v>
      </c>
      <c r="BO9" s="228">
        <v>28</v>
      </c>
      <c r="BP9" s="229">
        <v>0.65349999999999997</v>
      </c>
      <c r="BQ9" s="228">
        <v>368</v>
      </c>
      <c r="BR9" s="228">
        <v>239</v>
      </c>
      <c r="BS9" s="228">
        <v>128</v>
      </c>
      <c r="BT9" s="229">
        <v>0.53690000000000004</v>
      </c>
      <c r="BU9" s="230">
        <v>36685</v>
      </c>
      <c r="BV9" s="230">
        <v>94398</v>
      </c>
      <c r="BW9" s="230">
        <v>-57713</v>
      </c>
      <c r="BX9" s="229">
        <v>-0.61140000000000005</v>
      </c>
      <c r="BY9" s="228">
        <v>899</v>
      </c>
      <c r="BZ9" s="228">
        <v>903</v>
      </c>
      <c r="CA9" s="228">
        <v>-4</v>
      </c>
      <c r="CB9" s="229">
        <v>-4.4000000000000003E-3</v>
      </c>
      <c r="CC9" s="228">
        <v>866</v>
      </c>
      <c r="CD9" s="228">
        <v>893</v>
      </c>
      <c r="CE9" s="228">
        <v>-27</v>
      </c>
      <c r="CF9" s="229">
        <v>-2.98E-2</v>
      </c>
      <c r="CG9" s="228">
        <v>32</v>
      </c>
      <c r="CH9" s="228">
        <v>10</v>
      </c>
      <c r="CI9" s="228">
        <v>23</v>
      </c>
      <c r="CJ9" s="229">
        <v>2.3431000000000002</v>
      </c>
      <c r="CK9" s="228">
        <v>0</v>
      </c>
      <c r="CL9" s="228">
        <v>0</v>
      </c>
      <c r="CM9" s="228">
        <v>0</v>
      </c>
      <c r="CN9" s="229">
        <v>0</v>
      </c>
      <c r="CO9" s="228">
        <v>142</v>
      </c>
      <c r="CP9" s="228">
        <v>122</v>
      </c>
      <c r="CQ9" s="228">
        <v>20</v>
      </c>
      <c r="CR9" s="229">
        <v>0.16420000000000001</v>
      </c>
      <c r="CS9" s="228">
        <v>92</v>
      </c>
      <c r="CT9" s="228">
        <v>91</v>
      </c>
      <c r="CU9" s="228">
        <v>1</v>
      </c>
      <c r="CV9" s="229">
        <v>9.2999999999999992E-3</v>
      </c>
      <c r="CW9" s="230">
        <v>1134</v>
      </c>
      <c r="CX9" s="230">
        <v>1117</v>
      </c>
      <c r="CY9" s="228">
        <v>17</v>
      </c>
      <c r="CZ9" s="229">
        <v>1.5100000000000001E-2</v>
      </c>
      <c r="DA9" s="228">
        <v>17.5</v>
      </c>
      <c r="DB9" s="228">
        <v>17.59</v>
      </c>
      <c r="DC9" s="228">
        <v>-0.09</v>
      </c>
      <c r="DD9" s="228">
        <v>-0.09</v>
      </c>
      <c r="DE9" s="228">
        <v>26.03</v>
      </c>
      <c r="DF9" s="228">
        <v>26.08</v>
      </c>
      <c r="DG9" s="228">
        <v>-8.5299999999999994</v>
      </c>
      <c r="DH9" s="228">
        <v>-0.05</v>
      </c>
      <c r="DI9" s="228">
        <v>16.97</v>
      </c>
      <c r="DJ9" s="228">
        <v>17.079999999999998</v>
      </c>
      <c r="DK9" s="228">
        <v>-0.11</v>
      </c>
      <c r="DL9" s="228">
        <v>-0.11</v>
      </c>
      <c r="DM9" s="228">
        <v>18.78</v>
      </c>
      <c r="DN9" s="228">
        <v>19.190000000000001</v>
      </c>
      <c r="DO9" s="228">
        <v>-0.41</v>
      </c>
      <c r="DP9" s="228">
        <v>-0.41</v>
      </c>
      <c r="DQ9" s="228">
        <v>0.65</v>
      </c>
      <c r="DR9" s="228">
        <v>0.75</v>
      </c>
      <c r="DS9" s="228">
        <v>-0.1</v>
      </c>
      <c r="DT9" s="229">
        <v>-0.1333</v>
      </c>
      <c r="DU9" s="231">
        <v>5800</v>
      </c>
      <c r="DV9" s="231">
        <v>5500</v>
      </c>
      <c r="DW9" s="228">
        <v>0.42</v>
      </c>
      <c r="DX9" s="228">
        <v>0.32</v>
      </c>
      <c r="DY9" s="228">
        <v>0.1</v>
      </c>
      <c r="DZ9" s="229">
        <v>0.3125</v>
      </c>
      <c r="EA9" s="229">
        <v>3.6400000000000002E-2</v>
      </c>
      <c r="EB9" s="230">
        <v>18000</v>
      </c>
      <c r="EC9" s="229">
        <v>5.4999999999999997E-3</v>
      </c>
      <c r="ED9" s="229">
        <v>3.6400000000000002E-2</v>
      </c>
      <c r="EE9" s="228">
        <v>16.47</v>
      </c>
      <c r="EF9" s="229">
        <v>2.8999999999999998E-3</v>
      </c>
      <c r="EG9" s="230">
        <v>19318</v>
      </c>
      <c r="EH9" s="230">
        <v>60014</v>
      </c>
      <c r="EI9" s="229">
        <v>-0.67810000000000004</v>
      </c>
      <c r="EJ9" s="229">
        <v>0.52659999999999996</v>
      </c>
      <c r="EK9" s="228">
        <v>174.29</v>
      </c>
      <c r="EL9" s="228">
        <v>69.47</v>
      </c>
      <c r="EM9" s="228">
        <v>127.16</v>
      </c>
      <c r="EN9" s="228">
        <v>7.01</v>
      </c>
      <c r="EO9" s="228">
        <v>370.92</v>
      </c>
      <c r="EP9" s="228">
        <v>242.34</v>
      </c>
      <c r="EQ9" s="228">
        <v>128.58000000000001</v>
      </c>
      <c r="ER9" s="229">
        <v>0.53059999999999996</v>
      </c>
      <c r="ES9" s="228">
        <v>147.27000000000001</v>
      </c>
      <c r="ET9" s="228">
        <v>90.04</v>
      </c>
      <c r="EU9" s="228">
        <v>899.25</v>
      </c>
      <c r="EV9" s="231">
        <v>6130387</v>
      </c>
      <c r="EW9" s="231">
        <v>1136.57</v>
      </c>
      <c r="EX9" s="231">
        <v>1125.44</v>
      </c>
      <c r="EY9" s="228">
        <v>11.13</v>
      </c>
      <c r="EZ9" s="229">
        <v>9.9000000000000008E-3</v>
      </c>
      <c r="FA9" s="229">
        <v>0.3281</v>
      </c>
      <c r="FB9" s="227" t="s">
        <v>568</v>
      </c>
      <c r="FC9">
        <f t="shared" si="0"/>
        <v>33</v>
      </c>
    </row>
    <row r="10" spans="1:159" ht="17.25" thickBot="1" x14ac:dyDescent="0.3">
      <c r="A10" s="226">
        <v>46008</v>
      </c>
      <c r="B10" s="227" t="s">
        <v>184</v>
      </c>
      <c r="C10" s="227" t="s">
        <v>682</v>
      </c>
      <c r="D10" s="228">
        <v>100</v>
      </c>
      <c r="E10" s="228">
        <v>13</v>
      </c>
      <c r="F10" s="231">
        <v>6600</v>
      </c>
      <c r="G10" s="231">
        <v>6793.5</v>
      </c>
      <c r="H10" s="228">
        <v>-193.5</v>
      </c>
      <c r="I10" s="229">
        <v>-2.8500000000000001E-2</v>
      </c>
      <c r="J10" s="231">
        <v>6580.5</v>
      </c>
      <c r="K10" s="231">
        <v>6779.5</v>
      </c>
      <c r="L10" s="228">
        <v>-199</v>
      </c>
      <c r="M10" s="229">
        <v>-2.9399999999999999E-2</v>
      </c>
      <c r="N10" s="231">
        <v>6600</v>
      </c>
      <c r="O10" s="231">
        <v>6793.5</v>
      </c>
      <c r="P10" s="228">
        <v>-193.5</v>
      </c>
      <c r="Q10" s="229">
        <v>-2.8500000000000001E-2</v>
      </c>
      <c r="R10" s="231">
        <v>6528.5</v>
      </c>
      <c r="S10" s="231">
        <v>6705.5</v>
      </c>
      <c r="T10" s="228">
        <v>-177</v>
      </c>
      <c r="U10" s="229">
        <v>-2.64E-2</v>
      </c>
      <c r="V10" s="231">
        <v>6460.5</v>
      </c>
      <c r="W10" s="231">
        <v>6678.5</v>
      </c>
      <c r="X10" s="228">
        <v>-218</v>
      </c>
      <c r="Y10" s="229">
        <v>-3.2599999999999997E-2</v>
      </c>
      <c r="Z10" s="228">
        <v>19.5</v>
      </c>
      <c r="AA10" s="228">
        <v>14</v>
      </c>
      <c r="AB10" s="228">
        <v>5.5</v>
      </c>
      <c r="AC10" s="229">
        <v>3.0000000000000001E-3</v>
      </c>
      <c r="AD10" s="228">
        <v>19.5</v>
      </c>
      <c r="AE10" s="228">
        <v>14</v>
      </c>
      <c r="AF10" s="228">
        <v>5.5</v>
      </c>
      <c r="AG10" s="229">
        <v>3.0000000000000001E-3</v>
      </c>
      <c r="AH10" s="228">
        <v>-52</v>
      </c>
      <c r="AI10" s="228">
        <v>-74</v>
      </c>
      <c r="AJ10" s="228">
        <v>22</v>
      </c>
      <c r="AK10" s="229">
        <v>-7.9000000000000008E-3</v>
      </c>
      <c r="AL10" s="228">
        <v>-120</v>
      </c>
      <c r="AM10" s="228">
        <v>-101</v>
      </c>
      <c r="AN10" s="228">
        <v>-19</v>
      </c>
      <c r="AO10" s="229">
        <v>-1.8200000000000001E-2</v>
      </c>
      <c r="AP10" s="231">
        <v>6667.6</v>
      </c>
      <c r="AQ10" s="231">
        <v>6589.35</v>
      </c>
      <c r="AR10" s="228">
        <v>0</v>
      </c>
      <c r="AS10" s="228">
        <v>222</v>
      </c>
      <c r="AT10" s="228">
        <v>133</v>
      </c>
      <c r="AU10" s="228">
        <v>89</v>
      </c>
      <c r="AV10" s="229">
        <v>0.66549999999999998</v>
      </c>
      <c r="AW10" s="228">
        <v>188</v>
      </c>
      <c r="AX10" s="228">
        <v>106</v>
      </c>
      <c r="AY10" s="228">
        <v>83</v>
      </c>
      <c r="AZ10" s="229">
        <v>0.78239999999999998</v>
      </c>
      <c r="BA10" s="228">
        <v>33</v>
      </c>
      <c r="BB10" s="228">
        <v>27</v>
      </c>
      <c r="BC10" s="228">
        <v>6</v>
      </c>
      <c r="BD10" s="229">
        <v>0.22520000000000001</v>
      </c>
      <c r="BE10" s="228">
        <v>1</v>
      </c>
      <c r="BF10" s="228">
        <v>1</v>
      </c>
      <c r="BG10" s="228">
        <v>0</v>
      </c>
      <c r="BH10" s="229">
        <v>6.6699999999999995E-2</v>
      </c>
      <c r="BI10" s="230">
        <v>1093</v>
      </c>
      <c r="BJ10" s="228">
        <v>788</v>
      </c>
      <c r="BK10" s="228">
        <v>306</v>
      </c>
      <c r="BL10" s="229">
        <v>0.38800000000000001</v>
      </c>
      <c r="BM10" s="228">
        <v>870</v>
      </c>
      <c r="BN10" s="228">
        <v>434</v>
      </c>
      <c r="BO10" s="228">
        <v>436</v>
      </c>
      <c r="BP10" s="229">
        <v>1.0048999999999999</v>
      </c>
      <c r="BQ10" s="230">
        <v>2185</v>
      </c>
      <c r="BR10" s="230">
        <v>1355</v>
      </c>
      <c r="BS10" s="228">
        <v>830</v>
      </c>
      <c r="BT10" s="229">
        <v>0.61280000000000001</v>
      </c>
      <c r="BU10" s="230">
        <v>250852</v>
      </c>
      <c r="BV10" s="230">
        <v>177854</v>
      </c>
      <c r="BW10" s="230">
        <v>72998</v>
      </c>
      <c r="BX10" s="229">
        <v>0.41039999999999999</v>
      </c>
      <c r="BY10" s="228">
        <v>776</v>
      </c>
      <c r="BZ10" s="228">
        <v>767</v>
      </c>
      <c r="CA10" s="228">
        <v>9</v>
      </c>
      <c r="CB10" s="229">
        <v>1.21E-2</v>
      </c>
      <c r="CC10" s="228">
        <v>664</v>
      </c>
      <c r="CD10" s="228">
        <v>667</v>
      </c>
      <c r="CE10" s="228">
        <v>-3</v>
      </c>
      <c r="CF10" s="229">
        <v>-4.8999999999999998E-3</v>
      </c>
      <c r="CG10" s="228">
        <v>106</v>
      </c>
      <c r="CH10" s="228">
        <v>95</v>
      </c>
      <c r="CI10" s="228">
        <v>12</v>
      </c>
      <c r="CJ10" s="229">
        <v>0.12479999999999999</v>
      </c>
      <c r="CK10" s="228">
        <v>6</v>
      </c>
      <c r="CL10" s="228">
        <v>5</v>
      </c>
      <c r="CM10" s="228">
        <v>1</v>
      </c>
      <c r="CN10" s="229">
        <v>0.13919999999999999</v>
      </c>
      <c r="CO10" s="228">
        <v>778</v>
      </c>
      <c r="CP10" s="228">
        <v>714</v>
      </c>
      <c r="CQ10" s="228">
        <v>63</v>
      </c>
      <c r="CR10" s="229">
        <v>8.8800000000000004E-2</v>
      </c>
      <c r="CS10" s="228">
        <v>516</v>
      </c>
      <c r="CT10" s="228">
        <v>511</v>
      </c>
      <c r="CU10" s="228">
        <v>5</v>
      </c>
      <c r="CV10" s="229">
        <v>9.2999999999999992E-3</v>
      </c>
      <c r="CW10" s="230">
        <v>2069</v>
      </c>
      <c r="CX10" s="230">
        <v>1992</v>
      </c>
      <c r="CY10" s="228">
        <v>77</v>
      </c>
      <c r="CZ10" s="229">
        <v>3.8899999999999997E-2</v>
      </c>
      <c r="DA10" s="228">
        <v>31.64</v>
      </c>
      <c r="DB10" s="228">
        <v>31.3</v>
      </c>
      <c r="DC10" s="228">
        <v>0.34</v>
      </c>
      <c r="DD10" s="228">
        <v>0.34</v>
      </c>
      <c r="DE10" s="228">
        <v>52.81</v>
      </c>
      <c r="DF10" s="228">
        <v>52.8</v>
      </c>
      <c r="DG10" s="228">
        <v>-21.17</v>
      </c>
      <c r="DH10" s="228">
        <v>0.01</v>
      </c>
      <c r="DI10" s="228">
        <v>31.59</v>
      </c>
      <c r="DJ10" s="228">
        <v>31.07</v>
      </c>
      <c r="DK10" s="228">
        <v>0.52</v>
      </c>
      <c r="DL10" s="228">
        <v>0.52</v>
      </c>
      <c r="DM10" s="228">
        <v>31.7</v>
      </c>
      <c r="DN10" s="228">
        <v>31.72</v>
      </c>
      <c r="DO10" s="228">
        <v>-0.02</v>
      </c>
      <c r="DP10" s="228">
        <v>-0.02</v>
      </c>
      <c r="DQ10" s="228">
        <v>0.66</v>
      </c>
      <c r="DR10" s="228">
        <v>0.72</v>
      </c>
      <c r="DS10" s="228">
        <v>-0.06</v>
      </c>
      <c r="DT10" s="229">
        <v>-8.3299999999999999E-2</v>
      </c>
      <c r="DU10" s="231">
        <v>7000</v>
      </c>
      <c r="DV10" s="231">
        <v>6000</v>
      </c>
      <c r="DW10" s="228">
        <v>0.8</v>
      </c>
      <c r="DX10" s="228">
        <v>0.55000000000000004</v>
      </c>
      <c r="DY10" s="228">
        <v>0.25</v>
      </c>
      <c r="DZ10" s="229">
        <v>0.45450000000000002</v>
      </c>
      <c r="EA10" s="229">
        <v>0.14480000000000001</v>
      </c>
      <c r="EB10" s="230">
        <v>151300</v>
      </c>
      <c r="EC10" s="229">
        <v>-1.0800000000000001E-2</v>
      </c>
      <c r="ED10" s="229">
        <v>0.14480000000000001</v>
      </c>
      <c r="EE10" s="228">
        <v>-78.25</v>
      </c>
      <c r="EF10" s="229">
        <v>-1.17E-2</v>
      </c>
      <c r="EG10" s="230">
        <v>91019</v>
      </c>
      <c r="EH10" s="230">
        <v>45657</v>
      </c>
      <c r="EI10" s="229">
        <v>0.99350000000000005</v>
      </c>
      <c r="EJ10" s="229">
        <v>0.36280000000000001</v>
      </c>
      <c r="EK10" s="231">
        <v>1169.04</v>
      </c>
      <c r="EL10" s="228">
        <v>857.73</v>
      </c>
      <c r="EM10" s="228">
        <v>223.69</v>
      </c>
      <c r="EN10" s="228">
        <v>39.43</v>
      </c>
      <c r="EO10" s="231">
        <v>2250.46</v>
      </c>
      <c r="EP10" s="231">
        <v>1427.93</v>
      </c>
      <c r="EQ10" s="228">
        <v>822.53</v>
      </c>
      <c r="ER10" s="229">
        <v>0.57599999999999996</v>
      </c>
      <c r="ES10" s="228">
        <v>830.81</v>
      </c>
      <c r="ET10" s="228">
        <v>506.66</v>
      </c>
      <c r="EU10" s="228">
        <v>774.68</v>
      </c>
      <c r="EV10" s="231">
        <v>3067454</v>
      </c>
      <c r="EW10" s="231">
        <v>2112.16</v>
      </c>
      <c r="EX10" s="231">
        <v>2055.65</v>
      </c>
      <c r="EY10" s="228">
        <v>56.51</v>
      </c>
      <c r="EZ10" s="229">
        <v>2.75E-2</v>
      </c>
      <c r="FA10" s="229">
        <v>1.0221</v>
      </c>
      <c r="FB10" s="227" t="s">
        <v>567</v>
      </c>
      <c r="FC10">
        <f t="shared" si="0"/>
        <v>112</v>
      </c>
    </row>
    <row r="11" spans="1:159" ht="17.25" thickBot="1" x14ac:dyDescent="0.3">
      <c r="A11" s="226">
        <v>46008</v>
      </c>
      <c r="B11" s="227" t="s">
        <v>157</v>
      </c>
      <c r="C11" s="227" t="s">
        <v>164</v>
      </c>
      <c r="D11" s="228">
        <v>1050</v>
      </c>
      <c r="E11" s="228">
        <v>13</v>
      </c>
      <c r="F11" s="228">
        <v>541.9</v>
      </c>
      <c r="G11" s="228">
        <v>549.5</v>
      </c>
      <c r="H11" s="228">
        <v>-7.6</v>
      </c>
      <c r="I11" s="229">
        <v>-1.38E-2</v>
      </c>
      <c r="J11" s="228">
        <v>541.29999999999995</v>
      </c>
      <c r="K11" s="228">
        <v>548.70000000000005</v>
      </c>
      <c r="L11" s="228">
        <v>-7.4</v>
      </c>
      <c r="M11" s="229">
        <v>-1.35E-2</v>
      </c>
      <c r="N11" s="228">
        <v>541.9</v>
      </c>
      <c r="O11" s="228">
        <v>549.5</v>
      </c>
      <c r="P11" s="228">
        <v>-7.6</v>
      </c>
      <c r="Q11" s="229">
        <v>-1.38E-2</v>
      </c>
      <c r="R11" s="228">
        <v>544.85</v>
      </c>
      <c r="S11" s="228">
        <v>553.29999999999995</v>
      </c>
      <c r="T11" s="228">
        <v>-8.4499999999999993</v>
      </c>
      <c r="U11" s="229">
        <v>-1.5299999999999999E-2</v>
      </c>
      <c r="V11" s="228">
        <v>548</v>
      </c>
      <c r="W11" s="228">
        <v>556.45000000000005</v>
      </c>
      <c r="X11" s="228">
        <v>-8.4499999999999993</v>
      </c>
      <c r="Y11" s="229">
        <v>-1.52E-2</v>
      </c>
      <c r="Z11" s="228">
        <v>0.6</v>
      </c>
      <c r="AA11" s="228">
        <v>0.8</v>
      </c>
      <c r="AB11" s="228">
        <v>-0.2</v>
      </c>
      <c r="AC11" s="229">
        <v>1.1000000000000001E-3</v>
      </c>
      <c r="AD11" s="228">
        <v>0.6</v>
      </c>
      <c r="AE11" s="228">
        <v>0.8</v>
      </c>
      <c r="AF11" s="228">
        <v>-0.2</v>
      </c>
      <c r="AG11" s="229">
        <v>1.1000000000000001E-3</v>
      </c>
      <c r="AH11" s="228">
        <v>3.55</v>
      </c>
      <c r="AI11" s="228">
        <v>4.5999999999999996</v>
      </c>
      <c r="AJ11" s="228">
        <v>-1.05</v>
      </c>
      <c r="AK11" s="229">
        <v>6.6E-3</v>
      </c>
      <c r="AL11" s="228">
        <v>6.7</v>
      </c>
      <c r="AM11" s="228">
        <v>7.75</v>
      </c>
      <c r="AN11" s="228">
        <v>-1.05</v>
      </c>
      <c r="AO11" s="229">
        <v>1.24E-2</v>
      </c>
      <c r="AP11" s="228">
        <v>544.38</v>
      </c>
      <c r="AQ11" s="228">
        <v>547.45000000000005</v>
      </c>
      <c r="AR11" s="228">
        <v>0</v>
      </c>
      <c r="AS11" s="228">
        <v>126</v>
      </c>
      <c r="AT11" s="228">
        <v>177</v>
      </c>
      <c r="AU11" s="228">
        <v>-51</v>
      </c>
      <c r="AV11" s="229">
        <v>-0.28870000000000001</v>
      </c>
      <c r="AW11" s="228">
        <v>104</v>
      </c>
      <c r="AX11" s="228">
        <v>157</v>
      </c>
      <c r="AY11" s="228">
        <v>-53</v>
      </c>
      <c r="AZ11" s="229">
        <v>-0.3367</v>
      </c>
      <c r="BA11" s="228">
        <v>21</v>
      </c>
      <c r="BB11" s="228">
        <v>19</v>
      </c>
      <c r="BC11" s="228">
        <v>2</v>
      </c>
      <c r="BD11" s="229">
        <v>0.1057</v>
      </c>
      <c r="BE11" s="228">
        <v>1</v>
      </c>
      <c r="BF11" s="228">
        <v>1</v>
      </c>
      <c r="BG11" s="228">
        <v>0</v>
      </c>
      <c r="BH11" s="229">
        <v>-0.16669999999999999</v>
      </c>
      <c r="BI11" s="228">
        <v>292</v>
      </c>
      <c r="BJ11" s="228">
        <v>387</v>
      </c>
      <c r="BK11" s="228">
        <v>-95</v>
      </c>
      <c r="BL11" s="229">
        <v>-0.24479999999999999</v>
      </c>
      <c r="BM11" s="228">
        <v>131</v>
      </c>
      <c r="BN11" s="228">
        <v>233</v>
      </c>
      <c r="BO11" s="228">
        <v>-102</v>
      </c>
      <c r="BP11" s="229">
        <v>-0.43809999999999999</v>
      </c>
      <c r="BQ11" s="228">
        <v>549</v>
      </c>
      <c r="BR11" s="228">
        <v>797</v>
      </c>
      <c r="BS11" s="228">
        <v>-248</v>
      </c>
      <c r="BT11" s="229">
        <v>-0.311</v>
      </c>
      <c r="BU11" s="230">
        <v>534919</v>
      </c>
      <c r="BV11" s="230">
        <v>1925706</v>
      </c>
      <c r="BW11" s="230">
        <v>-1390787</v>
      </c>
      <c r="BX11" s="229">
        <v>-0.72219999999999995</v>
      </c>
      <c r="BY11" s="230">
        <v>2603</v>
      </c>
      <c r="BZ11" s="230">
        <v>2614</v>
      </c>
      <c r="CA11" s="228">
        <v>-10</v>
      </c>
      <c r="CB11" s="229">
        <v>-4.0000000000000001E-3</v>
      </c>
      <c r="CC11" s="230">
        <v>2510</v>
      </c>
      <c r="CD11" s="230">
        <v>2525</v>
      </c>
      <c r="CE11" s="228">
        <v>-15</v>
      </c>
      <c r="CF11" s="229">
        <v>-5.7999999999999996E-3</v>
      </c>
      <c r="CG11" s="228">
        <v>83</v>
      </c>
      <c r="CH11" s="228">
        <v>78</v>
      </c>
      <c r="CI11" s="228">
        <v>4</v>
      </c>
      <c r="CJ11" s="229">
        <v>5.2900000000000003E-2</v>
      </c>
      <c r="CK11" s="228">
        <v>10</v>
      </c>
      <c r="CL11" s="228">
        <v>10</v>
      </c>
      <c r="CM11" s="228">
        <v>0</v>
      </c>
      <c r="CN11" s="229">
        <v>0</v>
      </c>
      <c r="CO11" s="228">
        <v>643</v>
      </c>
      <c r="CP11" s="228">
        <v>609</v>
      </c>
      <c r="CQ11" s="228">
        <v>34</v>
      </c>
      <c r="CR11" s="229">
        <v>5.6099999999999997E-2</v>
      </c>
      <c r="CS11" s="228">
        <v>522</v>
      </c>
      <c r="CT11" s="228">
        <v>524</v>
      </c>
      <c r="CU11" s="228">
        <v>-1</v>
      </c>
      <c r="CV11" s="229">
        <v>-2.7000000000000001E-3</v>
      </c>
      <c r="CW11" s="230">
        <v>3769</v>
      </c>
      <c r="CX11" s="230">
        <v>3747</v>
      </c>
      <c r="CY11" s="228">
        <v>22</v>
      </c>
      <c r="CZ11" s="229">
        <v>5.8999999999999999E-3</v>
      </c>
      <c r="DA11" s="228">
        <v>19.47</v>
      </c>
      <c r="DB11" s="228">
        <v>19.16</v>
      </c>
      <c r="DC11" s="228">
        <v>0.31</v>
      </c>
      <c r="DD11" s="228">
        <v>0.31</v>
      </c>
      <c r="DE11" s="228">
        <v>31.76</v>
      </c>
      <c r="DF11" s="228">
        <v>31.79</v>
      </c>
      <c r="DG11" s="228">
        <v>-12.29</v>
      </c>
      <c r="DH11" s="228">
        <v>-0.03</v>
      </c>
      <c r="DI11" s="228">
        <v>19.66</v>
      </c>
      <c r="DJ11" s="228">
        <v>18.809999999999999</v>
      </c>
      <c r="DK11" s="228">
        <v>0.85</v>
      </c>
      <c r="DL11" s="228">
        <v>0.85</v>
      </c>
      <c r="DM11" s="228">
        <v>19.04</v>
      </c>
      <c r="DN11" s="228">
        <v>19.739999999999998</v>
      </c>
      <c r="DO11" s="228">
        <v>-0.7</v>
      </c>
      <c r="DP11" s="228">
        <v>-0.7</v>
      </c>
      <c r="DQ11" s="228">
        <v>0.81</v>
      </c>
      <c r="DR11" s="228">
        <v>0.86</v>
      </c>
      <c r="DS11" s="228">
        <v>-0.05</v>
      </c>
      <c r="DT11" s="229">
        <v>-5.8099999999999999E-2</v>
      </c>
      <c r="DU11" s="228">
        <v>550</v>
      </c>
      <c r="DV11" s="228">
        <v>550</v>
      </c>
      <c r="DW11" s="228">
        <v>0.45</v>
      </c>
      <c r="DX11" s="228">
        <v>0.6</v>
      </c>
      <c r="DY11" s="228">
        <v>-0.15</v>
      </c>
      <c r="DZ11" s="229">
        <v>-0.25</v>
      </c>
      <c r="EA11" s="229">
        <v>3.5700000000000003E-2</v>
      </c>
      <c r="EB11" s="230">
        <v>1640100</v>
      </c>
      <c r="EC11" s="229">
        <v>5.4000000000000003E-3</v>
      </c>
      <c r="ED11" s="229">
        <v>3.5700000000000003E-2</v>
      </c>
      <c r="EE11" s="228">
        <v>3.07</v>
      </c>
      <c r="EF11" s="229">
        <v>5.5999999999999999E-3</v>
      </c>
      <c r="EG11" s="230">
        <v>259502</v>
      </c>
      <c r="EH11" s="230">
        <v>1265690</v>
      </c>
      <c r="EI11" s="229">
        <v>-0.79500000000000004</v>
      </c>
      <c r="EJ11" s="229">
        <v>0.48509999999999998</v>
      </c>
      <c r="EK11" s="228">
        <v>302.27999999999997</v>
      </c>
      <c r="EL11" s="228">
        <v>131.52000000000001</v>
      </c>
      <c r="EM11" s="228">
        <v>126.74</v>
      </c>
      <c r="EN11" s="228">
        <v>42.25</v>
      </c>
      <c r="EO11" s="228">
        <v>560.54</v>
      </c>
      <c r="EP11" s="228">
        <v>816.52</v>
      </c>
      <c r="EQ11" s="228">
        <v>-255.97</v>
      </c>
      <c r="ER11" s="229">
        <v>-0.3135</v>
      </c>
      <c r="ES11" s="228">
        <v>673.55</v>
      </c>
      <c r="ET11" s="228">
        <v>534.12</v>
      </c>
      <c r="EU11" s="231">
        <v>2604.06</v>
      </c>
      <c r="EV11" s="231">
        <v>119762774</v>
      </c>
      <c r="EW11" s="231">
        <v>3811.73</v>
      </c>
      <c r="EX11" s="231">
        <v>3825.52</v>
      </c>
      <c r="EY11" s="228">
        <v>-13.79</v>
      </c>
      <c r="EZ11" s="229">
        <v>-3.5999999999999999E-3</v>
      </c>
      <c r="FA11" s="229">
        <v>0.58069999999999999</v>
      </c>
      <c r="FB11" s="227" t="s">
        <v>568</v>
      </c>
      <c r="FC11">
        <f t="shared" si="0"/>
        <v>93</v>
      </c>
    </row>
    <row r="12" spans="1:159" ht="17.25" thickBot="1" x14ac:dyDescent="0.3">
      <c r="A12" s="226">
        <v>46008</v>
      </c>
      <c r="B12" s="227" t="s">
        <v>175</v>
      </c>
      <c r="C12" s="227" t="s">
        <v>609</v>
      </c>
      <c r="D12" s="228">
        <v>250</v>
      </c>
      <c r="E12" s="228">
        <v>13</v>
      </c>
      <c r="F12" s="231">
        <v>2478.9</v>
      </c>
      <c r="G12" s="231">
        <v>2507.6</v>
      </c>
      <c r="H12" s="228">
        <v>-28.7</v>
      </c>
      <c r="I12" s="229">
        <v>-1.14E-2</v>
      </c>
      <c r="J12" s="231">
        <v>2504.6</v>
      </c>
      <c r="K12" s="231">
        <v>2532.4</v>
      </c>
      <c r="L12" s="228">
        <v>-27.8</v>
      </c>
      <c r="M12" s="229">
        <v>-1.0999999999999999E-2</v>
      </c>
      <c r="N12" s="231">
        <v>2478.9</v>
      </c>
      <c r="O12" s="231">
        <v>2507.6</v>
      </c>
      <c r="P12" s="228">
        <v>-28.7</v>
      </c>
      <c r="Q12" s="229">
        <v>-1.14E-2</v>
      </c>
      <c r="R12" s="231">
        <v>2437.8000000000002</v>
      </c>
      <c r="S12" s="231">
        <v>2470.3000000000002</v>
      </c>
      <c r="T12" s="228">
        <v>-32.5</v>
      </c>
      <c r="U12" s="229">
        <v>-1.32E-2</v>
      </c>
      <c r="V12" s="231">
        <v>2428</v>
      </c>
      <c r="W12" s="231">
        <v>2480</v>
      </c>
      <c r="X12" s="228">
        <v>-52</v>
      </c>
      <c r="Y12" s="229">
        <v>-2.1000000000000001E-2</v>
      </c>
      <c r="Z12" s="228">
        <v>-25.7</v>
      </c>
      <c r="AA12" s="228">
        <v>-24.8</v>
      </c>
      <c r="AB12" s="228">
        <v>-0.9</v>
      </c>
      <c r="AC12" s="229">
        <v>-1.03E-2</v>
      </c>
      <c r="AD12" s="228">
        <v>-25.7</v>
      </c>
      <c r="AE12" s="228">
        <v>-24.8</v>
      </c>
      <c r="AF12" s="228">
        <v>-0.9</v>
      </c>
      <c r="AG12" s="229">
        <v>-1.03E-2</v>
      </c>
      <c r="AH12" s="228">
        <v>-66.8</v>
      </c>
      <c r="AI12" s="228">
        <v>-62.1</v>
      </c>
      <c r="AJ12" s="228">
        <v>-4.7</v>
      </c>
      <c r="AK12" s="229">
        <v>-2.6700000000000002E-2</v>
      </c>
      <c r="AL12" s="228">
        <v>-76.599999999999994</v>
      </c>
      <c r="AM12" s="228">
        <v>-52.4</v>
      </c>
      <c r="AN12" s="228">
        <v>-24.2</v>
      </c>
      <c r="AO12" s="229">
        <v>-3.0599999999999999E-2</v>
      </c>
      <c r="AP12" s="231">
        <v>2486.4499999999998</v>
      </c>
      <c r="AQ12" s="231">
        <v>2445.06</v>
      </c>
      <c r="AR12" s="228">
        <v>0</v>
      </c>
      <c r="AS12" s="228">
        <v>231</v>
      </c>
      <c r="AT12" s="228">
        <v>220</v>
      </c>
      <c r="AU12" s="228">
        <v>10</v>
      </c>
      <c r="AV12" s="229">
        <v>4.7500000000000001E-2</v>
      </c>
      <c r="AW12" s="228">
        <v>161</v>
      </c>
      <c r="AX12" s="228">
        <v>186</v>
      </c>
      <c r="AY12" s="228">
        <v>-25</v>
      </c>
      <c r="AZ12" s="229">
        <v>-0.13500000000000001</v>
      </c>
      <c r="BA12" s="228">
        <v>67</v>
      </c>
      <c r="BB12" s="228">
        <v>34</v>
      </c>
      <c r="BC12" s="228">
        <v>33</v>
      </c>
      <c r="BD12" s="229">
        <v>0.9728</v>
      </c>
      <c r="BE12" s="228">
        <v>3</v>
      </c>
      <c r="BF12" s="228">
        <v>0</v>
      </c>
      <c r="BG12" s="228">
        <v>2</v>
      </c>
      <c r="BH12" s="229">
        <v>7.6</v>
      </c>
      <c r="BI12" s="228">
        <v>965</v>
      </c>
      <c r="BJ12" s="228">
        <v>876</v>
      </c>
      <c r="BK12" s="228">
        <v>88</v>
      </c>
      <c r="BL12" s="229">
        <v>0.1008</v>
      </c>
      <c r="BM12" s="228">
        <v>389</v>
      </c>
      <c r="BN12" s="228">
        <v>447</v>
      </c>
      <c r="BO12" s="228">
        <v>-58</v>
      </c>
      <c r="BP12" s="229">
        <v>-0.12959999999999999</v>
      </c>
      <c r="BQ12" s="230">
        <v>1584</v>
      </c>
      <c r="BR12" s="230">
        <v>1543</v>
      </c>
      <c r="BS12" s="228">
        <v>41</v>
      </c>
      <c r="BT12" s="229">
        <v>2.6499999999999999E-2</v>
      </c>
      <c r="BU12" s="230">
        <v>319925</v>
      </c>
      <c r="BV12" s="230">
        <v>375194</v>
      </c>
      <c r="BW12" s="230">
        <v>-55269</v>
      </c>
      <c r="BX12" s="229">
        <v>-0.14729999999999999</v>
      </c>
      <c r="BY12" s="230">
        <v>1044</v>
      </c>
      <c r="BZ12" s="230">
        <v>1019</v>
      </c>
      <c r="CA12" s="228">
        <v>25</v>
      </c>
      <c r="CB12" s="229">
        <v>2.4799999999999999E-2</v>
      </c>
      <c r="CC12" s="228">
        <v>901</v>
      </c>
      <c r="CD12" s="228">
        <v>894</v>
      </c>
      <c r="CE12" s="228">
        <v>7</v>
      </c>
      <c r="CF12" s="229">
        <v>8.3000000000000001E-3</v>
      </c>
      <c r="CG12" s="228">
        <v>132</v>
      </c>
      <c r="CH12" s="228">
        <v>116</v>
      </c>
      <c r="CI12" s="228">
        <v>17</v>
      </c>
      <c r="CJ12" s="229">
        <v>0.1447</v>
      </c>
      <c r="CK12" s="228">
        <v>11</v>
      </c>
      <c r="CL12" s="228">
        <v>9</v>
      </c>
      <c r="CM12" s="228">
        <v>1</v>
      </c>
      <c r="CN12" s="229">
        <v>0.125</v>
      </c>
      <c r="CO12" s="230">
        <v>1274</v>
      </c>
      <c r="CP12" s="230">
        <v>1209</v>
      </c>
      <c r="CQ12" s="228">
        <v>65</v>
      </c>
      <c r="CR12" s="229">
        <v>5.3499999999999999E-2</v>
      </c>
      <c r="CS12" s="228">
        <v>519</v>
      </c>
      <c r="CT12" s="228">
        <v>518</v>
      </c>
      <c r="CU12" s="228">
        <v>2</v>
      </c>
      <c r="CV12" s="229">
        <v>3.5999999999999999E-3</v>
      </c>
      <c r="CW12" s="230">
        <v>2838</v>
      </c>
      <c r="CX12" s="230">
        <v>2746</v>
      </c>
      <c r="CY12" s="228">
        <v>92</v>
      </c>
      <c r="CZ12" s="229">
        <v>3.3500000000000002E-2</v>
      </c>
      <c r="DA12" s="228">
        <v>37.11</v>
      </c>
      <c r="DB12" s="228">
        <v>36.590000000000003</v>
      </c>
      <c r="DC12" s="228">
        <v>0.52</v>
      </c>
      <c r="DD12" s="228">
        <v>0.52</v>
      </c>
      <c r="DE12" s="228">
        <v>52.89</v>
      </c>
      <c r="DF12" s="228">
        <v>53</v>
      </c>
      <c r="DG12" s="228">
        <v>-15.78</v>
      </c>
      <c r="DH12" s="228">
        <v>-0.11</v>
      </c>
      <c r="DI12" s="228">
        <v>37.869999999999997</v>
      </c>
      <c r="DJ12" s="228">
        <v>37.270000000000003</v>
      </c>
      <c r="DK12" s="228">
        <v>0.6</v>
      </c>
      <c r="DL12" s="228">
        <v>0.6</v>
      </c>
      <c r="DM12" s="228">
        <v>35.229999999999997</v>
      </c>
      <c r="DN12" s="228">
        <v>35.270000000000003</v>
      </c>
      <c r="DO12" s="228">
        <v>-0.04</v>
      </c>
      <c r="DP12" s="228">
        <v>-0.04</v>
      </c>
      <c r="DQ12" s="228">
        <v>0.41</v>
      </c>
      <c r="DR12" s="228">
        <v>0.43</v>
      </c>
      <c r="DS12" s="228">
        <v>-0.02</v>
      </c>
      <c r="DT12" s="229">
        <v>-4.65E-2</v>
      </c>
      <c r="DU12" s="231">
        <v>2800</v>
      </c>
      <c r="DV12" s="231">
        <v>2500</v>
      </c>
      <c r="DW12" s="228">
        <v>0.4</v>
      </c>
      <c r="DX12" s="228">
        <v>0.51</v>
      </c>
      <c r="DY12" s="228">
        <v>-0.11</v>
      </c>
      <c r="DZ12" s="229">
        <v>-0.2157</v>
      </c>
      <c r="EA12" s="229">
        <v>0.13700000000000001</v>
      </c>
      <c r="EB12" s="230">
        <v>504500</v>
      </c>
      <c r="EC12" s="229">
        <v>-1.66E-2</v>
      </c>
      <c r="ED12" s="229">
        <v>0.13700000000000001</v>
      </c>
      <c r="EE12" s="228">
        <v>-41.39</v>
      </c>
      <c r="EF12" s="229">
        <v>-1.66E-2</v>
      </c>
      <c r="EG12" s="230">
        <v>60137</v>
      </c>
      <c r="EH12" s="230">
        <v>89976</v>
      </c>
      <c r="EI12" s="229">
        <v>-0.33160000000000001</v>
      </c>
      <c r="EJ12" s="229">
        <v>0.188</v>
      </c>
      <c r="EK12" s="231">
        <v>1050.31</v>
      </c>
      <c r="EL12" s="228">
        <v>391.6</v>
      </c>
      <c r="EM12" s="228">
        <v>230.44</v>
      </c>
      <c r="EN12" s="228">
        <v>36.28</v>
      </c>
      <c r="EO12" s="231">
        <v>1672.35</v>
      </c>
      <c r="EP12" s="231">
        <v>1632.95</v>
      </c>
      <c r="EQ12" s="228">
        <v>39.39</v>
      </c>
      <c r="ER12" s="229">
        <v>2.41E-2</v>
      </c>
      <c r="ES12" s="231">
        <v>1419.73</v>
      </c>
      <c r="ET12" s="228">
        <v>522.64</v>
      </c>
      <c r="EU12" s="231">
        <v>1041.51</v>
      </c>
      <c r="EV12" s="231">
        <v>9647634</v>
      </c>
      <c r="EW12" s="231">
        <v>2983.89</v>
      </c>
      <c r="EX12" s="231">
        <v>2903.75</v>
      </c>
      <c r="EY12" s="228">
        <v>80.14</v>
      </c>
      <c r="EZ12" s="229">
        <v>2.76E-2</v>
      </c>
      <c r="FA12" s="229">
        <v>1.1865000000000001</v>
      </c>
      <c r="FB12" s="227" t="s">
        <v>567</v>
      </c>
      <c r="FC12">
        <f t="shared" si="0"/>
        <v>143</v>
      </c>
    </row>
    <row r="13" spans="1:159" ht="17.25" thickBot="1" x14ac:dyDescent="0.3">
      <c r="A13" s="226">
        <v>46008</v>
      </c>
      <c r="B13" s="227" t="s">
        <v>227</v>
      </c>
      <c r="C13" s="227" t="s">
        <v>598</v>
      </c>
      <c r="D13" s="228">
        <v>350</v>
      </c>
      <c r="E13" s="228">
        <v>13</v>
      </c>
      <c r="F13" s="231">
        <v>1769.5</v>
      </c>
      <c r="G13" s="231">
        <v>1737.1</v>
      </c>
      <c r="H13" s="228">
        <v>32.4</v>
      </c>
      <c r="I13" s="229">
        <v>1.8700000000000001E-2</v>
      </c>
      <c r="J13" s="231">
        <v>1764.5</v>
      </c>
      <c r="K13" s="231">
        <v>1732.9</v>
      </c>
      <c r="L13" s="228">
        <v>31.6</v>
      </c>
      <c r="M13" s="229">
        <v>1.8200000000000001E-2</v>
      </c>
      <c r="N13" s="231">
        <v>1769.5</v>
      </c>
      <c r="O13" s="231">
        <v>1737.1</v>
      </c>
      <c r="P13" s="228">
        <v>32.4</v>
      </c>
      <c r="Q13" s="229">
        <v>1.8700000000000001E-2</v>
      </c>
      <c r="R13" s="231">
        <v>1778.5</v>
      </c>
      <c r="S13" s="231">
        <v>1747</v>
      </c>
      <c r="T13" s="228">
        <v>31.5</v>
      </c>
      <c r="U13" s="229">
        <v>1.7999999999999999E-2</v>
      </c>
      <c r="V13" s="231">
        <v>1791</v>
      </c>
      <c r="W13" s="231">
        <v>1752.2</v>
      </c>
      <c r="X13" s="228">
        <v>38.799999999999997</v>
      </c>
      <c r="Y13" s="229">
        <v>2.2100000000000002E-2</v>
      </c>
      <c r="Z13" s="228">
        <v>5</v>
      </c>
      <c r="AA13" s="228">
        <v>4.2</v>
      </c>
      <c r="AB13" s="228">
        <v>0.8</v>
      </c>
      <c r="AC13" s="229">
        <v>2.8E-3</v>
      </c>
      <c r="AD13" s="228">
        <v>5</v>
      </c>
      <c r="AE13" s="228">
        <v>4.2</v>
      </c>
      <c r="AF13" s="228">
        <v>0.8</v>
      </c>
      <c r="AG13" s="229">
        <v>2.8E-3</v>
      </c>
      <c r="AH13" s="228">
        <v>14</v>
      </c>
      <c r="AI13" s="228">
        <v>14.1</v>
      </c>
      <c r="AJ13" s="228">
        <v>-0.1</v>
      </c>
      <c r="AK13" s="229">
        <v>7.9000000000000008E-3</v>
      </c>
      <c r="AL13" s="228">
        <v>26.5</v>
      </c>
      <c r="AM13" s="228">
        <v>19.3</v>
      </c>
      <c r="AN13" s="228">
        <v>7.2</v>
      </c>
      <c r="AO13" s="229">
        <v>1.4999999999999999E-2</v>
      </c>
      <c r="AP13" s="231">
        <v>1761.4</v>
      </c>
      <c r="AQ13" s="231">
        <v>1763.91</v>
      </c>
      <c r="AR13" s="228">
        <v>0</v>
      </c>
      <c r="AS13" s="228">
        <v>229</v>
      </c>
      <c r="AT13" s="228">
        <v>99</v>
      </c>
      <c r="AU13" s="228">
        <v>130</v>
      </c>
      <c r="AV13" s="229">
        <v>1.3197000000000001</v>
      </c>
      <c r="AW13" s="228">
        <v>192</v>
      </c>
      <c r="AX13" s="228">
        <v>80</v>
      </c>
      <c r="AY13" s="228">
        <v>112</v>
      </c>
      <c r="AZ13" s="229">
        <v>1.3945000000000001</v>
      </c>
      <c r="BA13" s="228">
        <v>36</v>
      </c>
      <c r="BB13" s="228">
        <v>18</v>
      </c>
      <c r="BC13" s="228">
        <v>17</v>
      </c>
      <c r="BD13" s="229">
        <v>0.96579999999999999</v>
      </c>
      <c r="BE13" s="228">
        <v>1</v>
      </c>
      <c r="BF13" s="228">
        <v>0</v>
      </c>
      <c r="BG13" s="228">
        <v>1</v>
      </c>
      <c r="BH13" s="229">
        <v>4.5</v>
      </c>
      <c r="BI13" s="230">
        <v>1057</v>
      </c>
      <c r="BJ13" s="228">
        <v>97</v>
      </c>
      <c r="BK13" s="228">
        <v>960</v>
      </c>
      <c r="BL13" s="229">
        <v>9.8826999999999998</v>
      </c>
      <c r="BM13" s="228">
        <v>339</v>
      </c>
      <c r="BN13" s="228">
        <v>38</v>
      </c>
      <c r="BO13" s="228">
        <v>300</v>
      </c>
      <c r="BP13" s="229">
        <v>7.8335999999999997</v>
      </c>
      <c r="BQ13" s="230">
        <v>1624</v>
      </c>
      <c r="BR13" s="228">
        <v>234</v>
      </c>
      <c r="BS13" s="230">
        <v>1390</v>
      </c>
      <c r="BT13" s="229">
        <v>5.9397000000000002</v>
      </c>
      <c r="BU13" s="230">
        <v>768856</v>
      </c>
      <c r="BV13" s="230">
        <v>601766</v>
      </c>
      <c r="BW13" s="230">
        <v>167090</v>
      </c>
      <c r="BX13" s="229">
        <v>0.2777</v>
      </c>
      <c r="BY13" s="230">
        <v>1390</v>
      </c>
      <c r="BZ13" s="230">
        <v>1371</v>
      </c>
      <c r="CA13" s="228">
        <v>18</v>
      </c>
      <c r="CB13" s="229">
        <v>1.32E-2</v>
      </c>
      <c r="CC13" s="230">
        <v>1337</v>
      </c>
      <c r="CD13" s="230">
        <v>1326</v>
      </c>
      <c r="CE13" s="228">
        <v>11</v>
      </c>
      <c r="CF13" s="229">
        <v>8.3000000000000001E-3</v>
      </c>
      <c r="CG13" s="228">
        <v>45</v>
      </c>
      <c r="CH13" s="228">
        <v>38</v>
      </c>
      <c r="CI13" s="228">
        <v>7</v>
      </c>
      <c r="CJ13" s="229">
        <v>0.18340000000000001</v>
      </c>
      <c r="CK13" s="228">
        <v>7</v>
      </c>
      <c r="CL13" s="228">
        <v>7</v>
      </c>
      <c r="CM13" s="228">
        <v>0</v>
      </c>
      <c r="CN13" s="229">
        <v>1.6899999999999998E-2</v>
      </c>
      <c r="CO13" s="228">
        <v>202</v>
      </c>
      <c r="CP13" s="228">
        <v>178</v>
      </c>
      <c r="CQ13" s="228">
        <v>24</v>
      </c>
      <c r="CR13" s="229">
        <v>0.13489999999999999</v>
      </c>
      <c r="CS13" s="228">
        <v>153</v>
      </c>
      <c r="CT13" s="228">
        <v>156</v>
      </c>
      <c r="CU13" s="228">
        <v>-3</v>
      </c>
      <c r="CV13" s="229">
        <v>-1.9900000000000001E-2</v>
      </c>
      <c r="CW13" s="230">
        <v>1744</v>
      </c>
      <c r="CX13" s="230">
        <v>1705</v>
      </c>
      <c r="CY13" s="228">
        <v>39</v>
      </c>
      <c r="CZ13" s="229">
        <v>2.29E-2</v>
      </c>
      <c r="DA13" s="228">
        <v>19.13</v>
      </c>
      <c r="DB13" s="228">
        <v>17.93</v>
      </c>
      <c r="DC13" s="228">
        <v>1.2</v>
      </c>
      <c r="DD13" s="228">
        <v>1.2</v>
      </c>
      <c r="DE13" s="228">
        <v>32.25</v>
      </c>
      <c r="DF13" s="228">
        <v>32.24</v>
      </c>
      <c r="DG13" s="228">
        <v>-13.12</v>
      </c>
      <c r="DH13" s="228">
        <v>0.01</v>
      </c>
      <c r="DI13" s="228">
        <v>19.07</v>
      </c>
      <c r="DJ13" s="228">
        <v>18.170000000000002</v>
      </c>
      <c r="DK13" s="228">
        <v>0.9</v>
      </c>
      <c r="DL13" s="228">
        <v>0.9</v>
      </c>
      <c r="DM13" s="228">
        <v>19.34</v>
      </c>
      <c r="DN13" s="228">
        <v>17.329999999999998</v>
      </c>
      <c r="DO13" s="228">
        <v>2.0099999999999998</v>
      </c>
      <c r="DP13" s="228">
        <v>2.0099999999999998</v>
      </c>
      <c r="DQ13" s="228">
        <v>0.75</v>
      </c>
      <c r="DR13" s="228">
        <v>0.87</v>
      </c>
      <c r="DS13" s="228">
        <v>-0.12</v>
      </c>
      <c r="DT13" s="229">
        <v>-0.13789999999999999</v>
      </c>
      <c r="DU13" s="231">
        <v>1760</v>
      </c>
      <c r="DV13" s="231">
        <v>1700</v>
      </c>
      <c r="DW13" s="228">
        <v>0.32</v>
      </c>
      <c r="DX13" s="228">
        <v>0.39</v>
      </c>
      <c r="DY13" s="228">
        <v>-7.0000000000000007E-2</v>
      </c>
      <c r="DZ13" s="229">
        <v>-0.17949999999999999</v>
      </c>
      <c r="EA13" s="229">
        <v>3.78E-2</v>
      </c>
      <c r="EB13" s="230">
        <v>256900</v>
      </c>
      <c r="EC13" s="229">
        <v>5.1000000000000004E-3</v>
      </c>
      <c r="ED13" s="229">
        <v>3.78E-2</v>
      </c>
      <c r="EE13" s="228">
        <v>2.5099999999999998</v>
      </c>
      <c r="EF13" s="229">
        <v>1.4E-3</v>
      </c>
      <c r="EG13" s="230">
        <v>407045</v>
      </c>
      <c r="EH13" s="230">
        <v>445198</v>
      </c>
      <c r="EI13" s="229">
        <v>-8.5699999999999998E-2</v>
      </c>
      <c r="EJ13" s="229">
        <v>0.52939999999999998</v>
      </c>
      <c r="EK13" s="231">
        <v>1078.52</v>
      </c>
      <c r="EL13" s="228">
        <v>334.34</v>
      </c>
      <c r="EM13" s="228">
        <v>227.73</v>
      </c>
      <c r="EN13" s="228">
        <v>18.82</v>
      </c>
      <c r="EO13" s="231">
        <v>1640.58</v>
      </c>
      <c r="EP13" s="228">
        <v>232.53</v>
      </c>
      <c r="EQ13" s="231">
        <v>1408.05</v>
      </c>
      <c r="ER13" s="229">
        <v>6.0553999999999997</v>
      </c>
      <c r="ES13" s="228">
        <v>205.35</v>
      </c>
      <c r="ET13" s="228">
        <v>147.4</v>
      </c>
      <c r="EU13" s="231">
        <v>1389.96</v>
      </c>
      <c r="EV13" s="231">
        <v>27232196</v>
      </c>
      <c r="EW13" s="231">
        <v>1742.72</v>
      </c>
      <c r="EX13" s="231">
        <v>1677.78</v>
      </c>
      <c r="EY13" s="228">
        <v>64.94</v>
      </c>
      <c r="EZ13" s="229">
        <v>3.8699999999999998E-2</v>
      </c>
      <c r="FA13" s="229">
        <v>0.36199999999999999</v>
      </c>
      <c r="FB13" s="227" t="s">
        <v>555</v>
      </c>
      <c r="FC13">
        <f t="shared" si="0"/>
        <v>53</v>
      </c>
    </row>
    <row r="14" spans="1:159" ht="17.25" thickBot="1" x14ac:dyDescent="0.3">
      <c r="A14" s="226">
        <v>46008</v>
      </c>
      <c r="B14" s="227" t="s">
        <v>170</v>
      </c>
      <c r="C14" s="227" t="s">
        <v>165</v>
      </c>
      <c r="D14" s="228">
        <v>125</v>
      </c>
      <c r="E14" s="228">
        <v>13</v>
      </c>
      <c r="F14" s="231">
        <v>6927.5</v>
      </c>
      <c r="G14" s="231">
        <v>7067.5</v>
      </c>
      <c r="H14" s="228">
        <v>-140</v>
      </c>
      <c r="I14" s="229">
        <v>-1.9800000000000002E-2</v>
      </c>
      <c r="J14" s="231">
        <v>6921.5</v>
      </c>
      <c r="K14" s="231">
        <v>7051.5</v>
      </c>
      <c r="L14" s="228">
        <v>-130</v>
      </c>
      <c r="M14" s="229">
        <v>-1.84E-2</v>
      </c>
      <c r="N14" s="231">
        <v>6927.5</v>
      </c>
      <c r="O14" s="231">
        <v>7067.5</v>
      </c>
      <c r="P14" s="228">
        <v>-140</v>
      </c>
      <c r="Q14" s="229">
        <v>-1.9800000000000002E-2</v>
      </c>
      <c r="R14" s="231">
        <v>6971</v>
      </c>
      <c r="S14" s="231">
        <v>7109.5</v>
      </c>
      <c r="T14" s="228">
        <v>-138.5</v>
      </c>
      <c r="U14" s="229">
        <v>-1.95E-2</v>
      </c>
      <c r="V14" s="231">
        <v>7003.5</v>
      </c>
      <c r="W14" s="231">
        <v>7143</v>
      </c>
      <c r="X14" s="228">
        <v>-139.5</v>
      </c>
      <c r="Y14" s="229">
        <v>-1.95E-2</v>
      </c>
      <c r="Z14" s="228">
        <v>6</v>
      </c>
      <c r="AA14" s="228">
        <v>16</v>
      </c>
      <c r="AB14" s="228">
        <v>-10</v>
      </c>
      <c r="AC14" s="229">
        <v>8.9999999999999998E-4</v>
      </c>
      <c r="AD14" s="228">
        <v>6</v>
      </c>
      <c r="AE14" s="228">
        <v>16</v>
      </c>
      <c r="AF14" s="228">
        <v>-10</v>
      </c>
      <c r="AG14" s="229">
        <v>8.9999999999999998E-4</v>
      </c>
      <c r="AH14" s="228">
        <v>49.5</v>
      </c>
      <c r="AI14" s="228">
        <v>58</v>
      </c>
      <c r="AJ14" s="228">
        <v>-8.5</v>
      </c>
      <c r="AK14" s="229">
        <v>7.1999999999999998E-3</v>
      </c>
      <c r="AL14" s="228">
        <v>82</v>
      </c>
      <c r="AM14" s="228">
        <v>91.5</v>
      </c>
      <c r="AN14" s="228">
        <v>-9.5</v>
      </c>
      <c r="AO14" s="229">
        <v>1.18E-2</v>
      </c>
      <c r="AP14" s="231">
        <v>6971.12</v>
      </c>
      <c r="AQ14" s="231">
        <v>7016</v>
      </c>
      <c r="AR14" s="228">
        <v>0</v>
      </c>
      <c r="AS14" s="228">
        <v>366</v>
      </c>
      <c r="AT14" s="228">
        <v>286</v>
      </c>
      <c r="AU14" s="228">
        <v>80</v>
      </c>
      <c r="AV14" s="229">
        <v>0.27829999999999999</v>
      </c>
      <c r="AW14" s="228">
        <v>300</v>
      </c>
      <c r="AX14" s="228">
        <v>243</v>
      </c>
      <c r="AY14" s="228">
        <v>57</v>
      </c>
      <c r="AZ14" s="229">
        <v>0.23319999999999999</v>
      </c>
      <c r="BA14" s="228">
        <v>61</v>
      </c>
      <c r="BB14" s="228">
        <v>41</v>
      </c>
      <c r="BC14" s="228">
        <v>20</v>
      </c>
      <c r="BD14" s="229">
        <v>0.50109999999999999</v>
      </c>
      <c r="BE14" s="228">
        <v>5</v>
      </c>
      <c r="BF14" s="228">
        <v>2</v>
      </c>
      <c r="BG14" s="228">
        <v>3</v>
      </c>
      <c r="BH14" s="229">
        <v>1.1153999999999999</v>
      </c>
      <c r="BI14" s="230">
        <v>2045</v>
      </c>
      <c r="BJ14" s="230">
        <v>1977</v>
      </c>
      <c r="BK14" s="228">
        <v>68</v>
      </c>
      <c r="BL14" s="229">
        <v>3.44E-2</v>
      </c>
      <c r="BM14" s="230">
        <v>1107</v>
      </c>
      <c r="BN14" s="228">
        <v>481</v>
      </c>
      <c r="BO14" s="228">
        <v>626</v>
      </c>
      <c r="BP14" s="229">
        <v>1.2995000000000001</v>
      </c>
      <c r="BQ14" s="230">
        <v>3517</v>
      </c>
      <c r="BR14" s="230">
        <v>2744</v>
      </c>
      <c r="BS14" s="228">
        <v>773</v>
      </c>
      <c r="BT14" s="229">
        <v>0.28179999999999999</v>
      </c>
      <c r="BU14" s="230">
        <v>362937</v>
      </c>
      <c r="BV14" s="230">
        <v>399798</v>
      </c>
      <c r="BW14" s="230">
        <v>-36861</v>
      </c>
      <c r="BX14" s="229">
        <v>-9.2200000000000004E-2</v>
      </c>
      <c r="BY14" s="230">
        <v>2366</v>
      </c>
      <c r="BZ14" s="230">
        <v>2311</v>
      </c>
      <c r="CA14" s="228">
        <v>55</v>
      </c>
      <c r="CB14" s="229">
        <v>2.3599999999999999E-2</v>
      </c>
      <c r="CC14" s="230">
        <v>2196</v>
      </c>
      <c r="CD14" s="230">
        <v>2182</v>
      </c>
      <c r="CE14" s="228">
        <v>14</v>
      </c>
      <c r="CF14" s="229">
        <v>6.3E-3</v>
      </c>
      <c r="CG14" s="228">
        <v>159</v>
      </c>
      <c r="CH14" s="228">
        <v>120</v>
      </c>
      <c r="CI14" s="228">
        <v>39</v>
      </c>
      <c r="CJ14" s="229">
        <v>0.32679999999999998</v>
      </c>
      <c r="CK14" s="228">
        <v>12</v>
      </c>
      <c r="CL14" s="228">
        <v>10</v>
      </c>
      <c r="CM14" s="228">
        <v>2</v>
      </c>
      <c r="CN14" s="229">
        <v>0.1875</v>
      </c>
      <c r="CO14" s="230">
        <v>1673</v>
      </c>
      <c r="CP14" s="230">
        <v>1467</v>
      </c>
      <c r="CQ14" s="228">
        <v>206</v>
      </c>
      <c r="CR14" s="229">
        <v>0.14019999999999999</v>
      </c>
      <c r="CS14" s="228">
        <v>784</v>
      </c>
      <c r="CT14" s="228">
        <v>696</v>
      </c>
      <c r="CU14" s="228">
        <v>88</v>
      </c>
      <c r="CV14" s="229">
        <v>0.12620000000000001</v>
      </c>
      <c r="CW14" s="230">
        <v>4823</v>
      </c>
      <c r="CX14" s="230">
        <v>4475</v>
      </c>
      <c r="CY14" s="228">
        <v>348</v>
      </c>
      <c r="CZ14" s="229">
        <v>7.7799999999999994E-2</v>
      </c>
      <c r="DA14" s="228">
        <v>18.34</v>
      </c>
      <c r="DB14" s="228">
        <v>17.09</v>
      </c>
      <c r="DC14" s="228">
        <v>1.25</v>
      </c>
      <c r="DD14" s="228">
        <v>1.25</v>
      </c>
      <c r="DE14" s="228">
        <v>24.97</v>
      </c>
      <c r="DF14" s="228">
        <v>24.9</v>
      </c>
      <c r="DG14" s="228">
        <v>-6.63</v>
      </c>
      <c r="DH14" s="228">
        <v>7.0000000000000007E-2</v>
      </c>
      <c r="DI14" s="228">
        <v>19.23</v>
      </c>
      <c r="DJ14" s="228">
        <v>17.39</v>
      </c>
      <c r="DK14" s="228">
        <v>1.84</v>
      </c>
      <c r="DL14" s="228">
        <v>1.84</v>
      </c>
      <c r="DM14" s="228">
        <v>16.68</v>
      </c>
      <c r="DN14" s="228">
        <v>15.85</v>
      </c>
      <c r="DO14" s="228">
        <v>0.83</v>
      </c>
      <c r="DP14" s="228">
        <v>0.83</v>
      </c>
      <c r="DQ14" s="228">
        <v>0.47</v>
      </c>
      <c r="DR14" s="228">
        <v>0.47</v>
      </c>
      <c r="DS14" s="228">
        <v>0</v>
      </c>
      <c r="DT14" s="229">
        <v>0</v>
      </c>
      <c r="DU14" s="231">
        <v>7500</v>
      </c>
      <c r="DV14" s="231">
        <v>7000</v>
      </c>
      <c r="DW14" s="228">
        <v>0.54</v>
      </c>
      <c r="DX14" s="228">
        <v>0.24</v>
      </c>
      <c r="DY14" s="228">
        <v>0.3</v>
      </c>
      <c r="DZ14" s="229">
        <v>1.25</v>
      </c>
      <c r="EA14" s="229">
        <v>7.1999999999999995E-2</v>
      </c>
      <c r="EB14" s="230">
        <v>186875</v>
      </c>
      <c r="EC14" s="229">
        <v>6.3E-3</v>
      </c>
      <c r="ED14" s="229">
        <v>7.1999999999999995E-2</v>
      </c>
      <c r="EE14" s="228">
        <v>44.88</v>
      </c>
      <c r="EF14" s="229">
        <v>6.4000000000000003E-3</v>
      </c>
      <c r="EG14" s="230">
        <v>245066</v>
      </c>
      <c r="EH14" s="230">
        <v>256571</v>
      </c>
      <c r="EI14" s="229">
        <v>-4.48E-2</v>
      </c>
      <c r="EJ14" s="229">
        <v>0.67520000000000002</v>
      </c>
      <c r="EK14" s="231">
        <v>2138.9899999999998</v>
      </c>
      <c r="EL14" s="231">
        <v>1118.23</v>
      </c>
      <c r="EM14" s="228">
        <v>368.26</v>
      </c>
      <c r="EN14" s="228">
        <v>28.96</v>
      </c>
      <c r="EO14" s="231">
        <v>3625.48</v>
      </c>
      <c r="EP14" s="231">
        <v>2868.77</v>
      </c>
      <c r="EQ14" s="228">
        <v>756.72</v>
      </c>
      <c r="ER14" s="229">
        <v>0.26379999999999998</v>
      </c>
      <c r="ES14" s="231">
        <v>1789.49</v>
      </c>
      <c r="ET14" s="228">
        <v>797.93</v>
      </c>
      <c r="EU14" s="231">
        <v>2367.21</v>
      </c>
      <c r="EV14" s="231">
        <v>15240043</v>
      </c>
      <c r="EW14" s="231">
        <v>4954.6400000000003</v>
      </c>
      <c r="EX14" s="231">
        <v>4658.43</v>
      </c>
      <c r="EY14" s="228">
        <v>296.20999999999998</v>
      </c>
      <c r="EZ14" s="229">
        <v>6.3600000000000004E-2</v>
      </c>
      <c r="FA14" s="229">
        <v>0.45679999999999998</v>
      </c>
      <c r="FB14" s="227" t="s">
        <v>567</v>
      </c>
      <c r="FC14">
        <f t="shared" si="0"/>
        <v>170</v>
      </c>
    </row>
    <row r="15" spans="1:159" ht="17.25" thickBot="1" x14ac:dyDescent="0.3">
      <c r="A15" s="226">
        <v>46008</v>
      </c>
      <c r="B15" s="227" t="s">
        <v>162</v>
      </c>
      <c r="C15" s="227" t="s">
        <v>167</v>
      </c>
      <c r="D15" s="228">
        <v>5000</v>
      </c>
      <c r="E15" s="228">
        <v>13</v>
      </c>
      <c r="F15" s="228">
        <v>166.15</v>
      </c>
      <c r="G15" s="228">
        <v>166.25</v>
      </c>
      <c r="H15" s="228">
        <v>-0.1</v>
      </c>
      <c r="I15" s="229">
        <v>-5.9999999999999995E-4</v>
      </c>
      <c r="J15" s="228">
        <v>166.14</v>
      </c>
      <c r="K15" s="228">
        <v>167.75</v>
      </c>
      <c r="L15" s="228">
        <v>-1.61</v>
      </c>
      <c r="M15" s="229">
        <v>-9.5999999999999992E-3</v>
      </c>
      <c r="N15" s="228">
        <v>166.15</v>
      </c>
      <c r="O15" s="228">
        <v>166.25</v>
      </c>
      <c r="P15" s="228">
        <v>-0.1</v>
      </c>
      <c r="Q15" s="229">
        <v>-5.9999999999999995E-4</v>
      </c>
      <c r="R15" s="228">
        <v>165.16</v>
      </c>
      <c r="S15" s="228">
        <v>165.25</v>
      </c>
      <c r="T15" s="228">
        <v>-0.09</v>
      </c>
      <c r="U15" s="229">
        <v>-5.0000000000000001E-4</v>
      </c>
      <c r="V15" s="228">
        <v>164.3</v>
      </c>
      <c r="W15" s="228">
        <v>164.37</v>
      </c>
      <c r="X15" s="228">
        <v>-7.0000000000000007E-2</v>
      </c>
      <c r="Y15" s="229">
        <v>-4.0000000000000002E-4</v>
      </c>
      <c r="Z15" s="228">
        <v>0.01</v>
      </c>
      <c r="AA15" s="228">
        <v>-1.5</v>
      </c>
      <c r="AB15" s="228">
        <v>1.51</v>
      </c>
      <c r="AC15" s="229">
        <v>1E-4</v>
      </c>
      <c r="AD15" s="228">
        <v>0.01</v>
      </c>
      <c r="AE15" s="228">
        <v>-1.5</v>
      </c>
      <c r="AF15" s="228">
        <v>1.51</v>
      </c>
      <c r="AG15" s="229">
        <v>1E-4</v>
      </c>
      <c r="AH15" s="228">
        <v>-0.98</v>
      </c>
      <c r="AI15" s="228">
        <v>-2.5</v>
      </c>
      <c r="AJ15" s="228">
        <v>1.52</v>
      </c>
      <c r="AK15" s="229">
        <v>-5.8999999999999999E-3</v>
      </c>
      <c r="AL15" s="228">
        <v>-1.84</v>
      </c>
      <c r="AM15" s="228">
        <v>-3.38</v>
      </c>
      <c r="AN15" s="228">
        <v>1.54</v>
      </c>
      <c r="AO15" s="229">
        <v>-1.11E-2</v>
      </c>
      <c r="AP15" s="228">
        <v>165.73</v>
      </c>
      <c r="AQ15" s="228">
        <v>164.73</v>
      </c>
      <c r="AR15" s="228">
        <v>0</v>
      </c>
      <c r="AS15" s="228">
        <v>367</v>
      </c>
      <c r="AT15" s="228">
        <v>534</v>
      </c>
      <c r="AU15" s="228">
        <v>-167</v>
      </c>
      <c r="AV15" s="229">
        <v>-0.313</v>
      </c>
      <c r="AW15" s="228">
        <v>281</v>
      </c>
      <c r="AX15" s="228">
        <v>414</v>
      </c>
      <c r="AY15" s="228">
        <v>-133</v>
      </c>
      <c r="AZ15" s="229">
        <v>-0.32050000000000001</v>
      </c>
      <c r="BA15" s="228">
        <v>84</v>
      </c>
      <c r="BB15" s="228">
        <v>114</v>
      </c>
      <c r="BC15" s="228">
        <v>-30</v>
      </c>
      <c r="BD15" s="229">
        <v>-0.26650000000000001</v>
      </c>
      <c r="BE15" s="228">
        <v>2</v>
      </c>
      <c r="BF15" s="228">
        <v>6</v>
      </c>
      <c r="BG15" s="228">
        <v>-4</v>
      </c>
      <c r="BH15" s="229">
        <v>-0.70589999999999997</v>
      </c>
      <c r="BI15" s="230">
        <v>1017</v>
      </c>
      <c r="BJ15" s="230">
        <v>2098</v>
      </c>
      <c r="BK15" s="230">
        <v>-1081</v>
      </c>
      <c r="BL15" s="229">
        <v>-0.51529999999999998</v>
      </c>
      <c r="BM15" s="228">
        <v>673</v>
      </c>
      <c r="BN15" s="230">
        <v>1002</v>
      </c>
      <c r="BO15" s="228">
        <v>-329</v>
      </c>
      <c r="BP15" s="229">
        <v>-0.32800000000000001</v>
      </c>
      <c r="BQ15" s="230">
        <v>2057</v>
      </c>
      <c r="BR15" s="230">
        <v>3633</v>
      </c>
      <c r="BS15" s="230">
        <v>-1577</v>
      </c>
      <c r="BT15" s="229">
        <v>-0.43390000000000001</v>
      </c>
      <c r="BU15" s="230">
        <v>8504503</v>
      </c>
      <c r="BV15" s="230">
        <v>17944125</v>
      </c>
      <c r="BW15" s="230">
        <v>-9439622</v>
      </c>
      <c r="BX15" s="229">
        <v>-0.52610000000000001</v>
      </c>
      <c r="BY15" s="230">
        <v>2656</v>
      </c>
      <c r="BZ15" s="230">
        <v>2621</v>
      </c>
      <c r="CA15" s="228">
        <v>35</v>
      </c>
      <c r="CB15" s="229">
        <v>1.3299999999999999E-2</v>
      </c>
      <c r="CC15" s="230">
        <v>2341</v>
      </c>
      <c r="CD15" s="230">
        <v>2353</v>
      </c>
      <c r="CE15" s="228">
        <v>-12</v>
      </c>
      <c r="CF15" s="229">
        <v>-5.0000000000000001E-3</v>
      </c>
      <c r="CG15" s="228">
        <v>302</v>
      </c>
      <c r="CH15" s="228">
        <v>255</v>
      </c>
      <c r="CI15" s="228">
        <v>47</v>
      </c>
      <c r="CJ15" s="229">
        <v>0.1847</v>
      </c>
      <c r="CK15" s="228">
        <v>12</v>
      </c>
      <c r="CL15" s="228">
        <v>13</v>
      </c>
      <c r="CM15" s="228">
        <v>0</v>
      </c>
      <c r="CN15" s="229">
        <v>-2.63E-2</v>
      </c>
      <c r="CO15" s="230">
        <v>1127</v>
      </c>
      <c r="CP15" s="230">
        <v>1146</v>
      </c>
      <c r="CQ15" s="228">
        <v>-19</v>
      </c>
      <c r="CR15" s="229">
        <v>-1.6799999999999999E-2</v>
      </c>
      <c r="CS15" s="230">
        <v>1099</v>
      </c>
      <c r="CT15" s="230">
        <v>1100</v>
      </c>
      <c r="CU15" s="228">
        <v>-1</v>
      </c>
      <c r="CV15" s="229">
        <v>-8.0000000000000004E-4</v>
      </c>
      <c r="CW15" s="230">
        <v>4882</v>
      </c>
      <c r="CX15" s="230">
        <v>4867</v>
      </c>
      <c r="CY15" s="228">
        <v>15</v>
      </c>
      <c r="CZ15" s="229">
        <v>3.0999999999999999E-3</v>
      </c>
      <c r="DA15" s="228">
        <v>22.84</v>
      </c>
      <c r="DB15" s="228">
        <v>23.17</v>
      </c>
      <c r="DC15" s="228">
        <v>-0.33</v>
      </c>
      <c r="DD15" s="228">
        <v>-0.33</v>
      </c>
      <c r="DE15" s="228">
        <v>35.1</v>
      </c>
      <c r="DF15" s="228">
        <v>35.159999999999997</v>
      </c>
      <c r="DG15" s="228">
        <v>-12.26</v>
      </c>
      <c r="DH15" s="228">
        <v>-0.06</v>
      </c>
      <c r="DI15" s="228">
        <v>22.22</v>
      </c>
      <c r="DJ15" s="228">
        <v>22.72</v>
      </c>
      <c r="DK15" s="228">
        <v>-0.5</v>
      </c>
      <c r="DL15" s="228">
        <v>-0.5</v>
      </c>
      <c r="DM15" s="228">
        <v>23.78</v>
      </c>
      <c r="DN15" s="228">
        <v>24.09</v>
      </c>
      <c r="DO15" s="228">
        <v>-0.31</v>
      </c>
      <c r="DP15" s="228">
        <v>-0.31</v>
      </c>
      <c r="DQ15" s="228">
        <v>0.98</v>
      </c>
      <c r="DR15" s="228">
        <v>0.96</v>
      </c>
      <c r="DS15" s="228">
        <v>0.02</v>
      </c>
      <c r="DT15" s="229">
        <v>2.0799999999999999E-2</v>
      </c>
      <c r="DU15" s="228">
        <v>170</v>
      </c>
      <c r="DV15" s="228">
        <v>160</v>
      </c>
      <c r="DW15" s="228">
        <v>0.66</v>
      </c>
      <c r="DX15" s="228">
        <v>0.48</v>
      </c>
      <c r="DY15" s="228">
        <v>0.18</v>
      </c>
      <c r="DZ15" s="229">
        <v>0.375</v>
      </c>
      <c r="EA15" s="229">
        <v>0.11840000000000001</v>
      </c>
      <c r="EB15" s="230">
        <v>16110000</v>
      </c>
      <c r="EC15" s="229">
        <v>-6.0000000000000001E-3</v>
      </c>
      <c r="ED15" s="229">
        <v>0.11840000000000001</v>
      </c>
      <c r="EE15" s="228">
        <v>-1</v>
      </c>
      <c r="EF15" s="229">
        <v>-6.0000000000000001E-3</v>
      </c>
      <c r="EG15" s="230">
        <v>4710344</v>
      </c>
      <c r="EH15" s="230">
        <v>9533513</v>
      </c>
      <c r="EI15" s="229">
        <v>-0.50590000000000002</v>
      </c>
      <c r="EJ15" s="229">
        <v>0.55389999999999995</v>
      </c>
      <c r="EK15" s="231">
        <v>1043.08</v>
      </c>
      <c r="EL15" s="228">
        <v>658.06</v>
      </c>
      <c r="EM15" s="228">
        <v>365.41</v>
      </c>
      <c r="EN15" s="228">
        <v>49.7</v>
      </c>
      <c r="EO15" s="231">
        <v>2066.5500000000002</v>
      </c>
      <c r="EP15" s="231">
        <v>3681.28</v>
      </c>
      <c r="EQ15" s="231">
        <v>-1614.73</v>
      </c>
      <c r="ER15" s="229">
        <v>-0.43859999999999999</v>
      </c>
      <c r="ES15" s="231">
        <v>1116.67</v>
      </c>
      <c r="ET15" s="231">
        <v>1016.72</v>
      </c>
      <c r="EU15" s="231">
        <v>2653.97</v>
      </c>
      <c r="EV15" s="231">
        <v>409181558</v>
      </c>
      <c r="EW15" s="231">
        <v>4787.3599999999997</v>
      </c>
      <c r="EX15" s="231">
        <v>4771.43</v>
      </c>
      <c r="EY15" s="228">
        <v>15.93</v>
      </c>
      <c r="EZ15" s="229">
        <v>3.3E-3</v>
      </c>
      <c r="FA15" s="229">
        <v>0.71809999999999996</v>
      </c>
      <c r="FB15" s="227" t="s">
        <v>567</v>
      </c>
      <c r="FC15">
        <f t="shared" si="0"/>
        <v>315</v>
      </c>
    </row>
    <row r="16" spans="1:159" ht="17.25" thickBot="1" x14ac:dyDescent="0.3">
      <c r="A16" s="226">
        <v>46008</v>
      </c>
      <c r="B16" s="227" t="s">
        <v>168</v>
      </c>
      <c r="C16" s="227" t="s">
        <v>169</v>
      </c>
      <c r="D16" s="228">
        <v>250</v>
      </c>
      <c r="E16" s="228">
        <v>13</v>
      </c>
      <c r="F16" s="231">
        <v>2785.6</v>
      </c>
      <c r="G16" s="231">
        <v>2792.4</v>
      </c>
      <c r="H16" s="228">
        <v>-6.8</v>
      </c>
      <c r="I16" s="229">
        <v>-2.3999999999999998E-3</v>
      </c>
      <c r="J16" s="231">
        <v>2785.7</v>
      </c>
      <c r="K16" s="231">
        <v>2790.9</v>
      </c>
      <c r="L16" s="228">
        <v>-5.2</v>
      </c>
      <c r="M16" s="229">
        <v>-1.9E-3</v>
      </c>
      <c r="N16" s="231">
        <v>2785.6</v>
      </c>
      <c r="O16" s="231">
        <v>2792.4</v>
      </c>
      <c r="P16" s="228">
        <v>-6.8</v>
      </c>
      <c r="Q16" s="229">
        <v>-2.3999999999999998E-3</v>
      </c>
      <c r="R16" s="231">
        <v>2803.3</v>
      </c>
      <c r="S16" s="231">
        <v>2808.9</v>
      </c>
      <c r="T16" s="228">
        <v>-5.6</v>
      </c>
      <c r="U16" s="229">
        <v>-2E-3</v>
      </c>
      <c r="V16" s="231">
        <v>2818.2</v>
      </c>
      <c r="W16" s="231">
        <v>2824.4</v>
      </c>
      <c r="X16" s="228">
        <v>-6.2</v>
      </c>
      <c r="Y16" s="229">
        <v>-2.2000000000000001E-3</v>
      </c>
      <c r="Z16" s="228">
        <v>-0.1</v>
      </c>
      <c r="AA16" s="228">
        <v>1.5</v>
      </c>
      <c r="AB16" s="228">
        <v>-1.6</v>
      </c>
      <c r="AC16" s="229">
        <v>0</v>
      </c>
      <c r="AD16" s="228">
        <v>-0.1</v>
      </c>
      <c r="AE16" s="228">
        <v>1.5</v>
      </c>
      <c r="AF16" s="228">
        <v>-1.6</v>
      </c>
      <c r="AG16" s="229">
        <v>0</v>
      </c>
      <c r="AH16" s="228">
        <v>17.600000000000001</v>
      </c>
      <c r="AI16" s="228">
        <v>18</v>
      </c>
      <c r="AJ16" s="228">
        <v>-0.4</v>
      </c>
      <c r="AK16" s="229">
        <v>6.3E-3</v>
      </c>
      <c r="AL16" s="228">
        <v>32.5</v>
      </c>
      <c r="AM16" s="228">
        <v>33.5</v>
      </c>
      <c r="AN16" s="228">
        <v>-1</v>
      </c>
      <c r="AO16" s="229">
        <v>1.17E-2</v>
      </c>
      <c r="AP16" s="231">
        <v>2789.57</v>
      </c>
      <c r="AQ16" s="231">
        <v>2803.96</v>
      </c>
      <c r="AR16" s="228">
        <v>0</v>
      </c>
      <c r="AS16" s="228">
        <v>332</v>
      </c>
      <c r="AT16" s="228">
        <v>379</v>
      </c>
      <c r="AU16" s="228">
        <v>-46</v>
      </c>
      <c r="AV16" s="229">
        <v>-0.12230000000000001</v>
      </c>
      <c r="AW16" s="228">
        <v>264</v>
      </c>
      <c r="AX16" s="228">
        <v>342</v>
      </c>
      <c r="AY16" s="228">
        <v>-78</v>
      </c>
      <c r="AZ16" s="229">
        <v>-0.22839999999999999</v>
      </c>
      <c r="BA16" s="228">
        <v>66</v>
      </c>
      <c r="BB16" s="228">
        <v>34</v>
      </c>
      <c r="BC16" s="228">
        <v>33</v>
      </c>
      <c r="BD16" s="229">
        <v>0.97519999999999996</v>
      </c>
      <c r="BE16" s="228">
        <v>2</v>
      </c>
      <c r="BF16" s="228">
        <v>3</v>
      </c>
      <c r="BG16" s="228">
        <v>-1</v>
      </c>
      <c r="BH16" s="229">
        <v>-0.34150000000000003</v>
      </c>
      <c r="BI16" s="230">
        <v>1815</v>
      </c>
      <c r="BJ16" s="230">
        <v>2968</v>
      </c>
      <c r="BK16" s="230">
        <v>-1153</v>
      </c>
      <c r="BL16" s="229">
        <v>-0.38850000000000001</v>
      </c>
      <c r="BM16" s="228">
        <v>692</v>
      </c>
      <c r="BN16" s="230">
        <v>1004</v>
      </c>
      <c r="BO16" s="228">
        <v>-311</v>
      </c>
      <c r="BP16" s="229">
        <v>-0.31030000000000002</v>
      </c>
      <c r="BQ16" s="230">
        <v>2839</v>
      </c>
      <c r="BR16" s="230">
        <v>4350</v>
      </c>
      <c r="BS16" s="230">
        <v>-1511</v>
      </c>
      <c r="BT16" s="229">
        <v>-0.3473</v>
      </c>
      <c r="BU16" s="230">
        <v>658830</v>
      </c>
      <c r="BV16" s="230">
        <v>944242</v>
      </c>
      <c r="BW16" s="230">
        <v>-285412</v>
      </c>
      <c r="BX16" s="229">
        <v>-0.30230000000000001</v>
      </c>
      <c r="BY16" s="230">
        <v>3401</v>
      </c>
      <c r="BZ16" s="230">
        <v>3353</v>
      </c>
      <c r="CA16" s="228">
        <v>48</v>
      </c>
      <c r="CB16" s="229">
        <v>1.4200000000000001E-2</v>
      </c>
      <c r="CC16" s="230">
        <v>3237</v>
      </c>
      <c r="CD16" s="230">
        <v>3223</v>
      </c>
      <c r="CE16" s="228">
        <v>15</v>
      </c>
      <c r="CF16" s="229">
        <v>4.5999999999999999E-3</v>
      </c>
      <c r="CG16" s="228">
        <v>145</v>
      </c>
      <c r="CH16" s="228">
        <v>112</v>
      </c>
      <c r="CI16" s="228">
        <v>33</v>
      </c>
      <c r="CJ16" s="229">
        <v>0.29599999999999999</v>
      </c>
      <c r="CK16" s="228">
        <v>19</v>
      </c>
      <c r="CL16" s="228">
        <v>19</v>
      </c>
      <c r="CM16" s="228">
        <v>0</v>
      </c>
      <c r="CN16" s="229">
        <v>-1.4800000000000001E-2</v>
      </c>
      <c r="CO16" s="230">
        <v>2475</v>
      </c>
      <c r="CP16" s="230">
        <v>2484</v>
      </c>
      <c r="CQ16" s="228">
        <v>-9</v>
      </c>
      <c r="CR16" s="229">
        <v>-3.5999999999999999E-3</v>
      </c>
      <c r="CS16" s="230">
        <v>1263</v>
      </c>
      <c r="CT16" s="230">
        <v>1286</v>
      </c>
      <c r="CU16" s="228">
        <v>-22</v>
      </c>
      <c r="CV16" s="229">
        <v>-1.7299999999999999E-2</v>
      </c>
      <c r="CW16" s="230">
        <v>7139</v>
      </c>
      <c r="CX16" s="230">
        <v>7123</v>
      </c>
      <c r="CY16" s="228">
        <v>17</v>
      </c>
      <c r="CZ16" s="229">
        <v>2.3E-3</v>
      </c>
      <c r="DA16" s="228">
        <v>18.27</v>
      </c>
      <c r="DB16" s="228">
        <v>18.43</v>
      </c>
      <c r="DC16" s="228">
        <v>-0.16</v>
      </c>
      <c r="DD16" s="228">
        <v>-0.16</v>
      </c>
      <c r="DE16" s="228">
        <v>25.19</v>
      </c>
      <c r="DF16" s="228">
        <v>25.25</v>
      </c>
      <c r="DG16" s="228">
        <v>-6.92</v>
      </c>
      <c r="DH16" s="228">
        <v>-0.06</v>
      </c>
      <c r="DI16" s="228">
        <v>18.38</v>
      </c>
      <c r="DJ16" s="228">
        <v>18.489999999999998</v>
      </c>
      <c r="DK16" s="228">
        <v>-0.11</v>
      </c>
      <c r="DL16" s="228">
        <v>-0.11</v>
      </c>
      <c r="DM16" s="228">
        <v>17.97</v>
      </c>
      <c r="DN16" s="228">
        <v>18.260000000000002</v>
      </c>
      <c r="DO16" s="228">
        <v>-0.28999999999999998</v>
      </c>
      <c r="DP16" s="228">
        <v>-0.28999999999999998</v>
      </c>
      <c r="DQ16" s="228">
        <v>0.51</v>
      </c>
      <c r="DR16" s="228">
        <v>0.52</v>
      </c>
      <c r="DS16" s="228">
        <v>-0.01</v>
      </c>
      <c r="DT16" s="229">
        <v>-1.9199999999999998E-2</v>
      </c>
      <c r="DU16" s="231">
        <v>3000</v>
      </c>
      <c r="DV16" s="231">
        <v>2600</v>
      </c>
      <c r="DW16" s="228">
        <v>0.38</v>
      </c>
      <c r="DX16" s="228">
        <v>0.34</v>
      </c>
      <c r="DY16" s="228">
        <v>0.04</v>
      </c>
      <c r="DZ16" s="229">
        <v>0.1176</v>
      </c>
      <c r="EA16" s="229">
        <v>4.8099999999999997E-2</v>
      </c>
      <c r="EB16" s="230">
        <v>469750</v>
      </c>
      <c r="EC16" s="229">
        <v>6.4000000000000003E-3</v>
      </c>
      <c r="ED16" s="229">
        <v>4.8099999999999997E-2</v>
      </c>
      <c r="EE16" s="228">
        <v>14.39</v>
      </c>
      <c r="EF16" s="229">
        <v>5.1999999999999998E-3</v>
      </c>
      <c r="EG16" s="230">
        <v>426649</v>
      </c>
      <c r="EH16" s="230">
        <v>571805</v>
      </c>
      <c r="EI16" s="229">
        <v>-0.25390000000000001</v>
      </c>
      <c r="EJ16" s="229">
        <v>0.64759999999999995</v>
      </c>
      <c r="EK16" s="231">
        <v>1876.02</v>
      </c>
      <c r="EL16" s="228">
        <v>688.33</v>
      </c>
      <c r="EM16" s="228">
        <v>333.09</v>
      </c>
      <c r="EN16" s="228">
        <v>61.7</v>
      </c>
      <c r="EO16" s="231">
        <v>2897.44</v>
      </c>
      <c r="EP16" s="231">
        <v>4444.55</v>
      </c>
      <c r="EQ16" s="231">
        <v>-1547.1</v>
      </c>
      <c r="ER16" s="229">
        <v>-0.34810000000000002</v>
      </c>
      <c r="ES16" s="231">
        <v>2617.2399999999998</v>
      </c>
      <c r="ET16" s="231">
        <v>1242.32</v>
      </c>
      <c r="EU16" s="231">
        <v>3402.29</v>
      </c>
      <c r="EV16" s="231">
        <v>52357280</v>
      </c>
      <c r="EW16" s="231">
        <v>7261.85</v>
      </c>
      <c r="EX16" s="231">
        <v>7253.57</v>
      </c>
      <c r="EY16" s="228">
        <v>8.2799999999999994</v>
      </c>
      <c r="EZ16" s="229">
        <v>1.1000000000000001E-3</v>
      </c>
      <c r="FA16" s="229">
        <v>0.48949999999999999</v>
      </c>
      <c r="FB16" s="227" t="s">
        <v>567</v>
      </c>
      <c r="FC16">
        <f t="shared" si="0"/>
        <v>164</v>
      </c>
    </row>
    <row r="17" spans="1:159" ht="17.25" thickBot="1" x14ac:dyDescent="0.3">
      <c r="A17" s="226">
        <v>46008</v>
      </c>
      <c r="B17" s="227" t="s">
        <v>184</v>
      </c>
      <c r="C17" s="227" t="s">
        <v>503</v>
      </c>
      <c r="D17" s="228">
        <v>425</v>
      </c>
      <c r="E17" s="228">
        <v>13</v>
      </c>
      <c r="F17" s="231">
        <v>1430.9</v>
      </c>
      <c r="G17" s="231">
        <v>1466.6</v>
      </c>
      <c r="H17" s="228">
        <v>-35.700000000000003</v>
      </c>
      <c r="I17" s="229">
        <v>-2.4299999999999999E-2</v>
      </c>
      <c r="J17" s="231">
        <v>1428.9</v>
      </c>
      <c r="K17" s="231">
        <v>1462.9</v>
      </c>
      <c r="L17" s="228">
        <v>-34</v>
      </c>
      <c r="M17" s="229">
        <v>-2.3199999999999998E-2</v>
      </c>
      <c r="N17" s="231">
        <v>1430.9</v>
      </c>
      <c r="O17" s="231">
        <v>1466.6</v>
      </c>
      <c r="P17" s="228">
        <v>-35.700000000000003</v>
      </c>
      <c r="Q17" s="229">
        <v>-2.4299999999999999E-2</v>
      </c>
      <c r="R17" s="231">
        <v>1433.6</v>
      </c>
      <c r="S17" s="231">
        <v>1470.4</v>
      </c>
      <c r="T17" s="228">
        <v>-36.799999999999997</v>
      </c>
      <c r="U17" s="229">
        <v>-2.5000000000000001E-2</v>
      </c>
      <c r="V17" s="231">
        <v>1436.3</v>
      </c>
      <c r="W17" s="231">
        <v>1472.3</v>
      </c>
      <c r="X17" s="228">
        <v>-36</v>
      </c>
      <c r="Y17" s="229">
        <v>-2.4500000000000001E-2</v>
      </c>
      <c r="Z17" s="228">
        <v>2</v>
      </c>
      <c r="AA17" s="228">
        <v>3.7</v>
      </c>
      <c r="AB17" s="228">
        <v>-1.7</v>
      </c>
      <c r="AC17" s="229">
        <v>1.4E-3</v>
      </c>
      <c r="AD17" s="228">
        <v>2</v>
      </c>
      <c r="AE17" s="228">
        <v>3.7</v>
      </c>
      <c r="AF17" s="228">
        <v>-1.7</v>
      </c>
      <c r="AG17" s="229">
        <v>1.4E-3</v>
      </c>
      <c r="AH17" s="228">
        <v>4.7</v>
      </c>
      <c r="AI17" s="228">
        <v>7.5</v>
      </c>
      <c r="AJ17" s="228">
        <v>-2.8</v>
      </c>
      <c r="AK17" s="229">
        <v>3.3E-3</v>
      </c>
      <c r="AL17" s="228">
        <v>7.4</v>
      </c>
      <c r="AM17" s="228">
        <v>9.4</v>
      </c>
      <c r="AN17" s="228">
        <v>-2</v>
      </c>
      <c r="AO17" s="229">
        <v>5.1999999999999998E-3</v>
      </c>
      <c r="AP17" s="231">
        <v>1442.53</v>
      </c>
      <c r="AQ17" s="231">
        <v>1444.52</v>
      </c>
      <c r="AR17" s="228">
        <v>0</v>
      </c>
      <c r="AS17" s="228">
        <v>179</v>
      </c>
      <c r="AT17" s="228">
        <v>516</v>
      </c>
      <c r="AU17" s="228">
        <v>-337</v>
      </c>
      <c r="AV17" s="229">
        <v>-0.65280000000000005</v>
      </c>
      <c r="AW17" s="228">
        <v>153</v>
      </c>
      <c r="AX17" s="228">
        <v>402</v>
      </c>
      <c r="AY17" s="228">
        <v>-249</v>
      </c>
      <c r="AZ17" s="229">
        <v>-0.61950000000000005</v>
      </c>
      <c r="BA17" s="228">
        <v>25</v>
      </c>
      <c r="BB17" s="228">
        <v>110</v>
      </c>
      <c r="BC17" s="228">
        <v>-86</v>
      </c>
      <c r="BD17" s="229">
        <v>-0.77610000000000001</v>
      </c>
      <c r="BE17" s="228">
        <v>1</v>
      </c>
      <c r="BF17" s="228">
        <v>3</v>
      </c>
      <c r="BG17" s="228">
        <v>-2</v>
      </c>
      <c r="BH17" s="229">
        <v>-0.58930000000000005</v>
      </c>
      <c r="BI17" s="228">
        <v>616</v>
      </c>
      <c r="BJ17" s="230">
        <v>2029</v>
      </c>
      <c r="BK17" s="230">
        <v>-1413</v>
      </c>
      <c r="BL17" s="229">
        <v>-0.69620000000000004</v>
      </c>
      <c r="BM17" s="228">
        <v>442</v>
      </c>
      <c r="BN17" s="228">
        <v>885</v>
      </c>
      <c r="BO17" s="228">
        <v>-443</v>
      </c>
      <c r="BP17" s="229">
        <v>-0.50109999999999999</v>
      </c>
      <c r="BQ17" s="230">
        <v>1237</v>
      </c>
      <c r="BR17" s="230">
        <v>3430</v>
      </c>
      <c r="BS17" s="230">
        <v>-2193</v>
      </c>
      <c r="BT17" s="229">
        <v>-0.63929999999999998</v>
      </c>
      <c r="BU17" s="230">
        <v>377870</v>
      </c>
      <c r="BV17" s="230">
        <v>844465</v>
      </c>
      <c r="BW17" s="230">
        <v>-466595</v>
      </c>
      <c r="BX17" s="229">
        <v>-0.55249999999999999</v>
      </c>
      <c r="BY17" s="230">
        <v>1090</v>
      </c>
      <c r="BZ17" s="230">
        <v>1099</v>
      </c>
      <c r="CA17" s="228">
        <v>-9</v>
      </c>
      <c r="CB17" s="229">
        <v>-8.0000000000000002E-3</v>
      </c>
      <c r="CC17" s="228">
        <v>989</v>
      </c>
      <c r="CD17" s="230">
        <v>1003</v>
      </c>
      <c r="CE17" s="228">
        <v>-14</v>
      </c>
      <c r="CF17" s="229">
        <v>-1.41E-2</v>
      </c>
      <c r="CG17" s="228">
        <v>95</v>
      </c>
      <c r="CH17" s="228">
        <v>90</v>
      </c>
      <c r="CI17" s="228">
        <v>5</v>
      </c>
      <c r="CJ17" s="229">
        <v>4.99E-2</v>
      </c>
      <c r="CK17" s="228">
        <v>7</v>
      </c>
      <c r="CL17" s="228">
        <v>6</v>
      </c>
      <c r="CM17" s="228">
        <v>1</v>
      </c>
      <c r="CN17" s="229">
        <v>0.1226</v>
      </c>
      <c r="CO17" s="228">
        <v>532</v>
      </c>
      <c r="CP17" s="228">
        <v>522</v>
      </c>
      <c r="CQ17" s="228">
        <v>10</v>
      </c>
      <c r="CR17" s="229">
        <v>1.9E-2</v>
      </c>
      <c r="CS17" s="228">
        <v>269</v>
      </c>
      <c r="CT17" s="228">
        <v>287</v>
      </c>
      <c r="CU17" s="228">
        <v>-18</v>
      </c>
      <c r="CV17" s="229">
        <v>-6.2700000000000006E-2</v>
      </c>
      <c r="CW17" s="230">
        <v>1891</v>
      </c>
      <c r="CX17" s="230">
        <v>1908</v>
      </c>
      <c r="CY17" s="228">
        <v>-17</v>
      </c>
      <c r="CZ17" s="229">
        <v>-8.8999999999999999E-3</v>
      </c>
      <c r="DA17" s="228">
        <v>24.27</v>
      </c>
      <c r="DB17" s="228">
        <v>23.55</v>
      </c>
      <c r="DC17" s="228">
        <v>0.72</v>
      </c>
      <c r="DD17" s="228">
        <v>0.72</v>
      </c>
      <c r="DE17" s="228">
        <v>33.74</v>
      </c>
      <c r="DF17" s="228">
        <v>33.659999999999997</v>
      </c>
      <c r="DG17" s="228">
        <v>-9.4700000000000006</v>
      </c>
      <c r="DH17" s="228">
        <v>0.08</v>
      </c>
      <c r="DI17" s="228">
        <v>24.67</v>
      </c>
      <c r="DJ17" s="228">
        <v>23.48</v>
      </c>
      <c r="DK17" s="228">
        <v>1.19</v>
      </c>
      <c r="DL17" s="228">
        <v>1.19</v>
      </c>
      <c r="DM17" s="228">
        <v>23.72</v>
      </c>
      <c r="DN17" s="228">
        <v>23.71</v>
      </c>
      <c r="DO17" s="228">
        <v>0.01</v>
      </c>
      <c r="DP17" s="228">
        <v>0.01</v>
      </c>
      <c r="DQ17" s="228">
        <v>0.51</v>
      </c>
      <c r="DR17" s="228">
        <v>0.55000000000000004</v>
      </c>
      <c r="DS17" s="228">
        <v>-0.04</v>
      </c>
      <c r="DT17" s="229">
        <v>-7.2700000000000001E-2</v>
      </c>
      <c r="DU17" s="231">
        <v>1500</v>
      </c>
      <c r="DV17" s="231">
        <v>1400</v>
      </c>
      <c r="DW17" s="228">
        <v>0.72</v>
      </c>
      <c r="DX17" s="228">
        <v>0.44</v>
      </c>
      <c r="DY17" s="228">
        <v>0.28000000000000003</v>
      </c>
      <c r="DZ17" s="229">
        <v>0.63639999999999997</v>
      </c>
      <c r="EA17" s="229">
        <v>9.35E-2</v>
      </c>
      <c r="EB17" s="230">
        <v>675325</v>
      </c>
      <c r="EC17" s="229">
        <v>1.9E-3</v>
      </c>
      <c r="ED17" s="229">
        <v>9.35E-2</v>
      </c>
      <c r="EE17" s="228">
        <v>1.99</v>
      </c>
      <c r="EF17" s="229">
        <v>1.4E-3</v>
      </c>
      <c r="EG17" s="230">
        <v>130901</v>
      </c>
      <c r="EH17" s="230">
        <v>175008</v>
      </c>
      <c r="EI17" s="229">
        <v>-0.252</v>
      </c>
      <c r="EJ17" s="229">
        <v>0.34639999999999999</v>
      </c>
      <c r="EK17" s="228">
        <v>651.32000000000005</v>
      </c>
      <c r="EL17" s="228">
        <v>438.46</v>
      </c>
      <c r="EM17" s="228">
        <v>180.53</v>
      </c>
      <c r="EN17" s="228">
        <v>35.450000000000003</v>
      </c>
      <c r="EO17" s="231">
        <v>1270.31</v>
      </c>
      <c r="EP17" s="231">
        <v>3545.94</v>
      </c>
      <c r="EQ17" s="231">
        <v>-2275.63</v>
      </c>
      <c r="ER17" s="229">
        <v>-0.64180000000000004</v>
      </c>
      <c r="ES17" s="228">
        <v>567.75</v>
      </c>
      <c r="ET17" s="228">
        <v>264.70999999999998</v>
      </c>
      <c r="EU17" s="231">
        <v>1090.6500000000001</v>
      </c>
      <c r="EV17" s="231">
        <v>18495534</v>
      </c>
      <c r="EW17" s="231">
        <v>1923.11</v>
      </c>
      <c r="EX17" s="231">
        <v>1967.25</v>
      </c>
      <c r="EY17" s="228">
        <v>-44.14</v>
      </c>
      <c r="EZ17" s="229">
        <v>-2.24E-2</v>
      </c>
      <c r="FA17" s="229">
        <v>0.7147</v>
      </c>
      <c r="FB17" s="227" t="s">
        <v>568</v>
      </c>
      <c r="FC17">
        <f t="shared" si="0"/>
        <v>101</v>
      </c>
    </row>
    <row r="18" spans="1:159" ht="17.25" thickBot="1" x14ac:dyDescent="0.3">
      <c r="A18" s="226">
        <v>46008</v>
      </c>
      <c r="B18" s="227" t="s">
        <v>172</v>
      </c>
      <c r="C18" s="227" t="s">
        <v>495</v>
      </c>
      <c r="D18" s="228">
        <v>1000</v>
      </c>
      <c r="E18" s="228">
        <v>13</v>
      </c>
      <c r="F18" s="228">
        <v>988.7</v>
      </c>
      <c r="G18" s="228">
        <v>982.95</v>
      </c>
      <c r="H18" s="228">
        <v>5.75</v>
      </c>
      <c r="I18" s="229">
        <v>5.7999999999999996E-3</v>
      </c>
      <c r="J18" s="228">
        <v>990.3</v>
      </c>
      <c r="K18" s="228">
        <v>980.6</v>
      </c>
      <c r="L18" s="228">
        <v>9.6999999999999993</v>
      </c>
      <c r="M18" s="229">
        <v>9.9000000000000008E-3</v>
      </c>
      <c r="N18" s="228">
        <v>988.7</v>
      </c>
      <c r="O18" s="228">
        <v>982.95</v>
      </c>
      <c r="P18" s="228">
        <v>5.75</v>
      </c>
      <c r="Q18" s="229">
        <v>5.7999999999999996E-3</v>
      </c>
      <c r="R18" s="228">
        <v>991.95</v>
      </c>
      <c r="S18" s="228">
        <v>988.5</v>
      </c>
      <c r="T18" s="228">
        <v>3.45</v>
      </c>
      <c r="U18" s="229">
        <v>3.5000000000000001E-3</v>
      </c>
      <c r="V18" s="228">
        <v>994.85</v>
      </c>
      <c r="W18" s="228">
        <v>992.9</v>
      </c>
      <c r="X18" s="228">
        <v>1.95</v>
      </c>
      <c r="Y18" s="229">
        <v>2E-3</v>
      </c>
      <c r="Z18" s="228">
        <v>-1.6</v>
      </c>
      <c r="AA18" s="228">
        <v>2.35</v>
      </c>
      <c r="AB18" s="228">
        <v>-3.95</v>
      </c>
      <c r="AC18" s="229">
        <v>-1.6000000000000001E-3</v>
      </c>
      <c r="AD18" s="228">
        <v>-1.6</v>
      </c>
      <c r="AE18" s="228">
        <v>2.35</v>
      </c>
      <c r="AF18" s="228">
        <v>-3.95</v>
      </c>
      <c r="AG18" s="229">
        <v>-1.6000000000000001E-3</v>
      </c>
      <c r="AH18" s="228">
        <v>1.65</v>
      </c>
      <c r="AI18" s="228">
        <v>7.9</v>
      </c>
      <c r="AJ18" s="228">
        <v>-6.25</v>
      </c>
      <c r="AK18" s="229">
        <v>1.6999999999999999E-3</v>
      </c>
      <c r="AL18" s="228">
        <v>4.55</v>
      </c>
      <c r="AM18" s="228">
        <v>12.3</v>
      </c>
      <c r="AN18" s="228">
        <v>-7.75</v>
      </c>
      <c r="AO18" s="229">
        <v>4.5999999999999999E-3</v>
      </c>
      <c r="AP18" s="228">
        <v>991.61</v>
      </c>
      <c r="AQ18" s="228">
        <v>995.63</v>
      </c>
      <c r="AR18" s="228">
        <v>0</v>
      </c>
      <c r="AS18" s="228">
        <v>631</v>
      </c>
      <c r="AT18" s="228">
        <v>336</v>
      </c>
      <c r="AU18" s="228">
        <v>294</v>
      </c>
      <c r="AV18" s="229">
        <v>0.87480000000000002</v>
      </c>
      <c r="AW18" s="228">
        <v>479</v>
      </c>
      <c r="AX18" s="228">
        <v>258</v>
      </c>
      <c r="AY18" s="228">
        <v>221</v>
      </c>
      <c r="AZ18" s="229">
        <v>0.85409999999999997</v>
      </c>
      <c r="BA18" s="228">
        <v>146</v>
      </c>
      <c r="BB18" s="228">
        <v>71</v>
      </c>
      <c r="BC18" s="228">
        <v>74</v>
      </c>
      <c r="BD18" s="229">
        <v>1.0373000000000001</v>
      </c>
      <c r="BE18" s="228">
        <v>6</v>
      </c>
      <c r="BF18" s="228">
        <v>7</v>
      </c>
      <c r="BG18" s="228">
        <v>0</v>
      </c>
      <c r="BH18" s="229">
        <v>-7.46E-2</v>
      </c>
      <c r="BI18" s="230">
        <v>1892</v>
      </c>
      <c r="BJ18" s="228">
        <v>522</v>
      </c>
      <c r="BK18" s="230">
        <v>1371</v>
      </c>
      <c r="BL18" s="229">
        <v>2.6280999999999999</v>
      </c>
      <c r="BM18" s="228">
        <v>772</v>
      </c>
      <c r="BN18" s="228">
        <v>377</v>
      </c>
      <c r="BO18" s="228">
        <v>395</v>
      </c>
      <c r="BP18" s="229">
        <v>1.0468999999999999</v>
      </c>
      <c r="BQ18" s="230">
        <v>3295</v>
      </c>
      <c r="BR18" s="230">
        <v>1235</v>
      </c>
      <c r="BS18" s="230">
        <v>2060</v>
      </c>
      <c r="BT18" s="229">
        <v>1.6676</v>
      </c>
      <c r="BU18" s="230">
        <v>3675195</v>
      </c>
      <c r="BV18" s="230">
        <v>1386159</v>
      </c>
      <c r="BW18" s="230">
        <v>2289036</v>
      </c>
      <c r="BX18" s="229">
        <v>1.6514</v>
      </c>
      <c r="BY18" s="230">
        <v>2108</v>
      </c>
      <c r="BZ18" s="230">
        <v>2004</v>
      </c>
      <c r="CA18" s="228">
        <v>104</v>
      </c>
      <c r="CB18" s="229">
        <v>5.1700000000000003E-2</v>
      </c>
      <c r="CC18" s="230">
        <v>1844</v>
      </c>
      <c r="CD18" s="230">
        <v>1786</v>
      </c>
      <c r="CE18" s="228">
        <v>58</v>
      </c>
      <c r="CF18" s="229">
        <v>3.2300000000000002E-2</v>
      </c>
      <c r="CG18" s="228">
        <v>244</v>
      </c>
      <c r="CH18" s="228">
        <v>198</v>
      </c>
      <c r="CI18" s="228">
        <v>46</v>
      </c>
      <c r="CJ18" s="229">
        <v>0.23139999999999999</v>
      </c>
      <c r="CK18" s="228">
        <v>21</v>
      </c>
      <c r="CL18" s="228">
        <v>20</v>
      </c>
      <c r="CM18" s="228">
        <v>0</v>
      </c>
      <c r="CN18" s="229">
        <v>1.4500000000000001E-2</v>
      </c>
      <c r="CO18" s="228">
        <v>856</v>
      </c>
      <c r="CP18" s="228">
        <v>795</v>
      </c>
      <c r="CQ18" s="228">
        <v>61</v>
      </c>
      <c r="CR18" s="229">
        <v>7.6600000000000001E-2</v>
      </c>
      <c r="CS18" s="228">
        <v>695</v>
      </c>
      <c r="CT18" s="228">
        <v>667</v>
      </c>
      <c r="CU18" s="228">
        <v>28</v>
      </c>
      <c r="CV18" s="229">
        <v>4.1700000000000001E-2</v>
      </c>
      <c r="CW18" s="230">
        <v>3659</v>
      </c>
      <c r="CX18" s="230">
        <v>3467</v>
      </c>
      <c r="CY18" s="228">
        <v>192</v>
      </c>
      <c r="CZ18" s="229">
        <v>5.5500000000000001E-2</v>
      </c>
      <c r="DA18" s="228">
        <v>22.57</v>
      </c>
      <c r="DB18" s="228">
        <v>22.24</v>
      </c>
      <c r="DC18" s="228">
        <v>0.33</v>
      </c>
      <c r="DD18" s="228">
        <v>0.33</v>
      </c>
      <c r="DE18" s="228">
        <v>35.700000000000003</v>
      </c>
      <c r="DF18" s="228">
        <v>35.76</v>
      </c>
      <c r="DG18" s="228">
        <v>-13.13</v>
      </c>
      <c r="DH18" s="228">
        <v>-0.06</v>
      </c>
      <c r="DI18" s="228">
        <v>22.44</v>
      </c>
      <c r="DJ18" s="228">
        <v>21.77</v>
      </c>
      <c r="DK18" s="228">
        <v>0.67</v>
      </c>
      <c r="DL18" s="228">
        <v>0.67</v>
      </c>
      <c r="DM18" s="228">
        <v>22.9</v>
      </c>
      <c r="DN18" s="228">
        <v>22.89</v>
      </c>
      <c r="DO18" s="228">
        <v>0.01</v>
      </c>
      <c r="DP18" s="228">
        <v>0.01</v>
      </c>
      <c r="DQ18" s="228">
        <v>0.81</v>
      </c>
      <c r="DR18" s="228">
        <v>0.84</v>
      </c>
      <c r="DS18" s="228">
        <v>-0.03</v>
      </c>
      <c r="DT18" s="229">
        <v>-3.5700000000000003E-2</v>
      </c>
      <c r="DU18" s="231">
        <v>1000</v>
      </c>
      <c r="DV18" s="228">
        <v>950</v>
      </c>
      <c r="DW18" s="228">
        <v>0.41</v>
      </c>
      <c r="DX18" s="228">
        <v>0.72</v>
      </c>
      <c r="DY18" s="228">
        <v>-0.31</v>
      </c>
      <c r="DZ18" s="229">
        <v>-0.43059999999999998</v>
      </c>
      <c r="EA18" s="229">
        <v>0.12540000000000001</v>
      </c>
      <c r="EB18" s="230">
        <v>2208000</v>
      </c>
      <c r="EC18" s="229">
        <v>3.3E-3</v>
      </c>
      <c r="ED18" s="229">
        <v>0.12540000000000001</v>
      </c>
      <c r="EE18" s="228">
        <v>4.0199999999999996</v>
      </c>
      <c r="EF18" s="229">
        <v>4.1000000000000003E-3</v>
      </c>
      <c r="EG18" s="230">
        <v>2388736</v>
      </c>
      <c r="EH18" s="230">
        <v>841816</v>
      </c>
      <c r="EI18" s="229">
        <v>1.8375999999999999</v>
      </c>
      <c r="EJ18" s="229">
        <v>0.65</v>
      </c>
      <c r="EK18" s="231">
        <v>1950.89</v>
      </c>
      <c r="EL18" s="228">
        <v>763.72</v>
      </c>
      <c r="EM18" s="228">
        <v>633.09</v>
      </c>
      <c r="EN18" s="228">
        <v>58.74</v>
      </c>
      <c r="EO18" s="231">
        <v>3347.69</v>
      </c>
      <c r="EP18" s="231">
        <v>1237.6400000000001</v>
      </c>
      <c r="EQ18" s="231">
        <v>2110.0500000000002</v>
      </c>
      <c r="ER18" s="229">
        <v>1.7049000000000001</v>
      </c>
      <c r="ES18" s="228">
        <v>861.25</v>
      </c>
      <c r="ET18" s="228">
        <v>652</v>
      </c>
      <c r="EU18" s="231">
        <v>2109.13</v>
      </c>
      <c r="EV18" s="231">
        <v>86234186</v>
      </c>
      <c r="EW18" s="231">
        <v>3622.39</v>
      </c>
      <c r="EX18" s="231">
        <v>3415.94</v>
      </c>
      <c r="EY18" s="228">
        <v>206.45</v>
      </c>
      <c r="EZ18" s="229">
        <v>6.0400000000000002E-2</v>
      </c>
      <c r="FA18" s="229">
        <v>0.42920000000000003</v>
      </c>
      <c r="FB18" s="227" t="s">
        <v>555</v>
      </c>
      <c r="FC18">
        <f t="shared" si="0"/>
        <v>264</v>
      </c>
    </row>
    <row r="19" spans="1:159" ht="17.25" thickBot="1" x14ac:dyDescent="0.3">
      <c r="A19" s="226">
        <v>46008</v>
      </c>
      <c r="B19" s="227" t="s">
        <v>170</v>
      </c>
      <c r="C19" s="227" t="s">
        <v>171</v>
      </c>
      <c r="D19" s="228">
        <v>550</v>
      </c>
      <c r="E19" s="228">
        <v>13</v>
      </c>
      <c r="F19" s="231">
        <v>1195.3</v>
      </c>
      <c r="G19" s="231">
        <v>1180.2</v>
      </c>
      <c r="H19" s="228">
        <v>15.1</v>
      </c>
      <c r="I19" s="229">
        <v>1.2800000000000001E-2</v>
      </c>
      <c r="J19" s="231">
        <v>1193</v>
      </c>
      <c r="K19" s="231">
        <v>1178.0999999999999</v>
      </c>
      <c r="L19" s="228">
        <v>14.9</v>
      </c>
      <c r="M19" s="229">
        <v>1.26E-2</v>
      </c>
      <c r="N19" s="231">
        <v>1195.3</v>
      </c>
      <c r="O19" s="231">
        <v>1180.2</v>
      </c>
      <c r="P19" s="228">
        <v>15.1</v>
      </c>
      <c r="Q19" s="229">
        <v>1.2800000000000001E-2</v>
      </c>
      <c r="R19" s="231">
        <v>1202.2</v>
      </c>
      <c r="S19" s="231">
        <v>1186.9000000000001</v>
      </c>
      <c r="T19" s="228">
        <v>15.3</v>
      </c>
      <c r="U19" s="229">
        <v>1.29E-2</v>
      </c>
      <c r="V19" s="231">
        <v>1209.5</v>
      </c>
      <c r="W19" s="231">
        <v>1193.3</v>
      </c>
      <c r="X19" s="228">
        <v>16.2</v>
      </c>
      <c r="Y19" s="229">
        <v>1.3599999999999999E-2</v>
      </c>
      <c r="Z19" s="228">
        <v>2.2999999999999998</v>
      </c>
      <c r="AA19" s="228">
        <v>2.1</v>
      </c>
      <c r="AB19" s="228">
        <v>0.2</v>
      </c>
      <c r="AC19" s="229">
        <v>1.9E-3</v>
      </c>
      <c r="AD19" s="228">
        <v>2.2999999999999998</v>
      </c>
      <c r="AE19" s="228">
        <v>2.1</v>
      </c>
      <c r="AF19" s="228">
        <v>0.2</v>
      </c>
      <c r="AG19" s="229">
        <v>1.9E-3</v>
      </c>
      <c r="AH19" s="228">
        <v>9.1999999999999993</v>
      </c>
      <c r="AI19" s="228">
        <v>8.8000000000000007</v>
      </c>
      <c r="AJ19" s="228">
        <v>0.4</v>
      </c>
      <c r="AK19" s="229">
        <v>7.7000000000000002E-3</v>
      </c>
      <c r="AL19" s="228">
        <v>16.5</v>
      </c>
      <c r="AM19" s="228">
        <v>15.2</v>
      </c>
      <c r="AN19" s="228">
        <v>1.3</v>
      </c>
      <c r="AO19" s="229">
        <v>1.38E-2</v>
      </c>
      <c r="AP19" s="231">
        <v>1189.18</v>
      </c>
      <c r="AQ19" s="231">
        <v>1196.6500000000001</v>
      </c>
      <c r="AR19" s="228">
        <v>0</v>
      </c>
      <c r="AS19" s="228">
        <v>195</v>
      </c>
      <c r="AT19" s="228">
        <v>183</v>
      </c>
      <c r="AU19" s="228">
        <v>13</v>
      </c>
      <c r="AV19" s="229">
        <v>6.88E-2</v>
      </c>
      <c r="AW19" s="228">
        <v>164</v>
      </c>
      <c r="AX19" s="228">
        <v>171</v>
      </c>
      <c r="AY19" s="228">
        <v>-7</v>
      </c>
      <c r="AZ19" s="229">
        <v>-4.0500000000000001E-2</v>
      </c>
      <c r="BA19" s="228">
        <v>31</v>
      </c>
      <c r="BB19" s="228">
        <v>12</v>
      </c>
      <c r="BC19" s="228">
        <v>19</v>
      </c>
      <c r="BD19" s="229">
        <v>1.6760999999999999</v>
      </c>
      <c r="BE19" s="228">
        <v>0</v>
      </c>
      <c r="BF19" s="228">
        <v>0</v>
      </c>
      <c r="BG19" s="228">
        <v>0</v>
      </c>
      <c r="BH19" s="229">
        <v>0.16669999999999999</v>
      </c>
      <c r="BI19" s="228">
        <v>379</v>
      </c>
      <c r="BJ19" s="228">
        <v>277</v>
      </c>
      <c r="BK19" s="228">
        <v>101</v>
      </c>
      <c r="BL19" s="229">
        <v>0.36509999999999998</v>
      </c>
      <c r="BM19" s="228">
        <v>135</v>
      </c>
      <c r="BN19" s="228">
        <v>222</v>
      </c>
      <c r="BO19" s="228">
        <v>-86</v>
      </c>
      <c r="BP19" s="229">
        <v>-0.38969999999999999</v>
      </c>
      <c r="BQ19" s="228">
        <v>709</v>
      </c>
      <c r="BR19" s="228">
        <v>682</v>
      </c>
      <c r="BS19" s="228">
        <v>27</v>
      </c>
      <c r="BT19" s="229">
        <v>4.0099999999999997E-2</v>
      </c>
      <c r="BU19" s="230">
        <v>749968</v>
      </c>
      <c r="BV19" s="230">
        <v>267567</v>
      </c>
      <c r="BW19" s="230">
        <v>482401</v>
      </c>
      <c r="BX19" s="229">
        <v>1.8028999999999999</v>
      </c>
      <c r="BY19" s="230">
        <v>2678</v>
      </c>
      <c r="BZ19" s="230">
        <v>2670</v>
      </c>
      <c r="CA19" s="228">
        <v>8</v>
      </c>
      <c r="CB19" s="229">
        <v>2.8999999999999998E-3</v>
      </c>
      <c r="CC19" s="230">
        <v>2590</v>
      </c>
      <c r="CD19" s="230">
        <v>2600</v>
      </c>
      <c r="CE19" s="228">
        <v>-10</v>
      </c>
      <c r="CF19" s="229">
        <v>-3.8E-3</v>
      </c>
      <c r="CG19" s="228">
        <v>85</v>
      </c>
      <c r="CH19" s="228">
        <v>68</v>
      </c>
      <c r="CI19" s="228">
        <v>17</v>
      </c>
      <c r="CJ19" s="229">
        <v>0.25600000000000001</v>
      </c>
      <c r="CK19" s="228">
        <v>3</v>
      </c>
      <c r="CL19" s="228">
        <v>3</v>
      </c>
      <c r="CM19" s="228">
        <v>0</v>
      </c>
      <c r="CN19" s="229">
        <v>5.1299999999999998E-2</v>
      </c>
      <c r="CO19" s="228">
        <v>715</v>
      </c>
      <c r="CP19" s="228">
        <v>699</v>
      </c>
      <c r="CQ19" s="228">
        <v>15</v>
      </c>
      <c r="CR19" s="229">
        <v>2.2100000000000002E-2</v>
      </c>
      <c r="CS19" s="228">
        <v>318</v>
      </c>
      <c r="CT19" s="228">
        <v>315</v>
      </c>
      <c r="CU19" s="228">
        <v>3</v>
      </c>
      <c r="CV19" s="229">
        <v>1.11E-2</v>
      </c>
      <c r="CW19" s="230">
        <v>3711</v>
      </c>
      <c r="CX19" s="230">
        <v>3684</v>
      </c>
      <c r="CY19" s="228">
        <v>27</v>
      </c>
      <c r="CZ19" s="229">
        <v>7.1999999999999998E-3</v>
      </c>
      <c r="DA19" s="228">
        <v>24.26</v>
      </c>
      <c r="DB19" s="228">
        <v>24.41</v>
      </c>
      <c r="DC19" s="228">
        <v>-0.15</v>
      </c>
      <c r="DD19" s="228">
        <v>-0.15</v>
      </c>
      <c r="DE19" s="228">
        <v>33.14</v>
      </c>
      <c r="DF19" s="228">
        <v>33.18</v>
      </c>
      <c r="DG19" s="228">
        <v>-8.8800000000000008</v>
      </c>
      <c r="DH19" s="228">
        <v>-0.04</v>
      </c>
      <c r="DI19" s="228">
        <v>24.32</v>
      </c>
      <c r="DJ19" s="228">
        <v>25.23</v>
      </c>
      <c r="DK19" s="228">
        <v>-0.91</v>
      </c>
      <c r="DL19" s="228">
        <v>-0.91</v>
      </c>
      <c r="DM19" s="228">
        <v>24.08</v>
      </c>
      <c r="DN19" s="228">
        <v>23.39</v>
      </c>
      <c r="DO19" s="228">
        <v>0.69</v>
      </c>
      <c r="DP19" s="228">
        <v>0.69</v>
      </c>
      <c r="DQ19" s="228">
        <v>0.45</v>
      </c>
      <c r="DR19" s="228">
        <v>0.45</v>
      </c>
      <c r="DS19" s="228">
        <v>0</v>
      </c>
      <c r="DT19" s="229">
        <v>0</v>
      </c>
      <c r="DU19" s="231">
        <v>1240</v>
      </c>
      <c r="DV19" s="231">
        <v>1180</v>
      </c>
      <c r="DW19" s="228">
        <v>0.36</v>
      </c>
      <c r="DX19" s="228">
        <v>0.8</v>
      </c>
      <c r="DY19" s="228">
        <v>-0.44</v>
      </c>
      <c r="DZ19" s="229">
        <v>-0.55000000000000004</v>
      </c>
      <c r="EA19" s="229">
        <v>3.2899999999999999E-2</v>
      </c>
      <c r="EB19" s="230">
        <v>590700</v>
      </c>
      <c r="EC19" s="229">
        <v>5.7999999999999996E-3</v>
      </c>
      <c r="ED19" s="229">
        <v>3.2899999999999999E-2</v>
      </c>
      <c r="EE19" s="228">
        <v>7.47</v>
      </c>
      <c r="EF19" s="229">
        <v>6.3E-3</v>
      </c>
      <c r="EG19" s="230">
        <v>333251</v>
      </c>
      <c r="EH19" s="230">
        <v>104017</v>
      </c>
      <c r="EI19" s="229">
        <v>2.2038000000000002</v>
      </c>
      <c r="EJ19" s="229">
        <v>0.44440000000000002</v>
      </c>
      <c r="EK19" s="228">
        <v>388.73</v>
      </c>
      <c r="EL19" s="228">
        <v>132.12</v>
      </c>
      <c r="EM19" s="228">
        <v>194.32</v>
      </c>
      <c r="EN19" s="228">
        <v>31.36</v>
      </c>
      <c r="EO19" s="228">
        <v>715.18</v>
      </c>
      <c r="EP19" s="228">
        <v>687.13</v>
      </c>
      <c r="EQ19" s="228">
        <v>28.05</v>
      </c>
      <c r="ER19" s="229">
        <v>4.0800000000000003E-2</v>
      </c>
      <c r="ES19" s="228">
        <v>752.74</v>
      </c>
      <c r="ET19" s="228">
        <v>309.73</v>
      </c>
      <c r="EU19" s="231">
        <v>2678.31</v>
      </c>
      <c r="EV19" s="231">
        <v>41977935</v>
      </c>
      <c r="EW19" s="231">
        <v>3740.78</v>
      </c>
      <c r="EX19" s="231">
        <v>3679.58</v>
      </c>
      <c r="EY19" s="228">
        <v>61.2</v>
      </c>
      <c r="EZ19" s="229">
        <v>1.66E-2</v>
      </c>
      <c r="FA19" s="229">
        <v>0.73960000000000004</v>
      </c>
      <c r="FB19" s="227" t="s">
        <v>555</v>
      </c>
      <c r="FC19">
        <f t="shared" si="0"/>
        <v>88</v>
      </c>
    </row>
    <row r="20" spans="1:159" ht="17.25" thickBot="1" x14ac:dyDescent="0.3">
      <c r="A20" s="226">
        <v>46008</v>
      </c>
      <c r="B20" s="227" t="s">
        <v>172</v>
      </c>
      <c r="C20" s="227" t="s">
        <v>173</v>
      </c>
      <c r="D20" s="228">
        <v>625</v>
      </c>
      <c r="E20" s="228">
        <v>13</v>
      </c>
      <c r="F20" s="231">
        <v>1228.5999999999999</v>
      </c>
      <c r="G20" s="231">
        <v>1224.4000000000001</v>
      </c>
      <c r="H20" s="228">
        <v>4.2</v>
      </c>
      <c r="I20" s="229">
        <v>3.3999999999999998E-3</v>
      </c>
      <c r="J20" s="231">
        <v>1224.7</v>
      </c>
      <c r="K20" s="231">
        <v>1219.5999999999999</v>
      </c>
      <c r="L20" s="228">
        <v>5.0999999999999996</v>
      </c>
      <c r="M20" s="229">
        <v>4.1999999999999997E-3</v>
      </c>
      <c r="N20" s="231">
        <v>1228.5999999999999</v>
      </c>
      <c r="O20" s="231">
        <v>1224.4000000000001</v>
      </c>
      <c r="P20" s="228">
        <v>4.2</v>
      </c>
      <c r="Q20" s="229">
        <v>3.3999999999999998E-3</v>
      </c>
      <c r="R20" s="231">
        <v>1236.0999999999999</v>
      </c>
      <c r="S20" s="231">
        <v>1231.5</v>
      </c>
      <c r="T20" s="228">
        <v>4.5999999999999996</v>
      </c>
      <c r="U20" s="229">
        <v>3.7000000000000002E-3</v>
      </c>
      <c r="V20" s="231">
        <v>1242.5999999999999</v>
      </c>
      <c r="W20" s="231">
        <v>1239.0999999999999</v>
      </c>
      <c r="X20" s="228">
        <v>3.5</v>
      </c>
      <c r="Y20" s="229">
        <v>2.8E-3</v>
      </c>
      <c r="Z20" s="228">
        <v>3.9</v>
      </c>
      <c r="AA20" s="228">
        <v>4.8</v>
      </c>
      <c r="AB20" s="228">
        <v>-0.9</v>
      </c>
      <c r="AC20" s="229">
        <v>3.2000000000000002E-3</v>
      </c>
      <c r="AD20" s="228">
        <v>3.9</v>
      </c>
      <c r="AE20" s="228">
        <v>4.8</v>
      </c>
      <c r="AF20" s="228">
        <v>-0.9</v>
      </c>
      <c r="AG20" s="229">
        <v>3.2000000000000002E-3</v>
      </c>
      <c r="AH20" s="228">
        <v>11.4</v>
      </c>
      <c r="AI20" s="228">
        <v>11.9</v>
      </c>
      <c r="AJ20" s="228">
        <v>-0.5</v>
      </c>
      <c r="AK20" s="229">
        <v>9.2999999999999992E-3</v>
      </c>
      <c r="AL20" s="228">
        <v>17.899999999999999</v>
      </c>
      <c r="AM20" s="228">
        <v>19.5</v>
      </c>
      <c r="AN20" s="228">
        <v>-1.6</v>
      </c>
      <c r="AO20" s="229">
        <v>1.46E-2</v>
      </c>
      <c r="AP20" s="231">
        <v>1231.9000000000001</v>
      </c>
      <c r="AQ20" s="231">
        <v>1239.51</v>
      </c>
      <c r="AR20" s="228">
        <v>0</v>
      </c>
      <c r="AS20" s="230">
        <v>1115</v>
      </c>
      <c r="AT20" s="230">
        <v>3183</v>
      </c>
      <c r="AU20" s="230">
        <v>-2067</v>
      </c>
      <c r="AV20" s="229">
        <v>-0.64959999999999996</v>
      </c>
      <c r="AW20" s="228">
        <v>874</v>
      </c>
      <c r="AX20" s="230">
        <v>2615</v>
      </c>
      <c r="AY20" s="230">
        <v>-1741</v>
      </c>
      <c r="AZ20" s="229">
        <v>-0.66569999999999996</v>
      </c>
      <c r="BA20" s="228">
        <v>236</v>
      </c>
      <c r="BB20" s="228">
        <v>545</v>
      </c>
      <c r="BC20" s="228">
        <v>-309</v>
      </c>
      <c r="BD20" s="229">
        <v>-0.5675</v>
      </c>
      <c r="BE20" s="228">
        <v>6</v>
      </c>
      <c r="BF20" s="228">
        <v>23</v>
      </c>
      <c r="BG20" s="228">
        <v>-18</v>
      </c>
      <c r="BH20" s="229">
        <v>-0.76080000000000003</v>
      </c>
      <c r="BI20" s="230">
        <v>6713</v>
      </c>
      <c r="BJ20" s="230">
        <v>13708</v>
      </c>
      <c r="BK20" s="230">
        <v>-6996</v>
      </c>
      <c r="BL20" s="229">
        <v>-0.51029999999999998</v>
      </c>
      <c r="BM20" s="230">
        <v>4417</v>
      </c>
      <c r="BN20" s="230">
        <v>10913</v>
      </c>
      <c r="BO20" s="230">
        <v>-6495</v>
      </c>
      <c r="BP20" s="229">
        <v>-0.59519999999999995</v>
      </c>
      <c r="BQ20" s="230">
        <v>12245</v>
      </c>
      <c r="BR20" s="230">
        <v>27804</v>
      </c>
      <c r="BS20" s="230">
        <v>-15559</v>
      </c>
      <c r="BT20" s="229">
        <v>-0.55959999999999999</v>
      </c>
      <c r="BU20" s="230">
        <v>5294261</v>
      </c>
      <c r="BV20" s="230">
        <v>11697893</v>
      </c>
      <c r="BW20" s="230">
        <v>-6403632</v>
      </c>
      <c r="BX20" s="229">
        <v>-0.5474</v>
      </c>
      <c r="BY20" s="230">
        <v>9521</v>
      </c>
      <c r="BZ20" s="230">
        <v>9531</v>
      </c>
      <c r="CA20" s="228">
        <v>-10</v>
      </c>
      <c r="CB20" s="229">
        <v>-1.1000000000000001E-3</v>
      </c>
      <c r="CC20" s="230">
        <v>8391</v>
      </c>
      <c r="CD20" s="230">
        <v>8521</v>
      </c>
      <c r="CE20" s="228">
        <v>-131</v>
      </c>
      <c r="CF20" s="229">
        <v>-1.5299999999999999E-2</v>
      </c>
      <c r="CG20" s="230">
        <v>1090</v>
      </c>
      <c r="CH20" s="228">
        <v>971</v>
      </c>
      <c r="CI20" s="228">
        <v>119</v>
      </c>
      <c r="CJ20" s="229">
        <v>0.12230000000000001</v>
      </c>
      <c r="CK20" s="228">
        <v>40</v>
      </c>
      <c r="CL20" s="228">
        <v>38</v>
      </c>
      <c r="CM20" s="228">
        <v>2</v>
      </c>
      <c r="CN20" s="229">
        <v>4.2000000000000003E-2</v>
      </c>
      <c r="CO20" s="230">
        <v>4474</v>
      </c>
      <c r="CP20" s="230">
        <v>4867</v>
      </c>
      <c r="CQ20" s="228">
        <v>-393</v>
      </c>
      <c r="CR20" s="229">
        <v>-8.0799999999999997E-2</v>
      </c>
      <c r="CS20" s="230">
        <v>1973</v>
      </c>
      <c r="CT20" s="230">
        <v>2209</v>
      </c>
      <c r="CU20" s="228">
        <v>-237</v>
      </c>
      <c r="CV20" s="229">
        <v>-0.1072</v>
      </c>
      <c r="CW20" s="230">
        <v>15967</v>
      </c>
      <c r="CX20" s="230">
        <v>16607</v>
      </c>
      <c r="CY20" s="228">
        <v>-640</v>
      </c>
      <c r="CZ20" s="229">
        <v>-3.8600000000000002E-2</v>
      </c>
      <c r="DA20" s="228">
        <v>18.07</v>
      </c>
      <c r="DB20" s="228">
        <v>19.77</v>
      </c>
      <c r="DC20" s="228">
        <v>-1.7</v>
      </c>
      <c r="DD20" s="228">
        <v>-1.7</v>
      </c>
      <c r="DE20" s="228">
        <v>26.21</v>
      </c>
      <c r="DF20" s="228">
        <v>26.27</v>
      </c>
      <c r="DG20" s="228">
        <v>-8.14</v>
      </c>
      <c r="DH20" s="228">
        <v>-0.06</v>
      </c>
      <c r="DI20" s="228">
        <v>17.670000000000002</v>
      </c>
      <c r="DJ20" s="228">
        <v>19.88</v>
      </c>
      <c r="DK20" s="228">
        <v>-2.21</v>
      </c>
      <c r="DL20" s="228">
        <v>-2.21</v>
      </c>
      <c r="DM20" s="228">
        <v>18.670000000000002</v>
      </c>
      <c r="DN20" s="228">
        <v>19.64</v>
      </c>
      <c r="DO20" s="228">
        <v>-0.97</v>
      </c>
      <c r="DP20" s="228">
        <v>-0.97</v>
      </c>
      <c r="DQ20" s="228">
        <v>0.44</v>
      </c>
      <c r="DR20" s="228">
        <v>0.45</v>
      </c>
      <c r="DS20" s="228">
        <v>-0.01</v>
      </c>
      <c r="DT20" s="229">
        <v>-2.2200000000000001E-2</v>
      </c>
      <c r="DU20" s="231">
        <v>1300</v>
      </c>
      <c r="DV20" s="231">
        <v>1230</v>
      </c>
      <c r="DW20" s="228">
        <v>0.66</v>
      </c>
      <c r="DX20" s="228">
        <v>0.8</v>
      </c>
      <c r="DY20" s="228">
        <v>-0.14000000000000001</v>
      </c>
      <c r="DZ20" s="229">
        <v>-0.17499999999999999</v>
      </c>
      <c r="EA20" s="229">
        <v>0.1187</v>
      </c>
      <c r="EB20" s="230">
        <v>8218125</v>
      </c>
      <c r="EC20" s="229">
        <v>6.1000000000000004E-3</v>
      </c>
      <c r="ED20" s="229">
        <v>0.1187</v>
      </c>
      <c r="EE20" s="228">
        <v>7.61</v>
      </c>
      <c r="EF20" s="229">
        <v>6.1999999999999998E-3</v>
      </c>
      <c r="EG20" s="230">
        <v>3119473</v>
      </c>
      <c r="EH20" s="230">
        <v>6747043</v>
      </c>
      <c r="EI20" s="229">
        <v>-0.53769999999999996</v>
      </c>
      <c r="EJ20" s="229">
        <v>0.58919999999999995</v>
      </c>
      <c r="EK20" s="231">
        <v>6919.7</v>
      </c>
      <c r="EL20" s="231">
        <v>4360.59</v>
      </c>
      <c r="EM20" s="231">
        <v>1119.8599999999999</v>
      </c>
      <c r="EN20" s="228">
        <v>133.13999999999999</v>
      </c>
      <c r="EO20" s="231">
        <v>12400.16</v>
      </c>
      <c r="EP20" s="231">
        <v>28492.63</v>
      </c>
      <c r="EQ20" s="231">
        <v>-16092.47</v>
      </c>
      <c r="ER20" s="229">
        <v>-0.56479999999999997</v>
      </c>
      <c r="ES20" s="231">
        <v>4696.07</v>
      </c>
      <c r="ET20" s="231">
        <v>1950.82</v>
      </c>
      <c r="EU20" s="231">
        <v>9527.84</v>
      </c>
      <c r="EV20" s="231">
        <v>316147681</v>
      </c>
      <c r="EW20" s="231">
        <v>16174.73</v>
      </c>
      <c r="EX20" s="231">
        <v>16779.439999999999</v>
      </c>
      <c r="EY20" s="228">
        <v>-604.71</v>
      </c>
      <c r="EZ20" s="229">
        <v>-3.5999999999999997E-2</v>
      </c>
      <c r="FA20" s="229">
        <v>0.41110000000000002</v>
      </c>
      <c r="FB20" s="227" t="s">
        <v>556</v>
      </c>
      <c r="FC20">
        <f t="shared" si="0"/>
        <v>1130</v>
      </c>
    </row>
    <row r="21" spans="1:159" ht="17.25" thickBot="1" x14ac:dyDescent="0.3">
      <c r="A21" s="226">
        <v>46008</v>
      </c>
      <c r="B21" s="227" t="s">
        <v>162</v>
      </c>
      <c r="C21" s="227" t="s">
        <v>174</v>
      </c>
      <c r="D21" s="228">
        <v>75</v>
      </c>
      <c r="E21" s="228">
        <v>13</v>
      </c>
      <c r="F21" s="231">
        <v>8924.5</v>
      </c>
      <c r="G21" s="231">
        <v>9026</v>
      </c>
      <c r="H21" s="228">
        <v>-101.5</v>
      </c>
      <c r="I21" s="229">
        <v>-1.12E-2</v>
      </c>
      <c r="J21" s="231">
        <v>8895</v>
      </c>
      <c r="K21" s="231">
        <v>9008</v>
      </c>
      <c r="L21" s="228">
        <v>-113</v>
      </c>
      <c r="M21" s="229">
        <v>-1.2500000000000001E-2</v>
      </c>
      <c r="N21" s="231">
        <v>8924.5</v>
      </c>
      <c r="O21" s="231">
        <v>9026</v>
      </c>
      <c r="P21" s="228">
        <v>-101.5</v>
      </c>
      <c r="Q21" s="229">
        <v>-1.12E-2</v>
      </c>
      <c r="R21" s="231">
        <v>8968</v>
      </c>
      <c r="S21" s="231">
        <v>9061.5</v>
      </c>
      <c r="T21" s="228">
        <v>-93.5</v>
      </c>
      <c r="U21" s="229">
        <v>-1.03E-2</v>
      </c>
      <c r="V21" s="231">
        <v>8997.5</v>
      </c>
      <c r="W21" s="231">
        <v>9101</v>
      </c>
      <c r="X21" s="228">
        <v>-103.5</v>
      </c>
      <c r="Y21" s="229">
        <v>-1.14E-2</v>
      </c>
      <c r="Z21" s="228">
        <v>29.5</v>
      </c>
      <c r="AA21" s="228">
        <v>18</v>
      </c>
      <c r="AB21" s="228">
        <v>11.5</v>
      </c>
      <c r="AC21" s="229">
        <v>3.3E-3</v>
      </c>
      <c r="AD21" s="228">
        <v>29.5</v>
      </c>
      <c r="AE21" s="228">
        <v>18</v>
      </c>
      <c r="AF21" s="228">
        <v>11.5</v>
      </c>
      <c r="AG21" s="229">
        <v>3.3E-3</v>
      </c>
      <c r="AH21" s="228">
        <v>73</v>
      </c>
      <c r="AI21" s="228">
        <v>53.5</v>
      </c>
      <c r="AJ21" s="228">
        <v>19.5</v>
      </c>
      <c r="AK21" s="229">
        <v>8.2000000000000007E-3</v>
      </c>
      <c r="AL21" s="228">
        <v>102.5</v>
      </c>
      <c r="AM21" s="228">
        <v>93</v>
      </c>
      <c r="AN21" s="228">
        <v>9.5</v>
      </c>
      <c r="AO21" s="229">
        <v>1.15E-2</v>
      </c>
      <c r="AP21" s="231">
        <v>8955.2199999999993</v>
      </c>
      <c r="AQ21" s="231">
        <v>8987.58</v>
      </c>
      <c r="AR21" s="228">
        <v>0</v>
      </c>
      <c r="AS21" s="228">
        <v>517</v>
      </c>
      <c r="AT21" s="228">
        <v>356</v>
      </c>
      <c r="AU21" s="228">
        <v>160</v>
      </c>
      <c r="AV21" s="229">
        <v>0.44979999999999998</v>
      </c>
      <c r="AW21" s="228">
        <v>379</v>
      </c>
      <c r="AX21" s="228">
        <v>333</v>
      </c>
      <c r="AY21" s="228">
        <v>46</v>
      </c>
      <c r="AZ21" s="229">
        <v>0.1391</v>
      </c>
      <c r="BA21" s="228">
        <v>136</v>
      </c>
      <c r="BB21" s="228">
        <v>22</v>
      </c>
      <c r="BC21" s="228">
        <v>114</v>
      </c>
      <c r="BD21" s="229">
        <v>5.1890000000000001</v>
      </c>
      <c r="BE21" s="228">
        <v>2</v>
      </c>
      <c r="BF21" s="228">
        <v>2</v>
      </c>
      <c r="BG21" s="228">
        <v>0</v>
      </c>
      <c r="BH21" s="229">
        <v>7.1400000000000005E-2</v>
      </c>
      <c r="BI21" s="230">
        <v>1875</v>
      </c>
      <c r="BJ21" s="230">
        <v>1797</v>
      </c>
      <c r="BK21" s="228">
        <v>78</v>
      </c>
      <c r="BL21" s="229">
        <v>4.3200000000000002E-2</v>
      </c>
      <c r="BM21" s="230">
        <v>1376</v>
      </c>
      <c r="BN21" s="228">
        <v>810</v>
      </c>
      <c r="BO21" s="228">
        <v>566</v>
      </c>
      <c r="BP21" s="229">
        <v>0.69850000000000001</v>
      </c>
      <c r="BQ21" s="230">
        <v>3768</v>
      </c>
      <c r="BR21" s="230">
        <v>2964</v>
      </c>
      <c r="BS21" s="228">
        <v>804</v>
      </c>
      <c r="BT21" s="229">
        <v>0.2712</v>
      </c>
      <c r="BU21" s="230">
        <v>262275</v>
      </c>
      <c r="BV21" s="230">
        <v>284924</v>
      </c>
      <c r="BW21" s="230">
        <v>-22649</v>
      </c>
      <c r="BX21" s="229">
        <v>-7.9500000000000001E-2</v>
      </c>
      <c r="BY21" s="230">
        <v>3185</v>
      </c>
      <c r="BZ21" s="230">
        <v>3124</v>
      </c>
      <c r="CA21" s="228">
        <v>60</v>
      </c>
      <c r="CB21" s="229">
        <v>1.9300000000000001E-2</v>
      </c>
      <c r="CC21" s="230">
        <v>2920</v>
      </c>
      <c r="CD21" s="230">
        <v>2975</v>
      </c>
      <c r="CE21" s="228">
        <v>-55</v>
      </c>
      <c r="CF21" s="229">
        <v>-1.8499999999999999E-2</v>
      </c>
      <c r="CG21" s="228">
        <v>253</v>
      </c>
      <c r="CH21" s="228">
        <v>137</v>
      </c>
      <c r="CI21" s="228">
        <v>115</v>
      </c>
      <c r="CJ21" s="229">
        <v>0.8397</v>
      </c>
      <c r="CK21" s="228">
        <v>11</v>
      </c>
      <c r="CL21" s="228">
        <v>11</v>
      </c>
      <c r="CM21" s="228">
        <v>0</v>
      </c>
      <c r="CN21" s="229">
        <v>5.8999999999999999E-3</v>
      </c>
      <c r="CO21" s="230">
        <v>1950</v>
      </c>
      <c r="CP21" s="230">
        <v>1888</v>
      </c>
      <c r="CQ21" s="228">
        <v>63</v>
      </c>
      <c r="CR21" s="229">
        <v>3.32E-2</v>
      </c>
      <c r="CS21" s="230">
        <v>1043</v>
      </c>
      <c r="CT21" s="230">
        <v>1038</v>
      </c>
      <c r="CU21" s="228">
        <v>5</v>
      </c>
      <c r="CV21" s="229">
        <v>5.1999999999999998E-3</v>
      </c>
      <c r="CW21" s="230">
        <v>6178</v>
      </c>
      <c r="CX21" s="230">
        <v>6050</v>
      </c>
      <c r="CY21" s="228">
        <v>128</v>
      </c>
      <c r="CZ21" s="229">
        <v>2.12E-2</v>
      </c>
      <c r="DA21" s="228">
        <v>19.55</v>
      </c>
      <c r="DB21" s="228">
        <v>19.55</v>
      </c>
      <c r="DC21" s="228">
        <v>0</v>
      </c>
      <c r="DD21" s="228">
        <v>0</v>
      </c>
      <c r="DE21" s="228">
        <v>28.25</v>
      </c>
      <c r="DF21" s="228">
        <v>28.27</v>
      </c>
      <c r="DG21" s="228">
        <v>-8.6999999999999993</v>
      </c>
      <c r="DH21" s="228">
        <v>-0.02</v>
      </c>
      <c r="DI21" s="228">
        <v>19.97</v>
      </c>
      <c r="DJ21" s="228">
        <v>19.600000000000001</v>
      </c>
      <c r="DK21" s="228">
        <v>0.37</v>
      </c>
      <c r="DL21" s="228">
        <v>0.37</v>
      </c>
      <c r="DM21" s="228">
        <v>18.989999999999998</v>
      </c>
      <c r="DN21" s="228">
        <v>19.43</v>
      </c>
      <c r="DO21" s="228">
        <v>-0.44</v>
      </c>
      <c r="DP21" s="228">
        <v>-0.44</v>
      </c>
      <c r="DQ21" s="228">
        <v>0.53</v>
      </c>
      <c r="DR21" s="228">
        <v>0.55000000000000004</v>
      </c>
      <c r="DS21" s="228">
        <v>-0.02</v>
      </c>
      <c r="DT21" s="229">
        <v>-3.6400000000000002E-2</v>
      </c>
      <c r="DU21" s="231">
        <v>9100</v>
      </c>
      <c r="DV21" s="231">
        <v>9000</v>
      </c>
      <c r="DW21" s="228">
        <v>0.73</v>
      </c>
      <c r="DX21" s="228">
        <v>0.45</v>
      </c>
      <c r="DY21" s="228">
        <v>0.28000000000000003</v>
      </c>
      <c r="DZ21" s="229">
        <v>0.62219999999999998</v>
      </c>
      <c r="EA21" s="229">
        <v>8.3000000000000004E-2</v>
      </c>
      <c r="EB21" s="230">
        <v>166725</v>
      </c>
      <c r="EC21" s="229">
        <v>4.8999999999999998E-3</v>
      </c>
      <c r="ED21" s="229">
        <v>8.3000000000000004E-2</v>
      </c>
      <c r="EE21" s="228">
        <v>32.36</v>
      </c>
      <c r="EF21" s="229">
        <v>3.5999999999999999E-3</v>
      </c>
      <c r="EG21" s="230">
        <v>168790</v>
      </c>
      <c r="EH21" s="230">
        <v>152268</v>
      </c>
      <c r="EI21" s="229">
        <v>0.1085</v>
      </c>
      <c r="EJ21" s="229">
        <v>0.64359999999999995</v>
      </c>
      <c r="EK21" s="231">
        <v>1950.13</v>
      </c>
      <c r="EL21" s="231">
        <v>1372.08</v>
      </c>
      <c r="EM21" s="228">
        <v>518.95000000000005</v>
      </c>
      <c r="EN21" s="228">
        <v>49.96</v>
      </c>
      <c r="EO21" s="231">
        <v>3841.16</v>
      </c>
      <c r="EP21" s="231">
        <v>3032.37</v>
      </c>
      <c r="EQ21" s="228">
        <v>808.79</v>
      </c>
      <c r="ER21" s="229">
        <v>0.26669999999999999</v>
      </c>
      <c r="ES21" s="231">
        <v>2061.52</v>
      </c>
      <c r="ET21" s="231">
        <v>1020.18</v>
      </c>
      <c r="EU21" s="231">
        <v>3185.83</v>
      </c>
      <c r="EV21" s="231">
        <v>12547731</v>
      </c>
      <c r="EW21" s="231">
        <v>6267.54</v>
      </c>
      <c r="EX21" s="231">
        <v>6176.05</v>
      </c>
      <c r="EY21" s="228">
        <v>91.49</v>
      </c>
      <c r="EZ21" s="229">
        <v>1.4800000000000001E-2</v>
      </c>
      <c r="FA21" s="229">
        <v>0.55169999999999997</v>
      </c>
      <c r="FB21" s="227" t="s">
        <v>567</v>
      </c>
      <c r="FC21">
        <f t="shared" si="0"/>
        <v>265</v>
      </c>
    </row>
    <row r="22" spans="1:159" ht="17.25" thickBot="1" x14ac:dyDescent="0.3">
      <c r="A22" s="226">
        <v>46008</v>
      </c>
      <c r="B22" s="227" t="s">
        <v>175</v>
      </c>
      <c r="C22" s="227" t="s">
        <v>176</v>
      </c>
      <c r="D22" s="228">
        <v>250</v>
      </c>
      <c r="E22" s="228">
        <v>13</v>
      </c>
      <c r="F22" s="231">
        <v>2025.9</v>
      </c>
      <c r="G22" s="231">
        <v>2039.8</v>
      </c>
      <c r="H22" s="228">
        <v>-13.9</v>
      </c>
      <c r="I22" s="229">
        <v>-6.7999999999999996E-3</v>
      </c>
      <c r="J22" s="231">
        <v>2021.2</v>
      </c>
      <c r="K22" s="231">
        <v>2035.2</v>
      </c>
      <c r="L22" s="228">
        <v>-14</v>
      </c>
      <c r="M22" s="229">
        <v>-6.8999999999999999E-3</v>
      </c>
      <c r="N22" s="231">
        <v>2025.9</v>
      </c>
      <c r="O22" s="231">
        <v>2039.8</v>
      </c>
      <c r="P22" s="228">
        <v>-13.9</v>
      </c>
      <c r="Q22" s="229">
        <v>-6.7999999999999996E-3</v>
      </c>
      <c r="R22" s="231">
        <v>2039.1</v>
      </c>
      <c r="S22" s="231">
        <v>2053.4</v>
      </c>
      <c r="T22" s="228">
        <v>-14.3</v>
      </c>
      <c r="U22" s="229">
        <v>-7.0000000000000001E-3</v>
      </c>
      <c r="V22" s="231">
        <v>2050.9</v>
      </c>
      <c r="W22" s="231">
        <v>2063.3000000000002</v>
      </c>
      <c r="X22" s="228">
        <v>-12.4</v>
      </c>
      <c r="Y22" s="229">
        <v>-6.0000000000000001E-3</v>
      </c>
      <c r="Z22" s="228">
        <v>4.7</v>
      </c>
      <c r="AA22" s="228">
        <v>4.5999999999999996</v>
      </c>
      <c r="AB22" s="228">
        <v>0.1</v>
      </c>
      <c r="AC22" s="229">
        <v>2.3E-3</v>
      </c>
      <c r="AD22" s="228">
        <v>4.7</v>
      </c>
      <c r="AE22" s="228">
        <v>4.5999999999999996</v>
      </c>
      <c r="AF22" s="228">
        <v>0.1</v>
      </c>
      <c r="AG22" s="229">
        <v>2.3E-3</v>
      </c>
      <c r="AH22" s="228">
        <v>17.899999999999999</v>
      </c>
      <c r="AI22" s="228">
        <v>18.2</v>
      </c>
      <c r="AJ22" s="228">
        <v>-0.3</v>
      </c>
      <c r="AK22" s="229">
        <v>8.8999999999999999E-3</v>
      </c>
      <c r="AL22" s="228">
        <v>29.7</v>
      </c>
      <c r="AM22" s="228">
        <v>28.1</v>
      </c>
      <c r="AN22" s="228">
        <v>1.6</v>
      </c>
      <c r="AO22" s="229">
        <v>1.47E-2</v>
      </c>
      <c r="AP22" s="231">
        <v>2027.88</v>
      </c>
      <c r="AQ22" s="231">
        <v>2037.45</v>
      </c>
      <c r="AR22" s="228">
        <v>0</v>
      </c>
      <c r="AS22" s="228">
        <v>301</v>
      </c>
      <c r="AT22" s="228">
        <v>342</v>
      </c>
      <c r="AU22" s="228">
        <v>-41</v>
      </c>
      <c r="AV22" s="229">
        <v>-0.1211</v>
      </c>
      <c r="AW22" s="228">
        <v>218</v>
      </c>
      <c r="AX22" s="228">
        <v>272</v>
      </c>
      <c r="AY22" s="228">
        <v>-54</v>
      </c>
      <c r="AZ22" s="229">
        <v>-0.19850000000000001</v>
      </c>
      <c r="BA22" s="228">
        <v>80</v>
      </c>
      <c r="BB22" s="228">
        <v>66</v>
      </c>
      <c r="BC22" s="228">
        <v>13</v>
      </c>
      <c r="BD22" s="229">
        <v>0.19980000000000001</v>
      </c>
      <c r="BE22" s="228">
        <v>3</v>
      </c>
      <c r="BF22" s="228">
        <v>4</v>
      </c>
      <c r="BG22" s="228">
        <v>-1</v>
      </c>
      <c r="BH22" s="229">
        <v>-0.1842</v>
      </c>
      <c r="BI22" s="228">
        <v>866</v>
      </c>
      <c r="BJ22" s="228">
        <v>793</v>
      </c>
      <c r="BK22" s="228">
        <v>73</v>
      </c>
      <c r="BL22" s="229">
        <v>9.2299999999999993E-2</v>
      </c>
      <c r="BM22" s="228">
        <v>583</v>
      </c>
      <c r="BN22" s="228">
        <v>508</v>
      </c>
      <c r="BO22" s="228">
        <v>75</v>
      </c>
      <c r="BP22" s="229">
        <v>0.1469</v>
      </c>
      <c r="BQ22" s="230">
        <v>1750</v>
      </c>
      <c r="BR22" s="230">
        <v>1643</v>
      </c>
      <c r="BS22" s="228">
        <v>106</v>
      </c>
      <c r="BT22" s="229">
        <v>6.4799999999999996E-2</v>
      </c>
      <c r="BU22" s="230">
        <v>615615</v>
      </c>
      <c r="BV22" s="230">
        <v>526925</v>
      </c>
      <c r="BW22" s="230">
        <v>88690</v>
      </c>
      <c r="BX22" s="229">
        <v>0.16830000000000001</v>
      </c>
      <c r="BY22" s="230">
        <v>3760</v>
      </c>
      <c r="BZ22" s="230">
        <v>3743</v>
      </c>
      <c r="CA22" s="228">
        <v>17</v>
      </c>
      <c r="CB22" s="229">
        <v>4.4999999999999997E-3</v>
      </c>
      <c r="CC22" s="230">
        <v>3222</v>
      </c>
      <c r="CD22" s="230">
        <v>3275</v>
      </c>
      <c r="CE22" s="228">
        <v>-52</v>
      </c>
      <c r="CF22" s="229">
        <v>-1.6E-2</v>
      </c>
      <c r="CG22" s="228">
        <v>524</v>
      </c>
      <c r="CH22" s="228">
        <v>455</v>
      </c>
      <c r="CI22" s="228">
        <v>69</v>
      </c>
      <c r="CJ22" s="229">
        <v>0.15129999999999999</v>
      </c>
      <c r="CK22" s="228">
        <v>14</v>
      </c>
      <c r="CL22" s="228">
        <v>13</v>
      </c>
      <c r="CM22" s="228">
        <v>1</v>
      </c>
      <c r="CN22" s="229">
        <v>3.7600000000000001E-2</v>
      </c>
      <c r="CO22" s="230">
        <v>1132</v>
      </c>
      <c r="CP22" s="230">
        <v>1067</v>
      </c>
      <c r="CQ22" s="228">
        <v>65</v>
      </c>
      <c r="CR22" s="229">
        <v>6.0600000000000001E-2</v>
      </c>
      <c r="CS22" s="228">
        <v>741</v>
      </c>
      <c r="CT22" s="228">
        <v>754</v>
      </c>
      <c r="CU22" s="228">
        <v>-14</v>
      </c>
      <c r="CV22" s="229">
        <v>-1.8200000000000001E-2</v>
      </c>
      <c r="CW22" s="230">
        <v>5633</v>
      </c>
      <c r="CX22" s="230">
        <v>5565</v>
      </c>
      <c r="CY22" s="228">
        <v>68</v>
      </c>
      <c r="CZ22" s="229">
        <v>1.2200000000000001E-2</v>
      </c>
      <c r="DA22" s="228">
        <v>19.05</v>
      </c>
      <c r="DB22" s="228">
        <v>19.690000000000001</v>
      </c>
      <c r="DC22" s="228">
        <v>-0.64</v>
      </c>
      <c r="DD22" s="228">
        <v>-0.64</v>
      </c>
      <c r="DE22" s="228">
        <v>28.74</v>
      </c>
      <c r="DF22" s="228">
        <v>28.79</v>
      </c>
      <c r="DG22" s="228">
        <v>-9.69</v>
      </c>
      <c r="DH22" s="228">
        <v>-0.05</v>
      </c>
      <c r="DI22" s="228">
        <v>19.670000000000002</v>
      </c>
      <c r="DJ22" s="228">
        <v>20.07</v>
      </c>
      <c r="DK22" s="228">
        <v>-0.4</v>
      </c>
      <c r="DL22" s="228">
        <v>-0.4</v>
      </c>
      <c r="DM22" s="228">
        <v>18.13</v>
      </c>
      <c r="DN22" s="228">
        <v>19.100000000000001</v>
      </c>
      <c r="DO22" s="228">
        <v>-0.97</v>
      </c>
      <c r="DP22" s="228">
        <v>-0.97</v>
      </c>
      <c r="DQ22" s="228">
        <v>0.65</v>
      </c>
      <c r="DR22" s="228">
        <v>0.71</v>
      </c>
      <c r="DS22" s="228">
        <v>-0.06</v>
      </c>
      <c r="DT22" s="229">
        <v>-8.4500000000000006E-2</v>
      </c>
      <c r="DU22" s="231">
        <v>2100</v>
      </c>
      <c r="DV22" s="231">
        <v>2000</v>
      </c>
      <c r="DW22" s="228">
        <v>0.67</v>
      </c>
      <c r="DX22" s="228">
        <v>0.64</v>
      </c>
      <c r="DY22" s="228">
        <v>0.03</v>
      </c>
      <c r="DZ22" s="229">
        <v>4.6899999999999997E-2</v>
      </c>
      <c r="EA22" s="229">
        <v>0.14299999999999999</v>
      </c>
      <c r="EB22" s="230">
        <v>2312250</v>
      </c>
      <c r="EC22" s="229">
        <v>6.4999999999999997E-3</v>
      </c>
      <c r="ED22" s="229">
        <v>0.14299999999999999</v>
      </c>
      <c r="EE22" s="228">
        <v>9.57</v>
      </c>
      <c r="EF22" s="229">
        <v>4.7000000000000002E-3</v>
      </c>
      <c r="EG22" s="230">
        <v>393483</v>
      </c>
      <c r="EH22" s="230">
        <v>317220</v>
      </c>
      <c r="EI22" s="229">
        <v>0.2404</v>
      </c>
      <c r="EJ22" s="229">
        <v>0.63919999999999999</v>
      </c>
      <c r="EK22" s="228">
        <v>896.65</v>
      </c>
      <c r="EL22" s="228">
        <v>585.37</v>
      </c>
      <c r="EM22" s="228">
        <v>301.45999999999998</v>
      </c>
      <c r="EN22" s="228">
        <v>67.91</v>
      </c>
      <c r="EO22" s="231">
        <v>1783.47</v>
      </c>
      <c r="EP22" s="231">
        <v>1687.87</v>
      </c>
      <c r="EQ22" s="228">
        <v>95.6</v>
      </c>
      <c r="ER22" s="229">
        <v>5.6599999999999998E-2</v>
      </c>
      <c r="ES22" s="231">
        <v>1198.92</v>
      </c>
      <c r="ET22" s="228">
        <v>726.39</v>
      </c>
      <c r="EU22" s="231">
        <v>3763.55</v>
      </c>
      <c r="EV22" s="231">
        <v>65659712</v>
      </c>
      <c r="EW22" s="231">
        <v>5688.87</v>
      </c>
      <c r="EX22" s="231">
        <v>5646.23</v>
      </c>
      <c r="EY22" s="228">
        <v>42.64</v>
      </c>
      <c r="EZ22" s="229">
        <v>7.6E-3</v>
      </c>
      <c r="FA22" s="229">
        <v>0.42349999999999999</v>
      </c>
      <c r="FB22" s="227" t="s">
        <v>567</v>
      </c>
      <c r="FC22">
        <f t="shared" si="0"/>
        <v>538</v>
      </c>
    </row>
    <row r="23" spans="1:159" ht="17.25" thickBot="1" x14ac:dyDescent="0.3">
      <c r="A23" s="226">
        <v>46008</v>
      </c>
      <c r="B23" s="227" t="s">
        <v>175</v>
      </c>
      <c r="C23" s="227" t="s">
        <v>177</v>
      </c>
      <c r="D23" s="228">
        <v>750</v>
      </c>
      <c r="E23" s="228">
        <v>13</v>
      </c>
      <c r="F23" s="231">
        <v>1003.1</v>
      </c>
      <c r="G23" s="231">
        <v>1001.1</v>
      </c>
      <c r="H23" s="228">
        <v>2</v>
      </c>
      <c r="I23" s="229">
        <v>2E-3</v>
      </c>
      <c r="J23" s="228">
        <v>999.6</v>
      </c>
      <c r="K23" s="228">
        <v>998.4</v>
      </c>
      <c r="L23" s="228">
        <v>1.2</v>
      </c>
      <c r="M23" s="229">
        <v>1.1999999999999999E-3</v>
      </c>
      <c r="N23" s="231">
        <v>1003.1</v>
      </c>
      <c r="O23" s="231">
        <v>1001.1</v>
      </c>
      <c r="P23" s="228">
        <v>2</v>
      </c>
      <c r="Q23" s="229">
        <v>2E-3</v>
      </c>
      <c r="R23" s="231">
        <v>1009</v>
      </c>
      <c r="S23" s="231">
        <v>1007</v>
      </c>
      <c r="T23" s="228">
        <v>2</v>
      </c>
      <c r="U23" s="229">
        <v>2E-3</v>
      </c>
      <c r="V23" s="231">
        <v>1014.6</v>
      </c>
      <c r="W23" s="231">
        <v>1012.3</v>
      </c>
      <c r="X23" s="228">
        <v>2.2999999999999998</v>
      </c>
      <c r="Y23" s="229">
        <v>2.3E-3</v>
      </c>
      <c r="Z23" s="228">
        <v>3.5</v>
      </c>
      <c r="AA23" s="228">
        <v>2.7</v>
      </c>
      <c r="AB23" s="228">
        <v>0.8</v>
      </c>
      <c r="AC23" s="229">
        <v>3.5000000000000001E-3</v>
      </c>
      <c r="AD23" s="228">
        <v>3.5</v>
      </c>
      <c r="AE23" s="228">
        <v>2.7</v>
      </c>
      <c r="AF23" s="228">
        <v>0.8</v>
      </c>
      <c r="AG23" s="229">
        <v>3.5000000000000001E-3</v>
      </c>
      <c r="AH23" s="228">
        <v>9.4</v>
      </c>
      <c r="AI23" s="228">
        <v>8.6</v>
      </c>
      <c r="AJ23" s="228">
        <v>0.8</v>
      </c>
      <c r="AK23" s="229">
        <v>9.4000000000000004E-3</v>
      </c>
      <c r="AL23" s="228">
        <v>15</v>
      </c>
      <c r="AM23" s="228">
        <v>13.9</v>
      </c>
      <c r="AN23" s="228">
        <v>1.1000000000000001</v>
      </c>
      <c r="AO23" s="229">
        <v>1.4999999999999999E-2</v>
      </c>
      <c r="AP23" s="231">
        <v>1004.68</v>
      </c>
      <c r="AQ23" s="231">
        <v>1008.98</v>
      </c>
      <c r="AR23" s="228">
        <v>0</v>
      </c>
      <c r="AS23" s="228">
        <v>966</v>
      </c>
      <c r="AT23" s="228">
        <v>824</v>
      </c>
      <c r="AU23" s="228">
        <v>142</v>
      </c>
      <c r="AV23" s="229">
        <v>0.1726</v>
      </c>
      <c r="AW23" s="228">
        <v>698</v>
      </c>
      <c r="AX23" s="228">
        <v>599</v>
      </c>
      <c r="AY23" s="228">
        <v>99</v>
      </c>
      <c r="AZ23" s="229">
        <v>0.1651</v>
      </c>
      <c r="BA23" s="228">
        <v>264</v>
      </c>
      <c r="BB23" s="228">
        <v>218</v>
      </c>
      <c r="BC23" s="228">
        <v>46</v>
      </c>
      <c r="BD23" s="229">
        <v>0.2092</v>
      </c>
      <c r="BE23" s="228">
        <v>4</v>
      </c>
      <c r="BF23" s="228">
        <v>7</v>
      </c>
      <c r="BG23" s="228">
        <v>-2</v>
      </c>
      <c r="BH23" s="229">
        <v>-0.35630000000000001</v>
      </c>
      <c r="BI23" s="230">
        <v>2594</v>
      </c>
      <c r="BJ23" s="230">
        <v>2097</v>
      </c>
      <c r="BK23" s="228">
        <v>497</v>
      </c>
      <c r="BL23" s="229">
        <v>0.23710000000000001</v>
      </c>
      <c r="BM23" s="230">
        <v>1220</v>
      </c>
      <c r="BN23" s="228">
        <v>959</v>
      </c>
      <c r="BO23" s="228">
        <v>261</v>
      </c>
      <c r="BP23" s="229">
        <v>0.2727</v>
      </c>
      <c r="BQ23" s="230">
        <v>4780</v>
      </c>
      <c r="BR23" s="230">
        <v>3880</v>
      </c>
      <c r="BS23" s="228">
        <v>901</v>
      </c>
      <c r="BT23" s="229">
        <v>0.23219999999999999</v>
      </c>
      <c r="BU23" s="230">
        <v>4883036</v>
      </c>
      <c r="BV23" s="230">
        <v>4871125</v>
      </c>
      <c r="BW23" s="230">
        <v>11911</v>
      </c>
      <c r="BX23" s="229">
        <v>2.3999999999999998E-3</v>
      </c>
      <c r="BY23" s="230">
        <v>8846</v>
      </c>
      <c r="BZ23" s="230">
        <v>8902</v>
      </c>
      <c r="CA23" s="228">
        <v>-57</v>
      </c>
      <c r="CB23" s="229">
        <v>-6.4000000000000003E-3</v>
      </c>
      <c r="CC23" s="230">
        <v>7755</v>
      </c>
      <c r="CD23" s="230">
        <v>8027</v>
      </c>
      <c r="CE23" s="228">
        <v>-272</v>
      </c>
      <c r="CF23" s="229">
        <v>-3.3799999999999997E-2</v>
      </c>
      <c r="CG23" s="230">
        <v>1029</v>
      </c>
      <c r="CH23" s="228">
        <v>815</v>
      </c>
      <c r="CI23" s="228">
        <v>214</v>
      </c>
      <c r="CJ23" s="229">
        <v>0.26290000000000002</v>
      </c>
      <c r="CK23" s="228">
        <v>61</v>
      </c>
      <c r="CL23" s="228">
        <v>60</v>
      </c>
      <c r="CM23" s="228">
        <v>1</v>
      </c>
      <c r="CN23" s="229">
        <v>1.2500000000000001E-2</v>
      </c>
      <c r="CO23" s="230">
        <v>3254</v>
      </c>
      <c r="CP23" s="230">
        <v>3228</v>
      </c>
      <c r="CQ23" s="228">
        <v>25</v>
      </c>
      <c r="CR23" s="229">
        <v>7.7999999999999996E-3</v>
      </c>
      <c r="CS23" s="230">
        <v>1927</v>
      </c>
      <c r="CT23" s="230">
        <v>1877</v>
      </c>
      <c r="CU23" s="228">
        <v>49</v>
      </c>
      <c r="CV23" s="229">
        <v>2.63E-2</v>
      </c>
      <c r="CW23" s="230">
        <v>14026</v>
      </c>
      <c r="CX23" s="230">
        <v>14008</v>
      </c>
      <c r="CY23" s="228">
        <v>18</v>
      </c>
      <c r="CZ23" s="229">
        <v>1.2999999999999999E-3</v>
      </c>
      <c r="DA23" s="228">
        <v>21.82</v>
      </c>
      <c r="DB23" s="228">
        <v>22.27</v>
      </c>
      <c r="DC23" s="228">
        <v>-0.45</v>
      </c>
      <c r="DD23" s="228">
        <v>-0.45</v>
      </c>
      <c r="DE23" s="228">
        <v>31.6</v>
      </c>
      <c r="DF23" s="228">
        <v>31.68</v>
      </c>
      <c r="DG23" s="228">
        <v>-9.7799999999999994</v>
      </c>
      <c r="DH23" s="228">
        <v>-0.08</v>
      </c>
      <c r="DI23" s="228">
        <v>22.41</v>
      </c>
      <c r="DJ23" s="228">
        <v>22.98</v>
      </c>
      <c r="DK23" s="228">
        <v>-0.56999999999999995</v>
      </c>
      <c r="DL23" s="228">
        <v>-0.56999999999999995</v>
      </c>
      <c r="DM23" s="228">
        <v>20.55</v>
      </c>
      <c r="DN23" s="228">
        <v>20.73</v>
      </c>
      <c r="DO23" s="228">
        <v>-0.18</v>
      </c>
      <c r="DP23" s="228">
        <v>-0.18</v>
      </c>
      <c r="DQ23" s="228">
        <v>0.59</v>
      </c>
      <c r="DR23" s="228">
        <v>0.57999999999999996</v>
      </c>
      <c r="DS23" s="228">
        <v>0.01</v>
      </c>
      <c r="DT23" s="229">
        <v>1.72E-2</v>
      </c>
      <c r="DU23" s="231">
        <v>1020</v>
      </c>
      <c r="DV23" s="231">
        <v>1000</v>
      </c>
      <c r="DW23" s="228">
        <v>0.47</v>
      </c>
      <c r="DX23" s="228">
        <v>0.46</v>
      </c>
      <c r="DY23" s="228">
        <v>0.01</v>
      </c>
      <c r="DZ23" s="229">
        <v>2.1700000000000001E-2</v>
      </c>
      <c r="EA23" s="229">
        <v>0.1232</v>
      </c>
      <c r="EB23" s="230">
        <v>8723250</v>
      </c>
      <c r="EC23" s="229">
        <v>5.8999999999999999E-3</v>
      </c>
      <c r="ED23" s="229">
        <v>0.1232</v>
      </c>
      <c r="EE23" s="228">
        <v>4.3</v>
      </c>
      <c r="EF23" s="229">
        <v>4.3E-3</v>
      </c>
      <c r="EG23" s="230">
        <v>3045407</v>
      </c>
      <c r="EH23" s="230">
        <v>3278540</v>
      </c>
      <c r="EI23" s="229">
        <v>-7.1099999999999997E-2</v>
      </c>
      <c r="EJ23" s="229">
        <v>0.62370000000000003</v>
      </c>
      <c r="EK23" s="231">
        <v>2704.4</v>
      </c>
      <c r="EL23" s="231">
        <v>1213.95</v>
      </c>
      <c r="EM23" s="228">
        <v>969.06</v>
      </c>
      <c r="EN23" s="228">
        <v>89.41</v>
      </c>
      <c r="EO23" s="231">
        <v>4887.41</v>
      </c>
      <c r="EP23" s="231">
        <v>3986.7</v>
      </c>
      <c r="EQ23" s="228">
        <v>900.71</v>
      </c>
      <c r="ER23" s="229">
        <v>0.22589999999999999</v>
      </c>
      <c r="ES23" s="231">
        <v>3440.15</v>
      </c>
      <c r="ET23" s="231">
        <v>1910.75</v>
      </c>
      <c r="EU23" s="231">
        <v>8852.2900000000009</v>
      </c>
      <c r="EV23" s="231">
        <v>281116345</v>
      </c>
      <c r="EW23" s="231">
        <v>14203.18</v>
      </c>
      <c r="EX23" s="231">
        <v>14172.09</v>
      </c>
      <c r="EY23" s="228">
        <v>31.09</v>
      </c>
      <c r="EZ23" s="229">
        <v>2.2000000000000001E-3</v>
      </c>
      <c r="FA23" s="229">
        <v>0.49740000000000001</v>
      </c>
      <c r="FB23" s="227" t="s">
        <v>556</v>
      </c>
      <c r="FC23">
        <f t="shared" si="0"/>
        <v>1091</v>
      </c>
    </row>
    <row r="24" spans="1:159" ht="17.25" thickBot="1" x14ac:dyDescent="0.3">
      <c r="A24" s="226">
        <v>46008</v>
      </c>
      <c r="B24" s="227" t="s">
        <v>172</v>
      </c>
      <c r="C24" s="227" t="s">
        <v>179</v>
      </c>
      <c r="D24" s="228">
        <v>3600</v>
      </c>
      <c r="E24" s="228">
        <v>13</v>
      </c>
      <c r="F24" s="228">
        <v>148.63</v>
      </c>
      <c r="G24" s="228">
        <v>149.84</v>
      </c>
      <c r="H24" s="228">
        <v>-1.21</v>
      </c>
      <c r="I24" s="229">
        <v>-8.0999999999999996E-3</v>
      </c>
      <c r="J24" s="228">
        <v>147.84</v>
      </c>
      <c r="K24" s="228">
        <v>149.49</v>
      </c>
      <c r="L24" s="228">
        <v>-1.65</v>
      </c>
      <c r="M24" s="229">
        <v>-1.0999999999999999E-2</v>
      </c>
      <c r="N24" s="228">
        <v>148.63</v>
      </c>
      <c r="O24" s="228">
        <v>149.84</v>
      </c>
      <c r="P24" s="228">
        <v>-1.21</v>
      </c>
      <c r="Q24" s="229">
        <v>-8.0999999999999996E-3</v>
      </c>
      <c r="R24" s="228">
        <v>149.91999999999999</v>
      </c>
      <c r="S24" s="228">
        <v>150.05000000000001</v>
      </c>
      <c r="T24" s="228">
        <v>-0.13</v>
      </c>
      <c r="U24" s="229">
        <v>-8.9999999999999998E-4</v>
      </c>
      <c r="V24" s="228">
        <v>149.30000000000001</v>
      </c>
      <c r="W24" s="228">
        <v>153.65</v>
      </c>
      <c r="X24" s="228">
        <v>-4.3499999999999996</v>
      </c>
      <c r="Y24" s="229">
        <v>-2.8299999999999999E-2</v>
      </c>
      <c r="Z24" s="228">
        <v>0.79</v>
      </c>
      <c r="AA24" s="228">
        <v>0.35</v>
      </c>
      <c r="AB24" s="228">
        <v>0.44</v>
      </c>
      <c r="AC24" s="229">
        <v>5.3E-3</v>
      </c>
      <c r="AD24" s="228">
        <v>0.79</v>
      </c>
      <c r="AE24" s="228">
        <v>0.35</v>
      </c>
      <c r="AF24" s="228">
        <v>0.44</v>
      </c>
      <c r="AG24" s="229">
        <v>5.3E-3</v>
      </c>
      <c r="AH24" s="228">
        <v>2.08</v>
      </c>
      <c r="AI24" s="228">
        <v>0.56000000000000005</v>
      </c>
      <c r="AJ24" s="228">
        <v>1.52</v>
      </c>
      <c r="AK24" s="229">
        <v>1.41E-2</v>
      </c>
      <c r="AL24" s="228">
        <v>1.46</v>
      </c>
      <c r="AM24" s="228">
        <v>4.16</v>
      </c>
      <c r="AN24" s="228">
        <v>-2.7</v>
      </c>
      <c r="AO24" s="229">
        <v>9.9000000000000008E-3</v>
      </c>
      <c r="AP24" s="228">
        <v>149.13</v>
      </c>
      <c r="AQ24" s="228">
        <v>150.22</v>
      </c>
      <c r="AR24" s="228">
        <v>0</v>
      </c>
      <c r="AS24" s="228">
        <v>5</v>
      </c>
      <c r="AT24" s="228">
        <v>9</v>
      </c>
      <c r="AU24" s="228">
        <v>-4</v>
      </c>
      <c r="AV24" s="229">
        <v>-0.46820000000000001</v>
      </c>
      <c r="AW24" s="228">
        <v>5</v>
      </c>
      <c r="AX24" s="228">
        <v>9</v>
      </c>
      <c r="AY24" s="228">
        <v>-4</v>
      </c>
      <c r="AZ24" s="229">
        <v>-0.46579999999999999</v>
      </c>
      <c r="BA24" s="228">
        <v>0</v>
      </c>
      <c r="BB24" s="228">
        <v>1</v>
      </c>
      <c r="BC24" s="228">
        <v>0</v>
      </c>
      <c r="BD24" s="229">
        <v>-0.54549999999999998</v>
      </c>
      <c r="BE24" s="228">
        <v>0</v>
      </c>
      <c r="BF24" s="228">
        <v>0</v>
      </c>
      <c r="BG24" s="228">
        <v>0</v>
      </c>
      <c r="BH24" s="229">
        <v>0</v>
      </c>
      <c r="BI24" s="228">
        <v>25</v>
      </c>
      <c r="BJ24" s="228">
        <v>7</v>
      </c>
      <c r="BK24" s="228">
        <v>18</v>
      </c>
      <c r="BL24" s="229">
        <v>2.5263</v>
      </c>
      <c r="BM24" s="228">
        <v>4</v>
      </c>
      <c r="BN24" s="228">
        <v>2</v>
      </c>
      <c r="BO24" s="228">
        <v>2</v>
      </c>
      <c r="BP24" s="229">
        <v>0.79069999999999996</v>
      </c>
      <c r="BQ24" s="228">
        <v>34</v>
      </c>
      <c r="BR24" s="228">
        <v>19</v>
      </c>
      <c r="BS24" s="228">
        <v>15</v>
      </c>
      <c r="BT24" s="229">
        <v>0.82809999999999995</v>
      </c>
      <c r="BU24" s="230">
        <v>4754672</v>
      </c>
      <c r="BV24" s="230">
        <v>4513221</v>
      </c>
      <c r="BW24" s="230">
        <v>241451</v>
      </c>
      <c r="BX24" s="229">
        <v>5.3499999999999999E-2</v>
      </c>
      <c r="BY24" s="230">
        <v>1684</v>
      </c>
      <c r="BZ24" s="230">
        <v>1687</v>
      </c>
      <c r="CA24" s="228">
        <v>-4</v>
      </c>
      <c r="CB24" s="229">
        <v>-2.2000000000000001E-3</v>
      </c>
      <c r="CC24" s="230">
        <v>1579</v>
      </c>
      <c r="CD24" s="230">
        <v>1582</v>
      </c>
      <c r="CE24" s="228">
        <v>-3</v>
      </c>
      <c r="CF24" s="229">
        <v>-2.0999999999999999E-3</v>
      </c>
      <c r="CG24" s="228">
        <v>95</v>
      </c>
      <c r="CH24" s="228">
        <v>95</v>
      </c>
      <c r="CI24" s="228">
        <v>0</v>
      </c>
      <c r="CJ24" s="229">
        <v>-2.8E-3</v>
      </c>
      <c r="CK24" s="228">
        <v>11</v>
      </c>
      <c r="CL24" s="228">
        <v>11</v>
      </c>
      <c r="CM24" s="228">
        <v>0</v>
      </c>
      <c r="CN24" s="229">
        <v>0</v>
      </c>
      <c r="CO24" s="228">
        <v>623</v>
      </c>
      <c r="CP24" s="228">
        <v>624</v>
      </c>
      <c r="CQ24" s="228">
        <v>-2</v>
      </c>
      <c r="CR24" s="229">
        <v>-2.7000000000000001E-3</v>
      </c>
      <c r="CS24" s="228">
        <v>420</v>
      </c>
      <c r="CT24" s="228">
        <v>421</v>
      </c>
      <c r="CU24" s="228">
        <v>-1</v>
      </c>
      <c r="CV24" s="229">
        <v>-1.8E-3</v>
      </c>
      <c r="CW24" s="230">
        <v>2726</v>
      </c>
      <c r="CX24" s="230">
        <v>2732</v>
      </c>
      <c r="CY24" s="228">
        <v>-6</v>
      </c>
      <c r="CZ24" s="229">
        <v>-2.2000000000000001E-3</v>
      </c>
      <c r="DA24" s="228">
        <v>34.520000000000003</v>
      </c>
      <c r="DB24" s="228">
        <v>30.51</v>
      </c>
      <c r="DC24" s="228">
        <v>4.01</v>
      </c>
      <c r="DD24" s="228">
        <v>4.01</v>
      </c>
      <c r="DE24" s="228">
        <v>42.12</v>
      </c>
      <c r="DF24" s="228">
        <v>42.22</v>
      </c>
      <c r="DG24" s="228">
        <v>-7.6</v>
      </c>
      <c r="DH24" s="228">
        <v>-0.1</v>
      </c>
      <c r="DI24" s="228">
        <v>33.28</v>
      </c>
      <c r="DJ24" s="228">
        <v>29.04</v>
      </c>
      <c r="DK24" s="228">
        <v>4.24</v>
      </c>
      <c r="DL24" s="228">
        <v>4.24</v>
      </c>
      <c r="DM24" s="228">
        <v>42.1</v>
      </c>
      <c r="DN24" s="228">
        <v>35.049999999999997</v>
      </c>
      <c r="DO24" s="228">
        <v>7.05</v>
      </c>
      <c r="DP24" s="228">
        <v>7.05</v>
      </c>
      <c r="DQ24" s="228">
        <v>0.67</v>
      </c>
      <c r="DR24" s="228">
        <v>0.67</v>
      </c>
      <c r="DS24" s="228">
        <v>0</v>
      </c>
      <c r="DT24" s="229">
        <v>0</v>
      </c>
      <c r="DU24" s="228">
        <v>160</v>
      </c>
      <c r="DV24" s="228">
        <v>150</v>
      </c>
      <c r="DW24" s="228">
        <v>0.16</v>
      </c>
      <c r="DX24" s="228">
        <v>0.32</v>
      </c>
      <c r="DY24" s="228">
        <v>-0.16</v>
      </c>
      <c r="DZ24" s="229">
        <v>-0.5</v>
      </c>
      <c r="EA24" s="229">
        <v>6.2399999999999997E-2</v>
      </c>
      <c r="EB24" s="230">
        <v>7092000</v>
      </c>
      <c r="EC24" s="229">
        <v>8.6999999999999994E-3</v>
      </c>
      <c r="ED24" s="229">
        <v>6.2399999999999997E-2</v>
      </c>
      <c r="EE24" s="228">
        <v>1.0900000000000001</v>
      </c>
      <c r="EF24" s="229">
        <v>7.3000000000000001E-3</v>
      </c>
      <c r="EG24" s="230">
        <v>2193197</v>
      </c>
      <c r="EH24" s="230">
        <v>2187538</v>
      </c>
      <c r="EI24" s="229">
        <v>2.5999999999999999E-3</v>
      </c>
      <c r="EJ24" s="229">
        <v>0.46129999999999999</v>
      </c>
      <c r="EK24" s="228">
        <v>27.42</v>
      </c>
      <c r="EL24" s="228">
        <v>3.81</v>
      </c>
      <c r="EM24" s="228">
        <v>4.9400000000000004</v>
      </c>
      <c r="EN24" s="228">
        <v>6.08</v>
      </c>
      <c r="EO24" s="228">
        <v>36.18</v>
      </c>
      <c r="EP24" s="228">
        <v>19.34</v>
      </c>
      <c r="EQ24" s="228">
        <v>16.84</v>
      </c>
      <c r="ER24" s="229">
        <v>0.87060000000000004</v>
      </c>
      <c r="ES24" s="228">
        <v>671.07</v>
      </c>
      <c r="ET24" s="228">
        <v>428.46</v>
      </c>
      <c r="EU24" s="231">
        <v>1684.73</v>
      </c>
      <c r="EV24" s="231">
        <v>142752962</v>
      </c>
      <c r="EW24" s="231">
        <v>2784.25</v>
      </c>
      <c r="EX24" s="231">
        <v>2803.76</v>
      </c>
      <c r="EY24" s="228">
        <v>-19.510000000000002</v>
      </c>
      <c r="EZ24" s="229">
        <v>-7.0000000000000001E-3</v>
      </c>
      <c r="FA24" s="229">
        <v>1.2848999999999999</v>
      </c>
      <c r="FB24" s="227" t="s">
        <v>568</v>
      </c>
      <c r="FC24">
        <f t="shared" si="0"/>
        <v>105</v>
      </c>
    </row>
    <row r="25" spans="1:159" ht="17.25" thickBot="1" x14ac:dyDescent="0.3">
      <c r="A25" s="226">
        <v>46008</v>
      </c>
      <c r="B25" s="227" t="s">
        <v>172</v>
      </c>
      <c r="C25" s="227" t="s">
        <v>180</v>
      </c>
      <c r="D25" s="228">
        <v>2925</v>
      </c>
      <c r="E25" s="228">
        <v>13</v>
      </c>
      <c r="F25" s="228">
        <v>288.14999999999998</v>
      </c>
      <c r="G25" s="228">
        <v>283.39999999999998</v>
      </c>
      <c r="H25" s="228">
        <v>4.75</v>
      </c>
      <c r="I25" s="229">
        <v>1.6799999999999999E-2</v>
      </c>
      <c r="J25" s="228">
        <v>287.60000000000002</v>
      </c>
      <c r="K25" s="228">
        <v>282.85000000000002</v>
      </c>
      <c r="L25" s="228">
        <v>4.75</v>
      </c>
      <c r="M25" s="229">
        <v>1.6799999999999999E-2</v>
      </c>
      <c r="N25" s="228">
        <v>288.14999999999998</v>
      </c>
      <c r="O25" s="228">
        <v>283.39999999999998</v>
      </c>
      <c r="P25" s="228">
        <v>4.75</v>
      </c>
      <c r="Q25" s="229">
        <v>1.6799999999999999E-2</v>
      </c>
      <c r="R25" s="228">
        <v>289.85000000000002</v>
      </c>
      <c r="S25" s="228">
        <v>285.25</v>
      </c>
      <c r="T25" s="228">
        <v>4.5999999999999996</v>
      </c>
      <c r="U25" s="229">
        <v>1.61E-2</v>
      </c>
      <c r="V25" s="228">
        <v>291.2</v>
      </c>
      <c r="W25" s="228">
        <v>287.14999999999998</v>
      </c>
      <c r="X25" s="228">
        <v>4.05</v>
      </c>
      <c r="Y25" s="229">
        <v>1.41E-2</v>
      </c>
      <c r="Z25" s="228">
        <v>0.55000000000000004</v>
      </c>
      <c r="AA25" s="228">
        <v>0.55000000000000004</v>
      </c>
      <c r="AB25" s="228">
        <v>0</v>
      </c>
      <c r="AC25" s="229">
        <v>1.9E-3</v>
      </c>
      <c r="AD25" s="228">
        <v>0.55000000000000004</v>
      </c>
      <c r="AE25" s="228">
        <v>0.55000000000000004</v>
      </c>
      <c r="AF25" s="228">
        <v>0</v>
      </c>
      <c r="AG25" s="229">
        <v>1.9E-3</v>
      </c>
      <c r="AH25" s="228">
        <v>2.25</v>
      </c>
      <c r="AI25" s="228">
        <v>2.4</v>
      </c>
      <c r="AJ25" s="228">
        <v>-0.15</v>
      </c>
      <c r="AK25" s="229">
        <v>7.7999999999999996E-3</v>
      </c>
      <c r="AL25" s="228">
        <v>3.6</v>
      </c>
      <c r="AM25" s="228">
        <v>4.3</v>
      </c>
      <c r="AN25" s="228">
        <v>-0.7</v>
      </c>
      <c r="AO25" s="229">
        <v>1.2500000000000001E-2</v>
      </c>
      <c r="AP25" s="228">
        <v>287.25</v>
      </c>
      <c r="AQ25" s="228">
        <v>288.52999999999997</v>
      </c>
      <c r="AR25" s="228">
        <v>0</v>
      </c>
      <c r="AS25" s="228">
        <v>557</v>
      </c>
      <c r="AT25" s="228">
        <v>372</v>
      </c>
      <c r="AU25" s="228">
        <v>185</v>
      </c>
      <c r="AV25" s="229">
        <v>0.49780000000000002</v>
      </c>
      <c r="AW25" s="228">
        <v>463</v>
      </c>
      <c r="AX25" s="228">
        <v>302</v>
      </c>
      <c r="AY25" s="228">
        <v>161</v>
      </c>
      <c r="AZ25" s="229">
        <v>0.53380000000000005</v>
      </c>
      <c r="BA25" s="228">
        <v>90</v>
      </c>
      <c r="BB25" s="228">
        <v>68</v>
      </c>
      <c r="BC25" s="228">
        <v>22</v>
      </c>
      <c r="BD25" s="229">
        <v>0.33040000000000003</v>
      </c>
      <c r="BE25" s="228">
        <v>4</v>
      </c>
      <c r="BF25" s="228">
        <v>2</v>
      </c>
      <c r="BG25" s="228">
        <v>2</v>
      </c>
      <c r="BH25" s="229">
        <v>0.71430000000000005</v>
      </c>
      <c r="BI25" s="230">
        <v>1947</v>
      </c>
      <c r="BJ25" s="230">
        <v>1220</v>
      </c>
      <c r="BK25" s="228">
        <v>727</v>
      </c>
      <c r="BL25" s="229">
        <v>0.59589999999999999</v>
      </c>
      <c r="BM25" s="230">
        <v>1018</v>
      </c>
      <c r="BN25" s="228">
        <v>523</v>
      </c>
      <c r="BO25" s="228">
        <v>496</v>
      </c>
      <c r="BP25" s="229">
        <v>0.94779999999999998</v>
      </c>
      <c r="BQ25" s="230">
        <v>3523</v>
      </c>
      <c r="BR25" s="230">
        <v>2115</v>
      </c>
      <c r="BS25" s="230">
        <v>1408</v>
      </c>
      <c r="BT25" s="229">
        <v>0.66569999999999996</v>
      </c>
      <c r="BU25" s="230">
        <v>18872083</v>
      </c>
      <c r="BV25" s="230">
        <v>5950231</v>
      </c>
      <c r="BW25" s="230">
        <v>12921852</v>
      </c>
      <c r="BX25" s="229">
        <v>2.1717</v>
      </c>
      <c r="BY25" s="230">
        <v>2524</v>
      </c>
      <c r="BZ25" s="230">
        <v>2564</v>
      </c>
      <c r="CA25" s="228">
        <v>-40</v>
      </c>
      <c r="CB25" s="229">
        <v>-1.54E-2</v>
      </c>
      <c r="CC25" s="230">
        <v>2290</v>
      </c>
      <c r="CD25" s="230">
        <v>2354</v>
      </c>
      <c r="CE25" s="228">
        <v>-64</v>
      </c>
      <c r="CF25" s="229">
        <v>-2.7199999999999998E-2</v>
      </c>
      <c r="CG25" s="228">
        <v>217</v>
      </c>
      <c r="CH25" s="228">
        <v>193</v>
      </c>
      <c r="CI25" s="228">
        <v>24</v>
      </c>
      <c r="CJ25" s="229">
        <v>0.12520000000000001</v>
      </c>
      <c r="CK25" s="228">
        <v>18</v>
      </c>
      <c r="CL25" s="228">
        <v>18</v>
      </c>
      <c r="CM25" s="228">
        <v>0</v>
      </c>
      <c r="CN25" s="229">
        <v>2.3699999999999999E-2</v>
      </c>
      <c r="CO25" s="230">
        <v>1459</v>
      </c>
      <c r="CP25" s="230">
        <v>1552</v>
      </c>
      <c r="CQ25" s="228">
        <v>-93</v>
      </c>
      <c r="CR25" s="229">
        <v>-0.06</v>
      </c>
      <c r="CS25" s="230">
        <v>1156</v>
      </c>
      <c r="CT25" s="230">
        <v>1143</v>
      </c>
      <c r="CU25" s="228">
        <v>13</v>
      </c>
      <c r="CV25" s="229">
        <v>1.11E-2</v>
      </c>
      <c r="CW25" s="230">
        <v>5139</v>
      </c>
      <c r="CX25" s="230">
        <v>5259</v>
      </c>
      <c r="CY25" s="228">
        <v>-120</v>
      </c>
      <c r="CZ25" s="229">
        <v>-2.2800000000000001E-2</v>
      </c>
      <c r="DA25" s="228">
        <v>23.26</v>
      </c>
      <c r="DB25" s="228">
        <v>24</v>
      </c>
      <c r="DC25" s="228">
        <v>-0.74</v>
      </c>
      <c r="DD25" s="228">
        <v>-0.74</v>
      </c>
      <c r="DE25" s="228">
        <v>34.03</v>
      </c>
      <c r="DF25" s="228">
        <v>34.04</v>
      </c>
      <c r="DG25" s="228">
        <v>-10.77</v>
      </c>
      <c r="DH25" s="228">
        <v>-0.01</v>
      </c>
      <c r="DI25" s="228">
        <v>23.07</v>
      </c>
      <c r="DJ25" s="228">
        <v>24.24</v>
      </c>
      <c r="DK25" s="228">
        <v>-1.17</v>
      </c>
      <c r="DL25" s="228">
        <v>-1.17</v>
      </c>
      <c r="DM25" s="228">
        <v>23.63</v>
      </c>
      <c r="DN25" s="228">
        <v>23.44</v>
      </c>
      <c r="DO25" s="228">
        <v>0.19</v>
      </c>
      <c r="DP25" s="228">
        <v>0.19</v>
      </c>
      <c r="DQ25" s="228">
        <v>0.79</v>
      </c>
      <c r="DR25" s="228">
        <v>0.74</v>
      </c>
      <c r="DS25" s="228">
        <v>0.05</v>
      </c>
      <c r="DT25" s="229">
        <v>6.7599999999999993E-2</v>
      </c>
      <c r="DU25" s="228">
        <v>300</v>
      </c>
      <c r="DV25" s="228">
        <v>280</v>
      </c>
      <c r="DW25" s="228">
        <v>0.52</v>
      </c>
      <c r="DX25" s="228">
        <v>0.43</v>
      </c>
      <c r="DY25" s="228">
        <v>0.09</v>
      </c>
      <c r="DZ25" s="229">
        <v>0.20930000000000001</v>
      </c>
      <c r="EA25" s="229">
        <v>9.2999999999999999E-2</v>
      </c>
      <c r="EB25" s="230">
        <v>7300800</v>
      </c>
      <c r="EC25" s="229">
        <v>5.8999999999999999E-3</v>
      </c>
      <c r="ED25" s="229">
        <v>9.2999999999999999E-2</v>
      </c>
      <c r="EE25" s="228">
        <v>1.28</v>
      </c>
      <c r="EF25" s="229">
        <v>4.4999999999999997E-3</v>
      </c>
      <c r="EG25" s="230">
        <v>13005809</v>
      </c>
      <c r="EH25" s="230">
        <v>3284523</v>
      </c>
      <c r="EI25" s="229">
        <v>2.9597000000000002</v>
      </c>
      <c r="EJ25" s="229">
        <v>0.68920000000000003</v>
      </c>
      <c r="EK25" s="231">
        <v>2002.72</v>
      </c>
      <c r="EL25" s="231">
        <v>1005.41</v>
      </c>
      <c r="EM25" s="228">
        <v>555.83000000000004</v>
      </c>
      <c r="EN25" s="228">
        <v>48.56</v>
      </c>
      <c r="EO25" s="231">
        <v>3563.96</v>
      </c>
      <c r="EP25" s="231">
        <v>2127.1799999999998</v>
      </c>
      <c r="EQ25" s="231">
        <v>1436.78</v>
      </c>
      <c r="ER25" s="229">
        <v>0.6754</v>
      </c>
      <c r="ES25" s="231">
        <v>1504.73</v>
      </c>
      <c r="ET25" s="231">
        <v>1130.94</v>
      </c>
      <c r="EU25" s="231">
        <v>2525.94</v>
      </c>
      <c r="EV25" s="231">
        <v>257509827</v>
      </c>
      <c r="EW25" s="231">
        <v>5161.6099999999997</v>
      </c>
      <c r="EX25" s="231">
        <v>5241.88</v>
      </c>
      <c r="EY25" s="228">
        <v>-80.27</v>
      </c>
      <c r="EZ25" s="229">
        <v>-1.5299999999999999E-2</v>
      </c>
      <c r="FA25" s="229">
        <v>0.69259999999999999</v>
      </c>
      <c r="FB25" s="227" t="s">
        <v>556</v>
      </c>
      <c r="FC25">
        <f t="shared" si="0"/>
        <v>234</v>
      </c>
    </row>
    <row r="26" spans="1:159" ht="17.25" thickBot="1" x14ac:dyDescent="0.3">
      <c r="A26" s="226">
        <v>46008</v>
      </c>
      <c r="B26" s="227" t="s">
        <v>172</v>
      </c>
      <c r="C26" s="227" t="s">
        <v>602</v>
      </c>
      <c r="D26" s="228">
        <v>5200</v>
      </c>
      <c r="E26" s="228">
        <v>13</v>
      </c>
      <c r="F26" s="228">
        <v>142.44</v>
      </c>
      <c r="G26" s="228">
        <v>140.01</v>
      </c>
      <c r="H26" s="228">
        <v>2.4300000000000002</v>
      </c>
      <c r="I26" s="229">
        <v>1.7399999999999999E-2</v>
      </c>
      <c r="J26" s="228">
        <v>141.96</v>
      </c>
      <c r="K26" s="228">
        <v>139.38</v>
      </c>
      <c r="L26" s="228">
        <v>2.58</v>
      </c>
      <c r="M26" s="229">
        <v>1.8499999999999999E-2</v>
      </c>
      <c r="N26" s="228">
        <v>142.44</v>
      </c>
      <c r="O26" s="228">
        <v>140.01</v>
      </c>
      <c r="P26" s="228">
        <v>2.4300000000000002</v>
      </c>
      <c r="Q26" s="229">
        <v>1.7399999999999999E-2</v>
      </c>
      <c r="R26" s="228">
        <v>143.27000000000001</v>
      </c>
      <c r="S26" s="228">
        <v>140.91</v>
      </c>
      <c r="T26" s="228">
        <v>2.36</v>
      </c>
      <c r="U26" s="229">
        <v>1.67E-2</v>
      </c>
      <c r="V26" s="228">
        <v>143.9</v>
      </c>
      <c r="W26" s="228">
        <v>141.9</v>
      </c>
      <c r="X26" s="228">
        <v>2</v>
      </c>
      <c r="Y26" s="229">
        <v>1.41E-2</v>
      </c>
      <c r="Z26" s="228">
        <v>0.48</v>
      </c>
      <c r="AA26" s="228">
        <v>0.63</v>
      </c>
      <c r="AB26" s="228">
        <v>-0.15</v>
      </c>
      <c r="AC26" s="229">
        <v>3.3999999999999998E-3</v>
      </c>
      <c r="AD26" s="228">
        <v>0.48</v>
      </c>
      <c r="AE26" s="228">
        <v>0.63</v>
      </c>
      <c r="AF26" s="228">
        <v>-0.15</v>
      </c>
      <c r="AG26" s="229">
        <v>3.3999999999999998E-3</v>
      </c>
      <c r="AH26" s="228">
        <v>1.31</v>
      </c>
      <c r="AI26" s="228">
        <v>1.53</v>
      </c>
      <c r="AJ26" s="228">
        <v>-0.22</v>
      </c>
      <c r="AK26" s="229">
        <v>9.1999999999999998E-3</v>
      </c>
      <c r="AL26" s="228">
        <v>1.94</v>
      </c>
      <c r="AM26" s="228">
        <v>2.52</v>
      </c>
      <c r="AN26" s="228">
        <v>-0.57999999999999996</v>
      </c>
      <c r="AO26" s="229">
        <v>1.37E-2</v>
      </c>
      <c r="AP26" s="228">
        <v>142.24</v>
      </c>
      <c r="AQ26" s="228">
        <v>143.13999999999999</v>
      </c>
      <c r="AR26" s="228">
        <v>0</v>
      </c>
      <c r="AS26" s="228">
        <v>157</v>
      </c>
      <c r="AT26" s="228">
        <v>99</v>
      </c>
      <c r="AU26" s="228">
        <v>57</v>
      </c>
      <c r="AV26" s="229">
        <v>0.57869999999999999</v>
      </c>
      <c r="AW26" s="228">
        <v>134</v>
      </c>
      <c r="AX26" s="228">
        <v>84</v>
      </c>
      <c r="AY26" s="228">
        <v>50</v>
      </c>
      <c r="AZ26" s="229">
        <v>0.59509999999999996</v>
      </c>
      <c r="BA26" s="228">
        <v>21</v>
      </c>
      <c r="BB26" s="228">
        <v>14</v>
      </c>
      <c r="BC26" s="228">
        <v>7</v>
      </c>
      <c r="BD26" s="229">
        <v>0.46150000000000002</v>
      </c>
      <c r="BE26" s="228">
        <v>1</v>
      </c>
      <c r="BF26" s="228">
        <v>1</v>
      </c>
      <c r="BG26" s="228">
        <v>1</v>
      </c>
      <c r="BH26" s="229">
        <v>1</v>
      </c>
      <c r="BI26" s="228">
        <v>480</v>
      </c>
      <c r="BJ26" s="228">
        <v>137</v>
      </c>
      <c r="BK26" s="228">
        <v>344</v>
      </c>
      <c r="BL26" s="229">
        <v>2.5154000000000001</v>
      </c>
      <c r="BM26" s="228">
        <v>173</v>
      </c>
      <c r="BN26" s="228">
        <v>42</v>
      </c>
      <c r="BO26" s="228">
        <v>131</v>
      </c>
      <c r="BP26" s="229">
        <v>3.1381000000000001</v>
      </c>
      <c r="BQ26" s="228">
        <v>810</v>
      </c>
      <c r="BR26" s="228">
        <v>278</v>
      </c>
      <c r="BS26" s="228">
        <v>533</v>
      </c>
      <c r="BT26" s="229">
        <v>1.9168000000000001</v>
      </c>
      <c r="BU26" s="230">
        <v>6836385</v>
      </c>
      <c r="BV26" s="230">
        <v>5370258</v>
      </c>
      <c r="BW26" s="230">
        <v>1466127</v>
      </c>
      <c r="BX26" s="229">
        <v>0.27300000000000002</v>
      </c>
      <c r="BY26" s="228">
        <v>715</v>
      </c>
      <c r="BZ26" s="228">
        <v>742</v>
      </c>
      <c r="CA26" s="228">
        <v>-27</v>
      </c>
      <c r="CB26" s="229">
        <v>-3.6700000000000003E-2</v>
      </c>
      <c r="CC26" s="228">
        <v>671</v>
      </c>
      <c r="CD26" s="228">
        <v>700</v>
      </c>
      <c r="CE26" s="228">
        <v>-28</v>
      </c>
      <c r="CF26" s="229">
        <v>-4.0599999999999997E-2</v>
      </c>
      <c r="CG26" s="228">
        <v>39</v>
      </c>
      <c r="CH26" s="228">
        <v>38</v>
      </c>
      <c r="CI26" s="228">
        <v>1</v>
      </c>
      <c r="CJ26" s="229">
        <v>2.3099999999999999E-2</v>
      </c>
      <c r="CK26" s="228">
        <v>4</v>
      </c>
      <c r="CL26" s="228">
        <v>4</v>
      </c>
      <c r="CM26" s="228">
        <v>0</v>
      </c>
      <c r="CN26" s="229">
        <v>5.3600000000000002E-2</v>
      </c>
      <c r="CO26" s="228">
        <v>393</v>
      </c>
      <c r="CP26" s="228">
        <v>365</v>
      </c>
      <c r="CQ26" s="228">
        <v>29</v>
      </c>
      <c r="CR26" s="229">
        <v>7.8200000000000006E-2</v>
      </c>
      <c r="CS26" s="228">
        <v>284</v>
      </c>
      <c r="CT26" s="228">
        <v>265</v>
      </c>
      <c r="CU26" s="228">
        <v>19</v>
      </c>
      <c r="CV26" s="229">
        <v>7.3300000000000004E-2</v>
      </c>
      <c r="CW26" s="230">
        <v>1392</v>
      </c>
      <c r="CX26" s="230">
        <v>1371</v>
      </c>
      <c r="CY26" s="228">
        <v>21</v>
      </c>
      <c r="CZ26" s="229">
        <v>1.5100000000000001E-2</v>
      </c>
      <c r="DA26" s="228">
        <v>25.53</v>
      </c>
      <c r="DB26" s="228">
        <v>26.1</v>
      </c>
      <c r="DC26" s="228">
        <v>-0.56999999999999995</v>
      </c>
      <c r="DD26" s="228">
        <v>-0.56999999999999995</v>
      </c>
      <c r="DE26" s="228">
        <v>38.630000000000003</v>
      </c>
      <c r="DF26" s="228">
        <v>38.65</v>
      </c>
      <c r="DG26" s="228">
        <v>-13.1</v>
      </c>
      <c r="DH26" s="228">
        <v>-0.02</v>
      </c>
      <c r="DI26" s="228">
        <v>24.61</v>
      </c>
      <c r="DJ26" s="228">
        <v>26.09</v>
      </c>
      <c r="DK26" s="228">
        <v>-1.48</v>
      </c>
      <c r="DL26" s="228">
        <v>-1.48</v>
      </c>
      <c r="DM26" s="228">
        <v>28.08</v>
      </c>
      <c r="DN26" s="228">
        <v>26.13</v>
      </c>
      <c r="DO26" s="228">
        <v>1.95</v>
      </c>
      <c r="DP26" s="228">
        <v>1.95</v>
      </c>
      <c r="DQ26" s="228">
        <v>0.72</v>
      </c>
      <c r="DR26" s="228">
        <v>0.73</v>
      </c>
      <c r="DS26" s="228">
        <v>-0.01</v>
      </c>
      <c r="DT26" s="229">
        <v>-1.37E-2</v>
      </c>
      <c r="DU26" s="228">
        <v>150</v>
      </c>
      <c r="DV26" s="228">
        <v>140</v>
      </c>
      <c r="DW26" s="228">
        <v>0.36</v>
      </c>
      <c r="DX26" s="228">
        <v>0.31</v>
      </c>
      <c r="DY26" s="228">
        <v>0.05</v>
      </c>
      <c r="DZ26" s="229">
        <v>0.1613</v>
      </c>
      <c r="EA26" s="229">
        <v>6.1100000000000002E-2</v>
      </c>
      <c r="EB26" s="230">
        <v>2990000</v>
      </c>
      <c r="EC26" s="229">
        <v>5.7999999999999996E-3</v>
      </c>
      <c r="ED26" s="229">
        <v>6.1100000000000002E-2</v>
      </c>
      <c r="EE26" s="228">
        <v>0.9</v>
      </c>
      <c r="EF26" s="229">
        <v>6.3E-3</v>
      </c>
      <c r="EG26" s="230">
        <v>2369150</v>
      </c>
      <c r="EH26" s="230">
        <v>2994370</v>
      </c>
      <c r="EI26" s="229">
        <v>-0.20880000000000001</v>
      </c>
      <c r="EJ26" s="229">
        <v>0.34660000000000002</v>
      </c>
      <c r="EK26" s="228">
        <v>495.05</v>
      </c>
      <c r="EL26" s="228">
        <v>168.58</v>
      </c>
      <c r="EM26" s="228">
        <v>156.74</v>
      </c>
      <c r="EN26" s="228">
        <v>15.49</v>
      </c>
      <c r="EO26" s="228">
        <v>820.37</v>
      </c>
      <c r="EP26" s="228">
        <v>280.99</v>
      </c>
      <c r="EQ26" s="228">
        <v>539.38</v>
      </c>
      <c r="ER26" s="229">
        <v>1.9196</v>
      </c>
      <c r="ES26" s="228">
        <v>410.12</v>
      </c>
      <c r="ET26" s="228">
        <v>277.22000000000003</v>
      </c>
      <c r="EU26" s="228">
        <v>715.11</v>
      </c>
      <c r="EV26" s="231">
        <v>181770921</v>
      </c>
      <c r="EW26" s="231">
        <v>1402.45</v>
      </c>
      <c r="EX26" s="231">
        <v>1369.18</v>
      </c>
      <c r="EY26" s="228">
        <v>33.270000000000003</v>
      </c>
      <c r="EZ26" s="229">
        <v>2.4299999999999999E-2</v>
      </c>
      <c r="FA26" s="229">
        <v>0.53759999999999997</v>
      </c>
      <c r="FB26" s="227" t="s">
        <v>556</v>
      </c>
      <c r="FC26">
        <f t="shared" si="0"/>
        <v>44</v>
      </c>
    </row>
    <row r="27" spans="1:159" ht="17.25" thickBot="1" x14ac:dyDescent="0.3">
      <c r="A27" s="226">
        <v>46008</v>
      </c>
      <c r="B27" s="227" t="s">
        <v>181</v>
      </c>
      <c r="C27" s="227" t="s">
        <v>182</v>
      </c>
      <c r="D27" s="228">
        <v>35</v>
      </c>
      <c r="E27" s="228">
        <v>13</v>
      </c>
      <c r="F27" s="231">
        <v>59146.8</v>
      </c>
      <c r="G27" s="231">
        <v>59287.8</v>
      </c>
      <c r="H27" s="228">
        <v>-141</v>
      </c>
      <c r="I27" s="229">
        <v>-2.3999999999999998E-3</v>
      </c>
      <c r="J27" s="231">
        <v>58926.75</v>
      </c>
      <c r="K27" s="231">
        <v>59034.6</v>
      </c>
      <c r="L27" s="228">
        <v>-107.85</v>
      </c>
      <c r="M27" s="229">
        <v>-1.8E-3</v>
      </c>
      <c r="N27" s="231">
        <v>59146.8</v>
      </c>
      <c r="O27" s="231">
        <v>59287.8</v>
      </c>
      <c r="P27" s="228">
        <v>-141</v>
      </c>
      <c r="Q27" s="229">
        <v>-2.3999999999999998E-3</v>
      </c>
      <c r="R27" s="231">
        <v>59496.2</v>
      </c>
      <c r="S27" s="231">
        <v>59619.199999999997</v>
      </c>
      <c r="T27" s="228">
        <v>-123</v>
      </c>
      <c r="U27" s="229">
        <v>-2.0999999999999999E-3</v>
      </c>
      <c r="V27" s="231">
        <v>59864</v>
      </c>
      <c r="W27" s="231">
        <v>59982.2</v>
      </c>
      <c r="X27" s="228">
        <v>-118.2</v>
      </c>
      <c r="Y27" s="229">
        <v>-2E-3</v>
      </c>
      <c r="Z27" s="228">
        <v>220.05</v>
      </c>
      <c r="AA27" s="228">
        <v>253.2</v>
      </c>
      <c r="AB27" s="228">
        <v>-33.15</v>
      </c>
      <c r="AC27" s="229">
        <v>3.7000000000000002E-3</v>
      </c>
      <c r="AD27" s="228">
        <v>220.05</v>
      </c>
      <c r="AE27" s="228">
        <v>253.2</v>
      </c>
      <c r="AF27" s="228">
        <v>-33.15</v>
      </c>
      <c r="AG27" s="229">
        <v>3.7000000000000002E-3</v>
      </c>
      <c r="AH27" s="228">
        <v>569.45000000000005</v>
      </c>
      <c r="AI27" s="228">
        <v>584.6</v>
      </c>
      <c r="AJ27" s="228">
        <v>-15.15</v>
      </c>
      <c r="AK27" s="229">
        <v>9.7000000000000003E-3</v>
      </c>
      <c r="AL27" s="228">
        <v>937.25</v>
      </c>
      <c r="AM27" s="228">
        <v>947.6</v>
      </c>
      <c r="AN27" s="228">
        <v>-10.35</v>
      </c>
      <c r="AO27" s="229">
        <v>1.5900000000000001E-2</v>
      </c>
      <c r="AP27" s="231">
        <v>59152.94</v>
      </c>
      <c r="AQ27" s="231">
        <v>59485.82</v>
      </c>
      <c r="AR27" s="228">
        <v>0</v>
      </c>
      <c r="AS27" s="230">
        <v>4549</v>
      </c>
      <c r="AT27" s="230">
        <v>5592</v>
      </c>
      <c r="AU27" s="230">
        <v>-1044</v>
      </c>
      <c r="AV27" s="229">
        <v>-0.18659999999999999</v>
      </c>
      <c r="AW27" s="230">
        <v>3811</v>
      </c>
      <c r="AX27" s="230">
        <v>5128</v>
      </c>
      <c r="AY27" s="230">
        <v>-1317</v>
      </c>
      <c r="AZ27" s="229">
        <v>-0.25679999999999997</v>
      </c>
      <c r="BA27" s="228">
        <v>622</v>
      </c>
      <c r="BB27" s="228">
        <v>356</v>
      </c>
      <c r="BC27" s="228">
        <v>266</v>
      </c>
      <c r="BD27" s="229">
        <v>0.74750000000000005</v>
      </c>
      <c r="BE27" s="228">
        <v>115</v>
      </c>
      <c r="BF27" s="228">
        <v>108</v>
      </c>
      <c r="BG27" s="228">
        <v>7</v>
      </c>
      <c r="BH27" s="229">
        <v>6.9099999999999995E-2</v>
      </c>
      <c r="BI27" s="230">
        <v>293592</v>
      </c>
      <c r="BJ27" s="230">
        <v>270506</v>
      </c>
      <c r="BK27" s="230">
        <v>23086</v>
      </c>
      <c r="BL27" s="229">
        <v>8.5300000000000001E-2</v>
      </c>
      <c r="BM27" s="230">
        <v>282519</v>
      </c>
      <c r="BN27" s="230">
        <v>256034</v>
      </c>
      <c r="BO27" s="230">
        <v>26484</v>
      </c>
      <c r="BP27" s="229">
        <v>0.10340000000000001</v>
      </c>
      <c r="BQ27" s="230">
        <v>580659</v>
      </c>
      <c r="BR27" s="230">
        <v>532132</v>
      </c>
      <c r="BS27" s="230">
        <v>48527</v>
      </c>
      <c r="BT27" s="229">
        <v>9.1200000000000003E-2</v>
      </c>
      <c r="BU27" s="228">
        <v>0</v>
      </c>
      <c r="BV27" s="228">
        <v>0</v>
      </c>
      <c r="BW27" s="228">
        <v>0</v>
      </c>
      <c r="BX27" s="229">
        <v>0</v>
      </c>
      <c r="BY27" s="230">
        <v>12400</v>
      </c>
      <c r="BZ27" s="230">
        <v>12457</v>
      </c>
      <c r="CA27" s="228">
        <v>-57</v>
      </c>
      <c r="CB27" s="229">
        <v>-4.5999999999999999E-3</v>
      </c>
      <c r="CC27" s="230">
        <v>10910</v>
      </c>
      <c r="CD27" s="230">
        <v>11085</v>
      </c>
      <c r="CE27" s="228">
        <v>-174</v>
      </c>
      <c r="CF27" s="229">
        <v>-1.5699999999999999E-2</v>
      </c>
      <c r="CG27" s="230">
        <v>1218</v>
      </c>
      <c r="CH27" s="230">
        <v>1118</v>
      </c>
      <c r="CI27" s="228">
        <v>101</v>
      </c>
      <c r="CJ27" s="229">
        <v>0.09</v>
      </c>
      <c r="CK27" s="228">
        <v>271</v>
      </c>
      <c r="CL27" s="228">
        <v>255</v>
      </c>
      <c r="CM27" s="228">
        <v>16</v>
      </c>
      <c r="CN27" s="229">
        <v>6.4100000000000004E-2</v>
      </c>
      <c r="CO27" s="230">
        <v>134280</v>
      </c>
      <c r="CP27" s="230">
        <v>129457</v>
      </c>
      <c r="CQ27" s="230">
        <v>4823</v>
      </c>
      <c r="CR27" s="229">
        <v>3.73E-2</v>
      </c>
      <c r="CS27" s="230">
        <v>100829</v>
      </c>
      <c r="CT27" s="230">
        <v>99962</v>
      </c>
      <c r="CU27" s="228">
        <v>867</v>
      </c>
      <c r="CV27" s="229">
        <v>8.6999999999999994E-3</v>
      </c>
      <c r="CW27" s="230">
        <v>247509</v>
      </c>
      <c r="CX27" s="230">
        <v>241876</v>
      </c>
      <c r="CY27" s="230">
        <v>5633</v>
      </c>
      <c r="CZ27" s="229">
        <v>2.3300000000000001E-2</v>
      </c>
      <c r="DA27" s="228">
        <v>10.82</v>
      </c>
      <c r="DB27" s="228">
        <v>11.04</v>
      </c>
      <c r="DC27" s="228">
        <v>-0.22</v>
      </c>
      <c r="DD27" s="228">
        <v>-0.22</v>
      </c>
      <c r="DE27" s="228">
        <v>16.02</v>
      </c>
      <c r="DF27" s="228">
        <v>16.059999999999999</v>
      </c>
      <c r="DG27" s="228">
        <v>-5.2</v>
      </c>
      <c r="DH27" s="228">
        <v>-0.04</v>
      </c>
      <c r="DI27" s="228">
        <v>10.76</v>
      </c>
      <c r="DJ27" s="228">
        <v>11.11</v>
      </c>
      <c r="DK27" s="228">
        <v>-0.35</v>
      </c>
      <c r="DL27" s="228">
        <v>-0.35</v>
      </c>
      <c r="DM27" s="228">
        <v>10.89</v>
      </c>
      <c r="DN27" s="228">
        <v>10.97</v>
      </c>
      <c r="DO27" s="228">
        <v>-0.08</v>
      </c>
      <c r="DP27" s="228">
        <v>-0.08</v>
      </c>
      <c r="DQ27" s="228">
        <v>0.75</v>
      </c>
      <c r="DR27" s="228">
        <v>0.77</v>
      </c>
      <c r="DS27" s="228">
        <v>-0.02</v>
      </c>
      <c r="DT27" s="229">
        <v>-2.5999999999999999E-2</v>
      </c>
      <c r="DU27" s="231">
        <v>59500</v>
      </c>
      <c r="DV27" s="231">
        <v>59500</v>
      </c>
      <c r="DW27" s="228">
        <v>0.96</v>
      </c>
      <c r="DX27" s="228">
        <v>0.95</v>
      </c>
      <c r="DY27" s="228">
        <v>0.01</v>
      </c>
      <c r="DZ27" s="229">
        <v>1.0500000000000001E-2</v>
      </c>
      <c r="EA27" s="229">
        <v>0.1201</v>
      </c>
      <c r="EB27" s="230">
        <v>232050</v>
      </c>
      <c r="EC27" s="229">
        <v>5.8999999999999999E-3</v>
      </c>
      <c r="ED27" s="229">
        <v>0.1201</v>
      </c>
      <c r="EE27" s="228">
        <v>332.88</v>
      </c>
      <c r="EF27" s="229">
        <v>5.5999999999999999E-3</v>
      </c>
      <c r="EG27" s="228">
        <v>0</v>
      </c>
      <c r="EH27" s="228">
        <v>0</v>
      </c>
      <c r="EI27" s="229">
        <v>0</v>
      </c>
      <c r="EJ27" s="229">
        <v>0</v>
      </c>
      <c r="EK27" s="231">
        <v>298198.11</v>
      </c>
      <c r="EL27" s="231">
        <v>279479.42</v>
      </c>
      <c r="EM27" s="231">
        <v>4447.8500000000004</v>
      </c>
      <c r="EN27" s="228">
        <v>0</v>
      </c>
      <c r="EO27" s="231">
        <v>582125.37</v>
      </c>
      <c r="EP27" s="231">
        <v>535744.82999999996</v>
      </c>
      <c r="EQ27" s="231">
        <v>46380.54</v>
      </c>
      <c r="ER27" s="229">
        <v>8.6599999999999996E-2</v>
      </c>
      <c r="ES27" s="231">
        <v>137260.1</v>
      </c>
      <c r="ET27" s="231">
        <v>98586.97</v>
      </c>
      <c r="EU27" s="231">
        <v>12410.37</v>
      </c>
      <c r="EV27" s="228">
        <v>0</v>
      </c>
      <c r="EW27" s="231">
        <v>248257.45</v>
      </c>
      <c r="EX27" s="231">
        <v>242759.59</v>
      </c>
      <c r="EY27" s="231">
        <v>5497.86</v>
      </c>
      <c r="EZ27" s="229">
        <v>2.2599999999999999E-2</v>
      </c>
      <c r="FA27" s="229">
        <v>0</v>
      </c>
      <c r="FB27" s="227" t="s">
        <v>568</v>
      </c>
      <c r="FC27">
        <f t="shared" si="0"/>
        <v>1490</v>
      </c>
    </row>
    <row r="28" spans="1:159" ht="17.25" thickBot="1" x14ac:dyDescent="0.3">
      <c r="A28" s="226">
        <v>46008</v>
      </c>
      <c r="B28" s="227" t="s">
        <v>184</v>
      </c>
      <c r="C28" s="227" t="s">
        <v>672</v>
      </c>
      <c r="D28" s="228">
        <v>325</v>
      </c>
      <c r="E28" s="228">
        <v>13</v>
      </c>
      <c r="F28" s="231">
        <v>1328</v>
      </c>
      <c r="G28" s="231">
        <v>1356</v>
      </c>
      <c r="H28" s="228">
        <v>-28</v>
      </c>
      <c r="I28" s="229">
        <v>-2.06E-2</v>
      </c>
      <c r="J28" s="231">
        <v>1324.3</v>
      </c>
      <c r="K28" s="231">
        <v>1355.6</v>
      </c>
      <c r="L28" s="228">
        <v>-31.3</v>
      </c>
      <c r="M28" s="229">
        <v>-2.3099999999999999E-2</v>
      </c>
      <c r="N28" s="231">
        <v>1328</v>
      </c>
      <c r="O28" s="231">
        <v>1356</v>
      </c>
      <c r="P28" s="228">
        <v>-28</v>
      </c>
      <c r="Q28" s="229">
        <v>-2.06E-2</v>
      </c>
      <c r="R28" s="231">
        <v>1335.6</v>
      </c>
      <c r="S28" s="231">
        <v>1363.3</v>
      </c>
      <c r="T28" s="228">
        <v>-27.7</v>
      </c>
      <c r="U28" s="229">
        <v>-2.0299999999999999E-2</v>
      </c>
      <c r="V28" s="231">
        <v>1338.6</v>
      </c>
      <c r="W28" s="231">
        <v>1367</v>
      </c>
      <c r="X28" s="228">
        <v>-28.4</v>
      </c>
      <c r="Y28" s="229">
        <v>-2.0799999999999999E-2</v>
      </c>
      <c r="Z28" s="228">
        <v>3.7</v>
      </c>
      <c r="AA28" s="228">
        <v>0.4</v>
      </c>
      <c r="AB28" s="228">
        <v>3.3</v>
      </c>
      <c r="AC28" s="229">
        <v>2.8E-3</v>
      </c>
      <c r="AD28" s="228">
        <v>3.7</v>
      </c>
      <c r="AE28" s="228">
        <v>0.4</v>
      </c>
      <c r="AF28" s="228">
        <v>3.3</v>
      </c>
      <c r="AG28" s="229">
        <v>2.8E-3</v>
      </c>
      <c r="AH28" s="228">
        <v>11.3</v>
      </c>
      <c r="AI28" s="228">
        <v>7.7</v>
      </c>
      <c r="AJ28" s="228">
        <v>3.6</v>
      </c>
      <c r="AK28" s="229">
        <v>8.5000000000000006E-3</v>
      </c>
      <c r="AL28" s="228">
        <v>14.3</v>
      </c>
      <c r="AM28" s="228">
        <v>11.4</v>
      </c>
      <c r="AN28" s="228">
        <v>2.9</v>
      </c>
      <c r="AO28" s="229">
        <v>1.0800000000000001E-2</v>
      </c>
      <c r="AP28" s="231">
        <v>1338.15</v>
      </c>
      <c r="AQ28" s="231">
        <v>1345.46</v>
      </c>
      <c r="AR28" s="228">
        <v>0</v>
      </c>
      <c r="AS28" s="228">
        <v>186</v>
      </c>
      <c r="AT28" s="228">
        <v>242</v>
      </c>
      <c r="AU28" s="228">
        <v>-56</v>
      </c>
      <c r="AV28" s="229">
        <v>-0.23269999999999999</v>
      </c>
      <c r="AW28" s="228">
        <v>151</v>
      </c>
      <c r="AX28" s="228">
        <v>211</v>
      </c>
      <c r="AY28" s="228">
        <v>-60</v>
      </c>
      <c r="AZ28" s="229">
        <v>-0.28510000000000002</v>
      </c>
      <c r="BA28" s="228">
        <v>30</v>
      </c>
      <c r="BB28" s="228">
        <v>28</v>
      </c>
      <c r="BC28" s="228">
        <v>2</v>
      </c>
      <c r="BD28" s="229">
        <v>7.9100000000000004E-2</v>
      </c>
      <c r="BE28" s="228">
        <v>5</v>
      </c>
      <c r="BF28" s="228">
        <v>3</v>
      </c>
      <c r="BG28" s="228">
        <v>2</v>
      </c>
      <c r="BH28" s="229">
        <v>0.51349999999999996</v>
      </c>
      <c r="BI28" s="230">
        <v>1312</v>
      </c>
      <c r="BJ28" s="230">
        <v>1271</v>
      </c>
      <c r="BK28" s="228">
        <v>41</v>
      </c>
      <c r="BL28" s="229">
        <v>3.2599999999999997E-2</v>
      </c>
      <c r="BM28" s="228">
        <v>828</v>
      </c>
      <c r="BN28" s="228">
        <v>809</v>
      </c>
      <c r="BO28" s="228">
        <v>19</v>
      </c>
      <c r="BP28" s="229">
        <v>2.35E-2</v>
      </c>
      <c r="BQ28" s="230">
        <v>2326</v>
      </c>
      <c r="BR28" s="230">
        <v>2322</v>
      </c>
      <c r="BS28" s="228">
        <v>4</v>
      </c>
      <c r="BT28" s="229">
        <v>1.8E-3</v>
      </c>
      <c r="BU28" s="230">
        <v>1102874</v>
      </c>
      <c r="BV28" s="230">
        <v>1722836</v>
      </c>
      <c r="BW28" s="230">
        <v>-619962</v>
      </c>
      <c r="BX28" s="229">
        <v>-0.35980000000000001</v>
      </c>
      <c r="BY28" s="228">
        <v>640</v>
      </c>
      <c r="BZ28" s="228">
        <v>632</v>
      </c>
      <c r="CA28" s="228">
        <v>8</v>
      </c>
      <c r="CB28" s="229">
        <v>1.2800000000000001E-2</v>
      </c>
      <c r="CC28" s="228">
        <v>553</v>
      </c>
      <c r="CD28" s="228">
        <v>556</v>
      </c>
      <c r="CE28" s="228">
        <v>-2</v>
      </c>
      <c r="CF28" s="229">
        <v>-4.1000000000000003E-3</v>
      </c>
      <c r="CG28" s="228">
        <v>75</v>
      </c>
      <c r="CH28" s="228">
        <v>66</v>
      </c>
      <c r="CI28" s="228">
        <v>9</v>
      </c>
      <c r="CJ28" s="229">
        <v>0.14410000000000001</v>
      </c>
      <c r="CK28" s="228">
        <v>11</v>
      </c>
      <c r="CL28" s="228">
        <v>10</v>
      </c>
      <c r="CM28" s="228">
        <v>1</v>
      </c>
      <c r="CN28" s="229">
        <v>8.5599999999999996E-2</v>
      </c>
      <c r="CO28" s="228">
        <v>993</v>
      </c>
      <c r="CP28" s="228">
        <v>929</v>
      </c>
      <c r="CQ28" s="228">
        <v>63</v>
      </c>
      <c r="CR28" s="229">
        <v>6.8199999999999997E-2</v>
      </c>
      <c r="CS28" s="228">
        <v>393</v>
      </c>
      <c r="CT28" s="228">
        <v>378</v>
      </c>
      <c r="CU28" s="228">
        <v>14</v>
      </c>
      <c r="CV28" s="229">
        <v>3.7600000000000001E-2</v>
      </c>
      <c r="CW28" s="230">
        <v>2025</v>
      </c>
      <c r="CX28" s="230">
        <v>1940</v>
      </c>
      <c r="CY28" s="228">
        <v>86</v>
      </c>
      <c r="CZ28" s="229">
        <v>4.4200000000000003E-2</v>
      </c>
      <c r="DA28" s="228">
        <v>32.04</v>
      </c>
      <c r="DB28" s="228">
        <v>34.49</v>
      </c>
      <c r="DC28" s="228">
        <v>-2.4500000000000002</v>
      </c>
      <c r="DD28" s="228">
        <v>-2.4500000000000002</v>
      </c>
      <c r="DE28" s="228">
        <v>51.39</v>
      </c>
      <c r="DF28" s="228">
        <v>51.44</v>
      </c>
      <c r="DG28" s="228">
        <v>-19.350000000000001</v>
      </c>
      <c r="DH28" s="228">
        <v>-0.05</v>
      </c>
      <c r="DI28" s="228">
        <v>33.450000000000003</v>
      </c>
      <c r="DJ28" s="228">
        <v>35.590000000000003</v>
      </c>
      <c r="DK28" s="228">
        <v>-2.14</v>
      </c>
      <c r="DL28" s="228">
        <v>-2.14</v>
      </c>
      <c r="DM28" s="228">
        <v>29.81</v>
      </c>
      <c r="DN28" s="228">
        <v>32.76</v>
      </c>
      <c r="DO28" s="228">
        <v>-2.95</v>
      </c>
      <c r="DP28" s="228">
        <v>-2.95</v>
      </c>
      <c r="DQ28" s="228">
        <v>0.4</v>
      </c>
      <c r="DR28" s="228">
        <v>0.41</v>
      </c>
      <c r="DS28" s="228">
        <v>-0.01</v>
      </c>
      <c r="DT28" s="229">
        <v>-2.4400000000000002E-2</v>
      </c>
      <c r="DU28" s="231">
        <v>1500</v>
      </c>
      <c r="DV28" s="231">
        <v>1340</v>
      </c>
      <c r="DW28" s="228">
        <v>0.63</v>
      </c>
      <c r="DX28" s="228">
        <v>0.64</v>
      </c>
      <c r="DY28" s="228">
        <v>-0.01</v>
      </c>
      <c r="DZ28" s="229">
        <v>-1.5599999999999999E-2</v>
      </c>
      <c r="EA28" s="229">
        <v>0.13519999999999999</v>
      </c>
      <c r="EB28" s="230">
        <v>573300</v>
      </c>
      <c r="EC28" s="229">
        <v>5.7000000000000002E-3</v>
      </c>
      <c r="ED28" s="229">
        <v>0.13519999999999999</v>
      </c>
      <c r="EE28" s="228">
        <v>7.31</v>
      </c>
      <c r="EF28" s="229">
        <v>5.4999999999999997E-3</v>
      </c>
      <c r="EG28" s="230">
        <v>297120</v>
      </c>
      <c r="EH28" s="230">
        <v>733739</v>
      </c>
      <c r="EI28" s="229">
        <v>-0.59509999999999996</v>
      </c>
      <c r="EJ28" s="229">
        <v>0.26939999999999997</v>
      </c>
      <c r="EK28" s="231">
        <v>1426.62</v>
      </c>
      <c r="EL28" s="228">
        <v>842.97</v>
      </c>
      <c r="EM28" s="228">
        <v>190.06</v>
      </c>
      <c r="EN28" s="228">
        <v>37.630000000000003</v>
      </c>
      <c r="EO28" s="231">
        <v>2459.65</v>
      </c>
      <c r="EP28" s="231">
        <v>2501.94</v>
      </c>
      <c r="EQ28" s="228">
        <v>-42.29</v>
      </c>
      <c r="ER28" s="229">
        <v>-1.6899999999999998E-2</v>
      </c>
      <c r="ES28" s="231">
        <v>1126.6600000000001</v>
      </c>
      <c r="ET28" s="228">
        <v>407.9</v>
      </c>
      <c r="EU28" s="228">
        <v>640.29</v>
      </c>
      <c r="EV28" s="231">
        <v>13786716</v>
      </c>
      <c r="EW28" s="231">
        <v>2174.85</v>
      </c>
      <c r="EX28" s="231">
        <v>2107.1999999999998</v>
      </c>
      <c r="EY28" s="228">
        <v>67.650000000000006</v>
      </c>
      <c r="EZ28" s="229">
        <v>3.2099999999999997E-2</v>
      </c>
      <c r="FA28" s="229">
        <v>1.1062000000000001</v>
      </c>
      <c r="FB28" s="227" t="s">
        <v>567</v>
      </c>
      <c r="FC28">
        <f t="shared" si="0"/>
        <v>87</v>
      </c>
    </row>
    <row r="29" spans="1:159" s="195" customFormat="1" ht="17.25" thickBot="1" x14ac:dyDescent="0.3">
      <c r="A29" s="226">
        <v>46008</v>
      </c>
      <c r="B29" s="227" t="s">
        <v>184</v>
      </c>
      <c r="C29" s="227" t="s">
        <v>185</v>
      </c>
      <c r="D29" s="228">
        <v>1425</v>
      </c>
      <c r="E29" s="228">
        <v>13</v>
      </c>
      <c r="F29" s="228">
        <v>386.85</v>
      </c>
      <c r="G29" s="228">
        <v>388.7</v>
      </c>
      <c r="H29" s="228">
        <v>-1.85</v>
      </c>
      <c r="I29" s="229">
        <v>-4.7999999999999996E-3</v>
      </c>
      <c r="J29" s="228">
        <v>385.6</v>
      </c>
      <c r="K29" s="228">
        <v>388</v>
      </c>
      <c r="L29" s="228">
        <v>-2.4</v>
      </c>
      <c r="M29" s="229">
        <v>-6.1999999999999998E-3</v>
      </c>
      <c r="N29" s="228">
        <v>386.85</v>
      </c>
      <c r="O29" s="228">
        <v>388.7</v>
      </c>
      <c r="P29" s="228">
        <v>-1.85</v>
      </c>
      <c r="Q29" s="229">
        <v>-4.7999999999999996E-3</v>
      </c>
      <c r="R29" s="228">
        <v>389.15</v>
      </c>
      <c r="S29" s="228">
        <v>391.05</v>
      </c>
      <c r="T29" s="228">
        <v>-1.9</v>
      </c>
      <c r="U29" s="229">
        <v>-4.8999999999999998E-3</v>
      </c>
      <c r="V29" s="228">
        <v>391.1</v>
      </c>
      <c r="W29" s="228">
        <v>392.45</v>
      </c>
      <c r="X29" s="228">
        <v>-1.35</v>
      </c>
      <c r="Y29" s="229">
        <v>-3.3999999999999998E-3</v>
      </c>
      <c r="Z29" s="228">
        <v>1.25</v>
      </c>
      <c r="AA29" s="228">
        <v>0.7</v>
      </c>
      <c r="AB29" s="228">
        <v>0.55000000000000004</v>
      </c>
      <c r="AC29" s="229">
        <v>3.2000000000000002E-3</v>
      </c>
      <c r="AD29" s="228">
        <v>1.25</v>
      </c>
      <c r="AE29" s="228">
        <v>0.7</v>
      </c>
      <c r="AF29" s="228">
        <v>0.55000000000000004</v>
      </c>
      <c r="AG29" s="229">
        <v>3.2000000000000002E-3</v>
      </c>
      <c r="AH29" s="228">
        <v>3.55</v>
      </c>
      <c r="AI29" s="228">
        <v>3.05</v>
      </c>
      <c r="AJ29" s="228">
        <v>0.5</v>
      </c>
      <c r="AK29" s="229">
        <v>9.1999999999999998E-3</v>
      </c>
      <c r="AL29" s="228">
        <v>5.5</v>
      </c>
      <c r="AM29" s="228">
        <v>4.45</v>
      </c>
      <c r="AN29" s="228">
        <v>1.05</v>
      </c>
      <c r="AO29" s="229">
        <v>1.43E-2</v>
      </c>
      <c r="AP29" s="228">
        <v>386.97</v>
      </c>
      <c r="AQ29" s="228">
        <v>389.29</v>
      </c>
      <c r="AR29" s="228">
        <v>0</v>
      </c>
      <c r="AS29" s="228">
        <v>552</v>
      </c>
      <c r="AT29" s="228">
        <v>560</v>
      </c>
      <c r="AU29" s="228">
        <v>-8</v>
      </c>
      <c r="AV29" s="229">
        <v>-1.4999999999999999E-2</v>
      </c>
      <c r="AW29" s="228">
        <v>369</v>
      </c>
      <c r="AX29" s="228">
        <v>432</v>
      </c>
      <c r="AY29" s="228">
        <v>-63</v>
      </c>
      <c r="AZ29" s="229">
        <v>-0.1459</v>
      </c>
      <c r="BA29" s="228">
        <v>177</v>
      </c>
      <c r="BB29" s="228">
        <v>114</v>
      </c>
      <c r="BC29" s="228">
        <v>62</v>
      </c>
      <c r="BD29" s="229">
        <v>0.54579999999999995</v>
      </c>
      <c r="BE29" s="228">
        <v>6</v>
      </c>
      <c r="BF29" s="228">
        <v>14</v>
      </c>
      <c r="BG29" s="228">
        <v>-8</v>
      </c>
      <c r="BH29" s="229">
        <v>-0.56130000000000002</v>
      </c>
      <c r="BI29" s="230">
        <v>2529</v>
      </c>
      <c r="BJ29" s="230">
        <v>2705</v>
      </c>
      <c r="BK29" s="228">
        <v>-176</v>
      </c>
      <c r="BL29" s="229">
        <v>-6.5100000000000005E-2</v>
      </c>
      <c r="BM29" s="228">
        <v>997</v>
      </c>
      <c r="BN29" s="230">
        <v>1160</v>
      </c>
      <c r="BO29" s="228">
        <v>-163</v>
      </c>
      <c r="BP29" s="229">
        <v>-0.1406</v>
      </c>
      <c r="BQ29" s="230">
        <v>4078</v>
      </c>
      <c r="BR29" s="230">
        <v>4425</v>
      </c>
      <c r="BS29" s="228">
        <v>-348</v>
      </c>
      <c r="BT29" s="229">
        <v>-7.85E-2</v>
      </c>
      <c r="BU29" s="230">
        <v>6814295</v>
      </c>
      <c r="BV29" s="230">
        <v>9038765</v>
      </c>
      <c r="BW29" s="230">
        <v>-2224470</v>
      </c>
      <c r="BX29" s="229">
        <v>-0.24610000000000001</v>
      </c>
      <c r="BY29" s="230">
        <v>4749</v>
      </c>
      <c r="BZ29" s="230">
        <v>4688</v>
      </c>
      <c r="CA29" s="228">
        <v>61</v>
      </c>
      <c r="CB29" s="229">
        <v>1.29E-2</v>
      </c>
      <c r="CC29" s="230">
        <v>3994</v>
      </c>
      <c r="CD29" s="230">
        <v>4033</v>
      </c>
      <c r="CE29" s="228">
        <v>-39</v>
      </c>
      <c r="CF29" s="229">
        <v>-9.5999999999999992E-3</v>
      </c>
      <c r="CG29" s="228">
        <v>688</v>
      </c>
      <c r="CH29" s="228">
        <v>590</v>
      </c>
      <c r="CI29" s="228">
        <v>98</v>
      </c>
      <c r="CJ29" s="229">
        <v>0.16689999999999999</v>
      </c>
      <c r="CK29" s="228">
        <v>66</v>
      </c>
      <c r="CL29" s="228">
        <v>65</v>
      </c>
      <c r="CM29" s="228">
        <v>1</v>
      </c>
      <c r="CN29" s="229">
        <v>1.2699999999999999E-2</v>
      </c>
      <c r="CO29" s="230">
        <v>3603</v>
      </c>
      <c r="CP29" s="230">
        <v>3624</v>
      </c>
      <c r="CQ29" s="228">
        <v>-21</v>
      </c>
      <c r="CR29" s="229">
        <v>-5.8999999999999999E-3</v>
      </c>
      <c r="CS29" s="230">
        <v>1642</v>
      </c>
      <c r="CT29" s="230">
        <v>1656</v>
      </c>
      <c r="CU29" s="228">
        <v>-14</v>
      </c>
      <c r="CV29" s="229">
        <v>-8.6E-3</v>
      </c>
      <c r="CW29" s="230">
        <v>9993</v>
      </c>
      <c r="CX29" s="230">
        <v>9968</v>
      </c>
      <c r="CY29" s="228">
        <v>25</v>
      </c>
      <c r="CZ29" s="229">
        <v>2.5000000000000001E-3</v>
      </c>
      <c r="DA29" s="228">
        <v>24.13</v>
      </c>
      <c r="DB29" s="228">
        <v>25.52</v>
      </c>
      <c r="DC29" s="228">
        <v>-1.39</v>
      </c>
      <c r="DD29" s="228">
        <v>-1.39</v>
      </c>
      <c r="DE29" s="228">
        <v>36.17</v>
      </c>
      <c r="DF29" s="228">
        <v>36.25</v>
      </c>
      <c r="DG29" s="228">
        <v>-12.04</v>
      </c>
      <c r="DH29" s="228">
        <v>-0.08</v>
      </c>
      <c r="DI29" s="228">
        <v>25.08</v>
      </c>
      <c r="DJ29" s="228">
        <v>26.63</v>
      </c>
      <c r="DK29" s="228">
        <v>-1.55</v>
      </c>
      <c r="DL29" s="228">
        <v>-1.55</v>
      </c>
      <c r="DM29" s="228">
        <v>21.72</v>
      </c>
      <c r="DN29" s="228">
        <v>22.93</v>
      </c>
      <c r="DO29" s="228">
        <v>-1.21</v>
      </c>
      <c r="DP29" s="228">
        <v>-1.21</v>
      </c>
      <c r="DQ29" s="228">
        <v>0.46</v>
      </c>
      <c r="DR29" s="228">
        <v>0.46</v>
      </c>
      <c r="DS29" s="228">
        <v>0</v>
      </c>
      <c r="DT29" s="229">
        <v>0</v>
      </c>
      <c r="DU29" s="228">
        <v>420</v>
      </c>
      <c r="DV29" s="228">
        <v>410</v>
      </c>
      <c r="DW29" s="228">
        <v>0.39</v>
      </c>
      <c r="DX29" s="228">
        <v>0.43</v>
      </c>
      <c r="DY29" s="228">
        <v>-0.04</v>
      </c>
      <c r="DZ29" s="229">
        <v>-9.2999999999999999E-2</v>
      </c>
      <c r="EA29" s="229">
        <v>0.1588</v>
      </c>
      <c r="EB29" s="230">
        <v>16927575</v>
      </c>
      <c r="EC29" s="229">
        <v>5.8999999999999999E-3</v>
      </c>
      <c r="ED29" s="229">
        <v>0.1588</v>
      </c>
      <c r="EE29" s="228">
        <v>2.3199999999999998</v>
      </c>
      <c r="EF29" s="229">
        <v>6.0000000000000001E-3</v>
      </c>
      <c r="EG29" s="230">
        <v>4126732</v>
      </c>
      <c r="EH29" s="230">
        <v>4865368</v>
      </c>
      <c r="EI29" s="229">
        <v>-0.15179999999999999</v>
      </c>
      <c r="EJ29" s="229">
        <v>0.60560000000000003</v>
      </c>
      <c r="EK29" s="231">
        <v>2686.28</v>
      </c>
      <c r="EL29" s="228">
        <v>995.58</v>
      </c>
      <c r="EM29" s="228">
        <v>553.12</v>
      </c>
      <c r="EN29" s="228">
        <v>86.66</v>
      </c>
      <c r="EO29" s="231">
        <v>4234.9799999999996</v>
      </c>
      <c r="EP29" s="231">
        <v>4620.3599999999997</v>
      </c>
      <c r="EQ29" s="228">
        <v>-385.38</v>
      </c>
      <c r="ER29" s="229">
        <v>-8.3400000000000002E-2</v>
      </c>
      <c r="ES29" s="231">
        <v>3892.12</v>
      </c>
      <c r="ET29" s="231">
        <v>1673.23</v>
      </c>
      <c r="EU29" s="231">
        <v>4753.38</v>
      </c>
      <c r="EV29" s="231">
        <v>535778534</v>
      </c>
      <c r="EW29" s="231">
        <v>10318.74</v>
      </c>
      <c r="EX29" s="231">
        <v>10322.44</v>
      </c>
      <c r="EY29" s="228">
        <v>-3.7</v>
      </c>
      <c r="EZ29" s="229">
        <v>-4.0000000000000002E-4</v>
      </c>
      <c r="FA29" s="229">
        <v>0.48209999999999997</v>
      </c>
      <c r="FB29" s="227" t="s">
        <v>567</v>
      </c>
      <c r="FC29" s="195">
        <f t="shared" si="0"/>
        <v>755</v>
      </c>
    </row>
    <row r="30" spans="1:159" ht="17.25" thickBot="1" x14ac:dyDescent="0.3">
      <c r="A30" s="226">
        <v>46008</v>
      </c>
      <c r="B30" s="227" t="s">
        <v>162</v>
      </c>
      <c r="C30" s="227" t="s">
        <v>187</v>
      </c>
      <c r="D30" s="228">
        <v>500</v>
      </c>
      <c r="E30" s="228">
        <v>13</v>
      </c>
      <c r="F30" s="231">
        <v>1417.3</v>
      </c>
      <c r="G30" s="231">
        <v>1419.4</v>
      </c>
      <c r="H30" s="228">
        <v>-2.1</v>
      </c>
      <c r="I30" s="229">
        <v>-1.5E-3</v>
      </c>
      <c r="J30" s="231">
        <v>1413.3</v>
      </c>
      <c r="K30" s="231">
        <v>1417.4</v>
      </c>
      <c r="L30" s="228">
        <v>-4.0999999999999996</v>
      </c>
      <c r="M30" s="229">
        <v>-2.8999999999999998E-3</v>
      </c>
      <c r="N30" s="231">
        <v>1417.3</v>
      </c>
      <c r="O30" s="231">
        <v>1419.4</v>
      </c>
      <c r="P30" s="228">
        <v>-2.1</v>
      </c>
      <c r="Q30" s="229">
        <v>-1.5E-3</v>
      </c>
      <c r="R30" s="231">
        <v>1422.5</v>
      </c>
      <c r="S30" s="231">
        <v>1425.4</v>
      </c>
      <c r="T30" s="228">
        <v>-2.9</v>
      </c>
      <c r="U30" s="229">
        <v>-2E-3</v>
      </c>
      <c r="V30" s="231">
        <v>1422.8</v>
      </c>
      <c r="W30" s="231">
        <v>1426.4</v>
      </c>
      <c r="X30" s="228">
        <v>-3.6</v>
      </c>
      <c r="Y30" s="229">
        <v>-2.5000000000000001E-3</v>
      </c>
      <c r="Z30" s="228">
        <v>4</v>
      </c>
      <c r="AA30" s="228">
        <v>2</v>
      </c>
      <c r="AB30" s="228">
        <v>2</v>
      </c>
      <c r="AC30" s="229">
        <v>2.8E-3</v>
      </c>
      <c r="AD30" s="228">
        <v>4</v>
      </c>
      <c r="AE30" s="228">
        <v>2</v>
      </c>
      <c r="AF30" s="228">
        <v>2</v>
      </c>
      <c r="AG30" s="229">
        <v>2.8E-3</v>
      </c>
      <c r="AH30" s="228">
        <v>9.1999999999999993</v>
      </c>
      <c r="AI30" s="228">
        <v>8</v>
      </c>
      <c r="AJ30" s="228">
        <v>1.2</v>
      </c>
      <c r="AK30" s="229">
        <v>6.4999999999999997E-3</v>
      </c>
      <c r="AL30" s="228">
        <v>9.5</v>
      </c>
      <c r="AM30" s="228">
        <v>9</v>
      </c>
      <c r="AN30" s="228">
        <v>0.5</v>
      </c>
      <c r="AO30" s="229">
        <v>6.7000000000000002E-3</v>
      </c>
      <c r="AP30" s="231">
        <v>1415.37</v>
      </c>
      <c r="AQ30" s="231">
        <v>1420.9</v>
      </c>
      <c r="AR30" s="228">
        <v>0</v>
      </c>
      <c r="AS30" s="228">
        <v>195</v>
      </c>
      <c r="AT30" s="228">
        <v>207</v>
      </c>
      <c r="AU30" s="228">
        <v>-12</v>
      </c>
      <c r="AV30" s="229">
        <v>-5.8299999999999998E-2</v>
      </c>
      <c r="AW30" s="228">
        <v>159</v>
      </c>
      <c r="AX30" s="228">
        <v>177</v>
      </c>
      <c r="AY30" s="228">
        <v>-18</v>
      </c>
      <c r="AZ30" s="229">
        <v>-0.1022</v>
      </c>
      <c r="BA30" s="228">
        <v>35</v>
      </c>
      <c r="BB30" s="228">
        <v>22</v>
      </c>
      <c r="BC30" s="228">
        <v>13</v>
      </c>
      <c r="BD30" s="229">
        <v>0.56330000000000002</v>
      </c>
      <c r="BE30" s="228">
        <v>1</v>
      </c>
      <c r="BF30" s="228">
        <v>8</v>
      </c>
      <c r="BG30" s="228">
        <v>-7</v>
      </c>
      <c r="BH30" s="229">
        <v>-0.87739999999999996</v>
      </c>
      <c r="BI30" s="228">
        <v>522</v>
      </c>
      <c r="BJ30" s="228">
        <v>739</v>
      </c>
      <c r="BK30" s="228">
        <v>-217</v>
      </c>
      <c r="BL30" s="229">
        <v>-0.29389999999999999</v>
      </c>
      <c r="BM30" s="228">
        <v>228</v>
      </c>
      <c r="BN30" s="228">
        <v>267</v>
      </c>
      <c r="BO30" s="228">
        <v>-39</v>
      </c>
      <c r="BP30" s="229">
        <v>-0.14699999999999999</v>
      </c>
      <c r="BQ30" s="228">
        <v>944</v>
      </c>
      <c r="BR30" s="230">
        <v>1212</v>
      </c>
      <c r="BS30" s="228">
        <v>-268</v>
      </c>
      <c r="BT30" s="229">
        <v>-0.22140000000000001</v>
      </c>
      <c r="BU30" s="230">
        <v>287755</v>
      </c>
      <c r="BV30" s="230">
        <v>431405</v>
      </c>
      <c r="BW30" s="230">
        <v>-143650</v>
      </c>
      <c r="BX30" s="229">
        <v>-0.33300000000000002</v>
      </c>
      <c r="BY30" s="230">
        <v>1122</v>
      </c>
      <c r="BZ30" s="230">
        <v>1101</v>
      </c>
      <c r="CA30" s="228">
        <v>21</v>
      </c>
      <c r="CB30" s="229">
        <v>1.8800000000000001E-2</v>
      </c>
      <c r="CC30" s="230">
        <v>1024</v>
      </c>
      <c r="CD30" s="230">
        <v>1024</v>
      </c>
      <c r="CE30" s="228">
        <v>-1</v>
      </c>
      <c r="CF30" s="229">
        <v>-5.9999999999999995E-4</v>
      </c>
      <c r="CG30" s="228">
        <v>89</v>
      </c>
      <c r="CH30" s="228">
        <v>67</v>
      </c>
      <c r="CI30" s="228">
        <v>21</v>
      </c>
      <c r="CJ30" s="229">
        <v>0.31440000000000001</v>
      </c>
      <c r="CK30" s="228">
        <v>9</v>
      </c>
      <c r="CL30" s="228">
        <v>9</v>
      </c>
      <c r="CM30" s="228">
        <v>0</v>
      </c>
      <c r="CN30" s="229">
        <v>1.5299999999999999E-2</v>
      </c>
      <c r="CO30" s="228">
        <v>511</v>
      </c>
      <c r="CP30" s="228">
        <v>506</v>
      </c>
      <c r="CQ30" s="228">
        <v>6</v>
      </c>
      <c r="CR30" s="229">
        <v>1.14E-2</v>
      </c>
      <c r="CS30" s="228">
        <v>319</v>
      </c>
      <c r="CT30" s="228">
        <v>313</v>
      </c>
      <c r="CU30" s="228">
        <v>7</v>
      </c>
      <c r="CV30" s="229">
        <v>2.1100000000000001E-2</v>
      </c>
      <c r="CW30" s="230">
        <v>1952</v>
      </c>
      <c r="CX30" s="230">
        <v>1919</v>
      </c>
      <c r="CY30" s="228">
        <v>33</v>
      </c>
      <c r="CZ30" s="229">
        <v>1.72E-2</v>
      </c>
      <c r="DA30" s="228">
        <v>24</v>
      </c>
      <c r="DB30" s="228">
        <v>24.01</v>
      </c>
      <c r="DC30" s="228">
        <v>-0.01</v>
      </c>
      <c r="DD30" s="228">
        <v>-0.01</v>
      </c>
      <c r="DE30" s="228">
        <v>37.15</v>
      </c>
      <c r="DF30" s="228">
        <v>37.24</v>
      </c>
      <c r="DG30" s="228">
        <v>-13.15</v>
      </c>
      <c r="DH30" s="228">
        <v>-0.09</v>
      </c>
      <c r="DI30" s="228">
        <v>23.78</v>
      </c>
      <c r="DJ30" s="228">
        <v>23.91</v>
      </c>
      <c r="DK30" s="228">
        <v>-0.13</v>
      </c>
      <c r="DL30" s="228">
        <v>-0.13</v>
      </c>
      <c r="DM30" s="228">
        <v>24.51</v>
      </c>
      <c r="DN30" s="228">
        <v>24.31</v>
      </c>
      <c r="DO30" s="228">
        <v>0.2</v>
      </c>
      <c r="DP30" s="228">
        <v>0.2</v>
      </c>
      <c r="DQ30" s="228">
        <v>0.62</v>
      </c>
      <c r="DR30" s="228">
        <v>0.62</v>
      </c>
      <c r="DS30" s="228">
        <v>0</v>
      </c>
      <c r="DT30" s="229">
        <v>0</v>
      </c>
      <c r="DU30" s="231">
        <v>1400</v>
      </c>
      <c r="DV30" s="231">
        <v>1400</v>
      </c>
      <c r="DW30" s="228">
        <v>0.44</v>
      </c>
      <c r="DX30" s="228">
        <v>0.36</v>
      </c>
      <c r="DY30" s="228">
        <v>0.08</v>
      </c>
      <c r="DZ30" s="229">
        <v>0.22220000000000001</v>
      </c>
      <c r="EA30" s="229">
        <v>8.7400000000000005E-2</v>
      </c>
      <c r="EB30" s="230">
        <v>541000</v>
      </c>
      <c r="EC30" s="229">
        <v>3.7000000000000002E-3</v>
      </c>
      <c r="ED30" s="229">
        <v>8.7400000000000005E-2</v>
      </c>
      <c r="EE30" s="228">
        <v>5.53</v>
      </c>
      <c r="EF30" s="229">
        <v>3.8999999999999998E-3</v>
      </c>
      <c r="EG30" s="230">
        <v>101321</v>
      </c>
      <c r="EH30" s="230">
        <v>195527</v>
      </c>
      <c r="EI30" s="229">
        <v>-0.48180000000000001</v>
      </c>
      <c r="EJ30" s="229">
        <v>0.35210000000000002</v>
      </c>
      <c r="EK30" s="228">
        <v>536.05999999999995</v>
      </c>
      <c r="EL30" s="228">
        <v>222.55</v>
      </c>
      <c r="EM30" s="228">
        <v>194.47</v>
      </c>
      <c r="EN30" s="228">
        <v>29.52</v>
      </c>
      <c r="EO30" s="228">
        <v>953.08</v>
      </c>
      <c r="EP30" s="231">
        <v>1231.22</v>
      </c>
      <c r="EQ30" s="228">
        <v>-278.13</v>
      </c>
      <c r="ER30" s="229">
        <v>-0.22589999999999999</v>
      </c>
      <c r="ES30" s="228">
        <v>528.13</v>
      </c>
      <c r="ET30" s="228">
        <v>306.14999999999998</v>
      </c>
      <c r="EU30" s="231">
        <v>1121.8699999999999</v>
      </c>
      <c r="EV30" s="231">
        <v>35155737</v>
      </c>
      <c r="EW30" s="231">
        <v>1956.16</v>
      </c>
      <c r="EX30" s="231">
        <v>1925.03</v>
      </c>
      <c r="EY30" s="228">
        <v>31.13</v>
      </c>
      <c r="EZ30" s="229">
        <v>1.6199999999999999E-2</v>
      </c>
      <c r="FA30" s="229">
        <v>0.39179999999999998</v>
      </c>
      <c r="FB30" s="227" t="s">
        <v>567</v>
      </c>
      <c r="FC30">
        <f t="shared" si="0"/>
        <v>98</v>
      </c>
    </row>
    <row r="31" spans="1:159" ht="17.25" thickBot="1" x14ac:dyDescent="0.3">
      <c r="A31" s="226">
        <v>46008</v>
      </c>
      <c r="B31" s="227" t="s">
        <v>188</v>
      </c>
      <c r="C31" s="227" t="s">
        <v>189</v>
      </c>
      <c r="D31" s="228">
        <v>475</v>
      </c>
      <c r="E31" s="228">
        <v>13</v>
      </c>
      <c r="F31" s="231">
        <v>2109.1</v>
      </c>
      <c r="G31" s="231">
        <v>2105</v>
      </c>
      <c r="H31" s="228">
        <v>4.0999999999999996</v>
      </c>
      <c r="I31" s="229">
        <v>1.9E-3</v>
      </c>
      <c r="J31" s="231">
        <v>2108</v>
      </c>
      <c r="K31" s="231">
        <v>2102</v>
      </c>
      <c r="L31" s="228">
        <v>6</v>
      </c>
      <c r="M31" s="229">
        <v>2.8999999999999998E-3</v>
      </c>
      <c r="N31" s="231">
        <v>2109.1</v>
      </c>
      <c r="O31" s="231">
        <v>2105</v>
      </c>
      <c r="P31" s="228">
        <v>4.0999999999999996</v>
      </c>
      <c r="Q31" s="229">
        <v>1.9E-3</v>
      </c>
      <c r="R31" s="231">
        <v>2122.5</v>
      </c>
      <c r="S31" s="231">
        <v>2117.9</v>
      </c>
      <c r="T31" s="228">
        <v>4.5999999999999996</v>
      </c>
      <c r="U31" s="229">
        <v>2.2000000000000001E-3</v>
      </c>
      <c r="V31" s="231">
        <v>2135</v>
      </c>
      <c r="W31" s="231">
        <v>2130.3000000000002</v>
      </c>
      <c r="X31" s="228">
        <v>4.7</v>
      </c>
      <c r="Y31" s="229">
        <v>2.2000000000000001E-3</v>
      </c>
      <c r="Z31" s="228">
        <v>1.1000000000000001</v>
      </c>
      <c r="AA31" s="228">
        <v>3</v>
      </c>
      <c r="AB31" s="228">
        <v>-1.9</v>
      </c>
      <c r="AC31" s="229">
        <v>5.0000000000000001E-4</v>
      </c>
      <c r="AD31" s="228">
        <v>1.1000000000000001</v>
      </c>
      <c r="AE31" s="228">
        <v>3</v>
      </c>
      <c r="AF31" s="228">
        <v>-1.9</v>
      </c>
      <c r="AG31" s="229">
        <v>5.0000000000000001E-4</v>
      </c>
      <c r="AH31" s="228">
        <v>14.5</v>
      </c>
      <c r="AI31" s="228">
        <v>15.9</v>
      </c>
      <c r="AJ31" s="228">
        <v>-1.4</v>
      </c>
      <c r="AK31" s="229">
        <v>6.8999999999999999E-3</v>
      </c>
      <c r="AL31" s="228">
        <v>27</v>
      </c>
      <c r="AM31" s="228">
        <v>28.3</v>
      </c>
      <c r="AN31" s="228">
        <v>-1.3</v>
      </c>
      <c r="AO31" s="229">
        <v>1.2800000000000001E-2</v>
      </c>
      <c r="AP31" s="231">
        <v>2107.4499999999998</v>
      </c>
      <c r="AQ31" s="231">
        <v>2119.4</v>
      </c>
      <c r="AR31" s="228">
        <v>0</v>
      </c>
      <c r="AS31" s="228">
        <v>851</v>
      </c>
      <c r="AT31" s="230">
        <v>1167</v>
      </c>
      <c r="AU31" s="228">
        <v>-316</v>
      </c>
      <c r="AV31" s="229">
        <v>-0.2707</v>
      </c>
      <c r="AW31" s="228">
        <v>729</v>
      </c>
      <c r="AX31" s="230">
        <v>1072</v>
      </c>
      <c r="AY31" s="228">
        <v>-343</v>
      </c>
      <c r="AZ31" s="229">
        <v>-0.31990000000000002</v>
      </c>
      <c r="BA31" s="228">
        <v>121</v>
      </c>
      <c r="BB31" s="228">
        <v>90</v>
      </c>
      <c r="BC31" s="228">
        <v>31</v>
      </c>
      <c r="BD31" s="229">
        <v>0.3463</v>
      </c>
      <c r="BE31" s="228">
        <v>1</v>
      </c>
      <c r="BF31" s="228">
        <v>5</v>
      </c>
      <c r="BG31" s="228">
        <v>-4</v>
      </c>
      <c r="BH31" s="229">
        <v>-0.79249999999999998</v>
      </c>
      <c r="BI31" s="230">
        <v>4634</v>
      </c>
      <c r="BJ31" s="230">
        <v>8857</v>
      </c>
      <c r="BK31" s="230">
        <v>-4223</v>
      </c>
      <c r="BL31" s="229">
        <v>-0.4768</v>
      </c>
      <c r="BM31" s="230">
        <v>2365</v>
      </c>
      <c r="BN31" s="230">
        <v>3826</v>
      </c>
      <c r="BO31" s="230">
        <v>-1461</v>
      </c>
      <c r="BP31" s="229">
        <v>-0.38179999999999997</v>
      </c>
      <c r="BQ31" s="230">
        <v>7850</v>
      </c>
      <c r="BR31" s="230">
        <v>13850</v>
      </c>
      <c r="BS31" s="230">
        <v>-5999</v>
      </c>
      <c r="BT31" s="229">
        <v>-0.43319999999999997</v>
      </c>
      <c r="BU31" s="230">
        <v>6493502</v>
      </c>
      <c r="BV31" s="230">
        <v>5840896</v>
      </c>
      <c r="BW31" s="230">
        <v>652606</v>
      </c>
      <c r="BX31" s="229">
        <v>0.11169999999999999</v>
      </c>
      <c r="BY31" s="230">
        <v>9824</v>
      </c>
      <c r="BZ31" s="230">
        <v>10006</v>
      </c>
      <c r="CA31" s="228">
        <v>-182</v>
      </c>
      <c r="CB31" s="229">
        <v>-1.8200000000000001E-2</v>
      </c>
      <c r="CC31" s="230">
        <v>8795</v>
      </c>
      <c r="CD31" s="230">
        <v>9053</v>
      </c>
      <c r="CE31" s="228">
        <v>-258</v>
      </c>
      <c r="CF31" s="229">
        <v>-2.8500000000000001E-2</v>
      </c>
      <c r="CG31" s="228">
        <v>967</v>
      </c>
      <c r="CH31" s="228">
        <v>891</v>
      </c>
      <c r="CI31" s="228">
        <v>76</v>
      </c>
      <c r="CJ31" s="229">
        <v>8.5500000000000007E-2</v>
      </c>
      <c r="CK31" s="228">
        <v>62</v>
      </c>
      <c r="CL31" s="228">
        <v>62</v>
      </c>
      <c r="CM31" s="228">
        <v>0</v>
      </c>
      <c r="CN31" s="229">
        <v>6.4999999999999997E-3</v>
      </c>
      <c r="CO31" s="230">
        <v>4059</v>
      </c>
      <c r="CP31" s="230">
        <v>4160</v>
      </c>
      <c r="CQ31" s="228">
        <v>-101</v>
      </c>
      <c r="CR31" s="229">
        <v>-2.4199999999999999E-2</v>
      </c>
      <c r="CS31" s="230">
        <v>2024</v>
      </c>
      <c r="CT31" s="230">
        <v>2041</v>
      </c>
      <c r="CU31" s="228">
        <v>-17</v>
      </c>
      <c r="CV31" s="229">
        <v>-8.5000000000000006E-3</v>
      </c>
      <c r="CW31" s="230">
        <v>15907</v>
      </c>
      <c r="CX31" s="230">
        <v>16207</v>
      </c>
      <c r="CY31" s="228">
        <v>-300</v>
      </c>
      <c r="CZ31" s="229">
        <v>-1.8499999999999999E-2</v>
      </c>
      <c r="DA31" s="228">
        <v>16.13</v>
      </c>
      <c r="DB31" s="228">
        <v>16.45</v>
      </c>
      <c r="DC31" s="228">
        <v>-0.32</v>
      </c>
      <c r="DD31" s="228">
        <v>-0.32</v>
      </c>
      <c r="DE31" s="228">
        <v>24.59</v>
      </c>
      <c r="DF31" s="228">
        <v>24.65</v>
      </c>
      <c r="DG31" s="228">
        <v>-8.4600000000000009</v>
      </c>
      <c r="DH31" s="228">
        <v>-0.06</v>
      </c>
      <c r="DI31" s="228">
        <v>15.98</v>
      </c>
      <c r="DJ31" s="228">
        <v>16.32</v>
      </c>
      <c r="DK31" s="228">
        <v>-0.34</v>
      </c>
      <c r="DL31" s="228">
        <v>-0.34</v>
      </c>
      <c r="DM31" s="228">
        <v>16.41</v>
      </c>
      <c r="DN31" s="228">
        <v>16.760000000000002</v>
      </c>
      <c r="DO31" s="228">
        <v>-0.35</v>
      </c>
      <c r="DP31" s="228">
        <v>-0.35</v>
      </c>
      <c r="DQ31" s="228">
        <v>0.5</v>
      </c>
      <c r="DR31" s="228">
        <v>0.49</v>
      </c>
      <c r="DS31" s="228">
        <v>0.01</v>
      </c>
      <c r="DT31" s="229">
        <v>2.0400000000000001E-2</v>
      </c>
      <c r="DU31" s="231">
        <v>2200</v>
      </c>
      <c r="DV31" s="231">
        <v>2000</v>
      </c>
      <c r="DW31" s="228">
        <v>0.51</v>
      </c>
      <c r="DX31" s="228">
        <v>0.43</v>
      </c>
      <c r="DY31" s="228">
        <v>0.08</v>
      </c>
      <c r="DZ31" s="229">
        <v>0.186</v>
      </c>
      <c r="EA31" s="229">
        <v>0.1047</v>
      </c>
      <c r="EB31" s="230">
        <v>4515825</v>
      </c>
      <c r="EC31" s="229">
        <v>6.4000000000000003E-3</v>
      </c>
      <c r="ED31" s="229">
        <v>0.1047</v>
      </c>
      <c r="EE31" s="228">
        <v>11.95</v>
      </c>
      <c r="EF31" s="229">
        <v>5.7000000000000002E-3</v>
      </c>
      <c r="EG31" s="230">
        <v>4295437</v>
      </c>
      <c r="EH31" s="230">
        <v>3143938</v>
      </c>
      <c r="EI31" s="229">
        <v>0.36630000000000001</v>
      </c>
      <c r="EJ31" s="229">
        <v>0.66149999999999998</v>
      </c>
      <c r="EK31" s="231">
        <v>4741.68</v>
      </c>
      <c r="EL31" s="231">
        <v>2331.12</v>
      </c>
      <c r="EM31" s="228">
        <v>850.98</v>
      </c>
      <c r="EN31" s="228">
        <v>93.83</v>
      </c>
      <c r="EO31" s="231">
        <v>7923.78</v>
      </c>
      <c r="EP31" s="231">
        <v>13963.81</v>
      </c>
      <c r="EQ31" s="231">
        <v>-6040.04</v>
      </c>
      <c r="ER31" s="229">
        <v>-0.4325</v>
      </c>
      <c r="ES31" s="231">
        <v>4172.9799999999996</v>
      </c>
      <c r="ET31" s="231">
        <v>1966.85</v>
      </c>
      <c r="EU31" s="231">
        <v>9830.98</v>
      </c>
      <c r="EV31" s="231">
        <v>314058656</v>
      </c>
      <c r="EW31" s="231">
        <v>15970.81</v>
      </c>
      <c r="EX31" s="231">
        <v>16253.16</v>
      </c>
      <c r="EY31" s="228">
        <v>-282.35000000000002</v>
      </c>
      <c r="EZ31" s="229">
        <v>-1.7399999999999999E-2</v>
      </c>
      <c r="FA31" s="229">
        <v>0.24010000000000001</v>
      </c>
      <c r="FB31" s="227" t="s">
        <v>556</v>
      </c>
      <c r="FC31">
        <f t="shared" si="0"/>
        <v>1029</v>
      </c>
    </row>
    <row r="32" spans="1:159" ht="17.25" thickBot="1" x14ac:dyDescent="0.3">
      <c r="A32" s="226">
        <v>46008</v>
      </c>
      <c r="B32" s="227" t="s">
        <v>184</v>
      </c>
      <c r="C32" s="227" t="s">
        <v>190</v>
      </c>
      <c r="D32" s="228">
        <v>2625</v>
      </c>
      <c r="E32" s="228">
        <v>13</v>
      </c>
      <c r="F32" s="228">
        <v>278.75</v>
      </c>
      <c r="G32" s="228">
        <v>280.14999999999998</v>
      </c>
      <c r="H32" s="228">
        <v>-1.4</v>
      </c>
      <c r="I32" s="229">
        <v>-5.0000000000000001E-3</v>
      </c>
      <c r="J32" s="228">
        <v>277.85000000000002</v>
      </c>
      <c r="K32" s="228">
        <v>279.35000000000002</v>
      </c>
      <c r="L32" s="228">
        <v>-1.5</v>
      </c>
      <c r="M32" s="229">
        <v>-5.4000000000000003E-3</v>
      </c>
      <c r="N32" s="228">
        <v>278.75</v>
      </c>
      <c r="O32" s="228">
        <v>280.14999999999998</v>
      </c>
      <c r="P32" s="228">
        <v>-1.4</v>
      </c>
      <c r="Q32" s="229">
        <v>-5.0000000000000001E-3</v>
      </c>
      <c r="R32" s="228">
        <v>280.55</v>
      </c>
      <c r="S32" s="228">
        <v>281.95</v>
      </c>
      <c r="T32" s="228">
        <v>-1.4</v>
      </c>
      <c r="U32" s="229">
        <v>-5.0000000000000001E-3</v>
      </c>
      <c r="V32" s="228">
        <v>280.64999999999998</v>
      </c>
      <c r="W32" s="228">
        <v>283.60000000000002</v>
      </c>
      <c r="X32" s="228">
        <v>-2.95</v>
      </c>
      <c r="Y32" s="229">
        <v>-1.04E-2</v>
      </c>
      <c r="Z32" s="228">
        <v>0.9</v>
      </c>
      <c r="AA32" s="228">
        <v>0.8</v>
      </c>
      <c r="AB32" s="228">
        <v>0.1</v>
      </c>
      <c r="AC32" s="229">
        <v>3.2000000000000002E-3</v>
      </c>
      <c r="AD32" s="228">
        <v>0.9</v>
      </c>
      <c r="AE32" s="228">
        <v>0.8</v>
      </c>
      <c r="AF32" s="228">
        <v>0.1</v>
      </c>
      <c r="AG32" s="229">
        <v>3.2000000000000002E-3</v>
      </c>
      <c r="AH32" s="228">
        <v>2.7</v>
      </c>
      <c r="AI32" s="228">
        <v>2.6</v>
      </c>
      <c r="AJ32" s="228">
        <v>0.1</v>
      </c>
      <c r="AK32" s="229">
        <v>9.7000000000000003E-3</v>
      </c>
      <c r="AL32" s="228">
        <v>2.8</v>
      </c>
      <c r="AM32" s="228">
        <v>4.25</v>
      </c>
      <c r="AN32" s="228">
        <v>-1.45</v>
      </c>
      <c r="AO32" s="229">
        <v>1.01E-2</v>
      </c>
      <c r="AP32" s="228">
        <v>278.24</v>
      </c>
      <c r="AQ32" s="228">
        <v>280.10000000000002</v>
      </c>
      <c r="AR32" s="228">
        <v>0</v>
      </c>
      <c r="AS32" s="228">
        <v>222</v>
      </c>
      <c r="AT32" s="228">
        <v>358</v>
      </c>
      <c r="AU32" s="228">
        <v>-135</v>
      </c>
      <c r="AV32" s="229">
        <v>-0.37790000000000001</v>
      </c>
      <c r="AW32" s="228">
        <v>194</v>
      </c>
      <c r="AX32" s="228">
        <v>292</v>
      </c>
      <c r="AY32" s="228">
        <v>-97</v>
      </c>
      <c r="AZ32" s="229">
        <v>-0.33339999999999997</v>
      </c>
      <c r="BA32" s="228">
        <v>26</v>
      </c>
      <c r="BB32" s="228">
        <v>46</v>
      </c>
      <c r="BC32" s="228">
        <v>-19</v>
      </c>
      <c r="BD32" s="229">
        <v>-0.41799999999999998</v>
      </c>
      <c r="BE32" s="228">
        <v>2</v>
      </c>
      <c r="BF32" s="228">
        <v>20</v>
      </c>
      <c r="BG32" s="228">
        <v>-19</v>
      </c>
      <c r="BH32" s="229">
        <v>-0.92469999999999997</v>
      </c>
      <c r="BI32" s="230">
        <v>1113</v>
      </c>
      <c r="BJ32" s="230">
        <v>1285</v>
      </c>
      <c r="BK32" s="228">
        <v>-173</v>
      </c>
      <c r="BL32" s="229">
        <v>-0.1343</v>
      </c>
      <c r="BM32" s="228">
        <v>357</v>
      </c>
      <c r="BN32" s="228">
        <v>606</v>
      </c>
      <c r="BO32" s="228">
        <v>-249</v>
      </c>
      <c r="BP32" s="229">
        <v>-0.41060000000000002</v>
      </c>
      <c r="BQ32" s="230">
        <v>1692</v>
      </c>
      <c r="BR32" s="230">
        <v>2249</v>
      </c>
      <c r="BS32" s="228">
        <v>-556</v>
      </c>
      <c r="BT32" s="229">
        <v>-0.24740000000000001</v>
      </c>
      <c r="BU32" s="230">
        <v>3358254</v>
      </c>
      <c r="BV32" s="230">
        <v>5451253</v>
      </c>
      <c r="BW32" s="230">
        <v>-2092999</v>
      </c>
      <c r="BX32" s="229">
        <v>-0.38390000000000002</v>
      </c>
      <c r="BY32" s="230">
        <v>1773</v>
      </c>
      <c r="BZ32" s="230">
        <v>1785</v>
      </c>
      <c r="CA32" s="228">
        <v>-12</v>
      </c>
      <c r="CB32" s="229">
        <v>-6.4999999999999997E-3</v>
      </c>
      <c r="CC32" s="230">
        <v>1659</v>
      </c>
      <c r="CD32" s="230">
        <v>1677</v>
      </c>
      <c r="CE32" s="228">
        <v>-18</v>
      </c>
      <c r="CF32" s="229">
        <v>-1.0999999999999999E-2</v>
      </c>
      <c r="CG32" s="228">
        <v>100</v>
      </c>
      <c r="CH32" s="228">
        <v>94</v>
      </c>
      <c r="CI32" s="228">
        <v>7</v>
      </c>
      <c r="CJ32" s="229">
        <v>7.1099999999999997E-2</v>
      </c>
      <c r="CK32" s="228">
        <v>14</v>
      </c>
      <c r="CL32" s="228">
        <v>14</v>
      </c>
      <c r="CM32" s="228">
        <v>0</v>
      </c>
      <c r="CN32" s="229">
        <v>1.54E-2</v>
      </c>
      <c r="CO32" s="230">
        <v>1455</v>
      </c>
      <c r="CP32" s="230">
        <v>1391</v>
      </c>
      <c r="CQ32" s="228">
        <v>63</v>
      </c>
      <c r="CR32" s="229">
        <v>4.5600000000000002E-2</v>
      </c>
      <c r="CS32" s="228">
        <v>694</v>
      </c>
      <c r="CT32" s="228">
        <v>693</v>
      </c>
      <c r="CU32" s="228">
        <v>1</v>
      </c>
      <c r="CV32" s="229">
        <v>1.1999999999999999E-3</v>
      </c>
      <c r="CW32" s="230">
        <v>3922</v>
      </c>
      <c r="CX32" s="230">
        <v>3869</v>
      </c>
      <c r="CY32" s="228">
        <v>53</v>
      </c>
      <c r="CZ32" s="229">
        <v>1.3599999999999999E-2</v>
      </c>
      <c r="DA32" s="228">
        <v>28.95</v>
      </c>
      <c r="DB32" s="228">
        <v>28.66</v>
      </c>
      <c r="DC32" s="228">
        <v>0.28999999999999998</v>
      </c>
      <c r="DD32" s="228">
        <v>0.28999999999999998</v>
      </c>
      <c r="DE32" s="228">
        <v>44.34</v>
      </c>
      <c r="DF32" s="228">
        <v>44.44</v>
      </c>
      <c r="DG32" s="228">
        <v>-15.39</v>
      </c>
      <c r="DH32" s="228">
        <v>-0.1</v>
      </c>
      <c r="DI32" s="228">
        <v>29.41</v>
      </c>
      <c r="DJ32" s="228">
        <v>29.32</v>
      </c>
      <c r="DK32" s="228">
        <v>0.09</v>
      </c>
      <c r="DL32" s="228">
        <v>0.09</v>
      </c>
      <c r="DM32" s="228">
        <v>27.51</v>
      </c>
      <c r="DN32" s="228">
        <v>27.26</v>
      </c>
      <c r="DO32" s="228">
        <v>0.25</v>
      </c>
      <c r="DP32" s="228">
        <v>0.25</v>
      </c>
      <c r="DQ32" s="228">
        <v>0.48</v>
      </c>
      <c r="DR32" s="228">
        <v>0.5</v>
      </c>
      <c r="DS32" s="228">
        <v>-0.02</v>
      </c>
      <c r="DT32" s="229">
        <v>-0.04</v>
      </c>
      <c r="DU32" s="228">
        <v>300</v>
      </c>
      <c r="DV32" s="228">
        <v>270</v>
      </c>
      <c r="DW32" s="228">
        <v>0.32</v>
      </c>
      <c r="DX32" s="228">
        <v>0.47</v>
      </c>
      <c r="DY32" s="228">
        <v>-0.15</v>
      </c>
      <c r="DZ32" s="229">
        <v>-0.31909999999999999</v>
      </c>
      <c r="EA32" s="229">
        <v>6.4699999999999994E-2</v>
      </c>
      <c r="EB32" s="230">
        <v>3869250</v>
      </c>
      <c r="EC32" s="229">
        <v>6.4999999999999997E-3</v>
      </c>
      <c r="ED32" s="229">
        <v>6.4699999999999994E-2</v>
      </c>
      <c r="EE32" s="228">
        <v>1.86</v>
      </c>
      <c r="EF32" s="229">
        <v>6.7000000000000002E-3</v>
      </c>
      <c r="EG32" s="230">
        <v>846697</v>
      </c>
      <c r="EH32" s="230">
        <v>2034533</v>
      </c>
      <c r="EI32" s="229">
        <v>-0.58379999999999999</v>
      </c>
      <c r="EJ32" s="229">
        <v>0.25209999999999999</v>
      </c>
      <c r="EK32" s="231">
        <v>1168.6300000000001</v>
      </c>
      <c r="EL32" s="228">
        <v>354.84</v>
      </c>
      <c r="EM32" s="228">
        <v>222.23</v>
      </c>
      <c r="EN32" s="228">
        <v>52.1</v>
      </c>
      <c r="EO32" s="231">
        <v>1745.71</v>
      </c>
      <c r="EP32" s="231">
        <v>2324.19</v>
      </c>
      <c r="EQ32" s="228">
        <v>-578.48</v>
      </c>
      <c r="ER32" s="229">
        <v>-0.24890000000000001</v>
      </c>
      <c r="ES32" s="231">
        <v>1543.26</v>
      </c>
      <c r="ET32" s="228">
        <v>676.63</v>
      </c>
      <c r="EU32" s="231">
        <v>1774.14</v>
      </c>
      <c r="EV32" s="231">
        <v>169029877</v>
      </c>
      <c r="EW32" s="231">
        <v>3994.03</v>
      </c>
      <c r="EX32" s="231">
        <v>3951.29</v>
      </c>
      <c r="EY32" s="228">
        <v>42.74</v>
      </c>
      <c r="EZ32" s="229">
        <v>1.0800000000000001E-2</v>
      </c>
      <c r="FA32" s="229">
        <v>0.83240000000000003</v>
      </c>
      <c r="FB32" s="227" t="s">
        <v>568</v>
      </c>
      <c r="FC32">
        <f t="shared" si="0"/>
        <v>114</v>
      </c>
    </row>
    <row r="33" spans="1:159" ht="17.25" thickBot="1" x14ac:dyDescent="0.3">
      <c r="A33" s="226">
        <v>46008</v>
      </c>
      <c r="B33" s="227" t="s">
        <v>170</v>
      </c>
      <c r="C33" s="227" t="s">
        <v>191</v>
      </c>
      <c r="D33" s="228">
        <v>2500</v>
      </c>
      <c r="E33" s="228">
        <v>13</v>
      </c>
      <c r="F33" s="228">
        <v>386.85</v>
      </c>
      <c r="G33" s="228">
        <v>386.4</v>
      </c>
      <c r="H33" s="228">
        <v>0.45</v>
      </c>
      <c r="I33" s="229">
        <v>1.1999999999999999E-3</v>
      </c>
      <c r="J33" s="228">
        <v>386.1</v>
      </c>
      <c r="K33" s="228">
        <v>384.9</v>
      </c>
      <c r="L33" s="228">
        <v>1.2</v>
      </c>
      <c r="M33" s="229">
        <v>3.0999999999999999E-3</v>
      </c>
      <c r="N33" s="228">
        <v>386.85</v>
      </c>
      <c r="O33" s="228">
        <v>386.4</v>
      </c>
      <c r="P33" s="228">
        <v>0.45</v>
      </c>
      <c r="Q33" s="229">
        <v>1.1999999999999999E-3</v>
      </c>
      <c r="R33" s="228">
        <v>389.4</v>
      </c>
      <c r="S33" s="228">
        <v>388.6</v>
      </c>
      <c r="T33" s="228">
        <v>0.8</v>
      </c>
      <c r="U33" s="229">
        <v>2.0999999999999999E-3</v>
      </c>
      <c r="V33" s="228">
        <v>391.5</v>
      </c>
      <c r="W33" s="228">
        <v>390.75</v>
      </c>
      <c r="X33" s="228">
        <v>0.75</v>
      </c>
      <c r="Y33" s="229">
        <v>1.9E-3</v>
      </c>
      <c r="Z33" s="228">
        <v>0.75</v>
      </c>
      <c r="AA33" s="228">
        <v>1.5</v>
      </c>
      <c r="AB33" s="228">
        <v>-0.75</v>
      </c>
      <c r="AC33" s="229">
        <v>1.9E-3</v>
      </c>
      <c r="AD33" s="228">
        <v>0.75</v>
      </c>
      <c r="AE33" s="228">
        <v>1.5</v>
      </c>
      <c r="AF33" s="228">
        <v>-0.75</v>
      </c>
      <c r="AG33" s="229">
        <v>1.9E-3</v>
      </c>
      <c r="AH33" s="228">
        <v>3.3</v>
      </c>
      <c r="AI33" s="228">
        <v>3.7</v>
      </c>
      <c r="AJ33" s="228">
        <v>-0.4</v>
      </c>
      <c r="AK33" s="229">
        <v>8.5000000000000006E-3</v>
      </c>
      <c r="AL33" s="228">
        <v>5.4</v>
      </c>
      <c r="AM33" s="228">
        <v>5.85</v>
      </c>
      <c r="AN33" s="228">
        <v>-0.45</v>
      </c>
      <c r="AO33" s="229">
        <v>1.4E-2</v>
      </c>
      <c r="AP33" s="228">
        <v>387.25</v>
      </c>
      <c r="AQ33" s="228">
        <v>389.81</v>
      </c>
      <c r="AR33" s="228">
        <v>0</v>
      </c>
      <c r="AS33" s="228">
        <v>143</v>
      </c>
      <c r="AT33" s="228">
        <v>144</v>
      </c>
      <c r="AU33" s="228">
        <v>0</v>
      </c>
      <c r="AV33" s="229">
        <v>-3.3999999999999998E-3</v>
      </c>
      <c r="AW33" s="228">
        <v>125</v>
      </c>
      <c r="AX33" s="228">
        <v>131</v>
      </c>
      <c r="AY33" s="228">
        <v>-7</v>
      </c>
      <c r="AZ33" s="229">
        <v>-5.2200000000000003E-2</v>
      </c>
      <c r="BA33" s="228">
        <v>18</v>
      </c>
      <c r="BB33" s="228">
        <v>12</v>
      </c>
      <c r="BC33" s="228">
        <v>6</v>
      </c>
      <c r="BD33" s="229">
        <v>0.51219999999999999</v>
      </c>
      <c r="BE33" s="228">
        <v>1</v>
      </c>
      <c r="BF33" s="228">
        <v>0</v>
      </c>
      <c r="BG33" s="228">
        <v>0</v>
      </c>
      <c r="BH33" s="229">
        <v>0.6</v>
      </c>
      <c r="BI33" s="228">
        <v>713</v>
      </c>
      <c r="BJ33" s="228">
        <v>608</v>
      </c>
      <c r="BK33" s="228">
        <v>105</v>
      </c>
      <c r="BL33" s="229">
        <v>0.17249999999999999</v>
      </c>
      <c r="BM33" s="228">
        <v>241</v>
      </c>
      <c r="BN33" s="228">
        <v>221</v>
      </c>
      <c r="BO33" s="228">
        <v>20</v>
      </c>
      <c r="BP33" s="229">
        <v>9.0300000000000005E-2</v>
      </c>
      <c r="BQ33" s="230">
        <v>1097</v>
      </c>
      <c r="BR33" s="228">
        <v>973</v>
      </c>
      <c r="BS33" s="228">
        <v>124</v>
      </c>
      <c r="BT33" s="229">
        <v>0.1278</v>
      </c>
      <c r="BU33" s="230">
        <v>1340360</v>
      </c>
      <c r="BV33" s="230">
        <v>1046538</v>
      </c>
      <c r="BW33" s="230">
        <v>293822</v>
      </c>
      <c r="BX33" s="229">
        <v>0.28079999999999999</v>
      </c>
      <c r="BY33" s="230">
        <v>1878</v>
      </c>
      <c r="BZ33" s="230">
        <v>1881</v>
      </c>
      <c r="CA33" s="228">
        <v>-4</v>
      </c>
      <c r="CB33" s="229">
        <v>-1.9E-3</v>
      </c>
      <c r="CC33" s="230">
        <v>1782</v>
      </c>
      <c r="CD33" s="230">
        <v>1792</v>
      </c>
      <c r="CE33" s="228">
        <v>-9</v>
      </c>
      <c r="CF33" s="229">
        <v>-5.1999999999999998E-3</v>
      </c>
      <c r="CG33" s="228">
        <v>86</v>
      </c>
      <c r="CH33" s="228">
        <v>80</v>
      </c>
      <c r="CI33" s="228">
        <v>6</v>
      </c>
      <c r="CJ33" s="229">
        <v>7.7299999999999994E-2</v>
      </c>
      <c r="CK33" s="228">
        <v>9</v>
      </c>
      <c r="CL33" s="228">
        <v>10</v>
      </c>
      <c r="CM33" s="228">
        <v>0</v>
      </c>
      <c r="CN33" s="229">
        <v>-3.9600000000000003E-2</v>
      </c>
      <c r="CO33" s="230">
        <v>1276</v>
      </c>
      <c r="CP33" s="230">
        <v>1313</v>
      </c>
      <c r="CQ33" s="228">
        <v>-37</v>
      </c>
      <c r="CR33" s="229">
        <v>-2.8500000000000001E-2</v>
      </c>
      <c r="CS33" s="228">
        <v>646</v>
      </c>
      <c r="CT33" s="228">
        <v>654</v>
      </c>
      <c r="CU33" s="228">
        <v>-7</v>
      </c>
      <c r="CV33" s="229">
        <v>-1.14E-2</v>
      </c>
      <c r="CW33" s="230">
        <v>3800</v>
      </c>
      <c r="CX33" s="230">
        <v>3849</v>
      </c>
      <c r="CY33" s="228">
        <v>-48</v>
      </c>
      <c r="CZ33" s="229">
        <v>-1.26E-2</v>
      </c>
      <c r="DA33" s="228">
        <v>25.88</v>
      </c>
      <c r="DB33" s="228">
        <v>26.3</v>
      </c>
      <c r="DC33" s="228">
        <v>-0.42</v>
      </c>
      <c r="DD33" s="228">
        <v>-0.42</v>
      </c>
      <c r="DE33" s="228">
        <v>38.56</v>
      </c>
      <c r="DF33" s="228">
        <v>38.65</v>
      </c>
      <c r="DG33" s="228">
        <v>-12.68</v>
      </c>
      <c r="DH33" s="228">
        <v>-0.09</v>
      </c>
      <c r="DI33" s="228">
        <v>26.3</v>
      </c>
      <c r="DJ33" s="228">
        <v>26.67</v>
      </c>
      <c r="DK33" s="228">
        <v>-0.37</v>
      </c>
      <c r="DL33" s="228">
        <v>-0.37</v>
      </c>
      <c r="DM33" s="228">
        <v>24.62</v>
      </c>
      <c r="DN33" s="228">
        <v>25.27</v>
      </c>
      <c r="DO33" s="228">
        <v>-0.65</v>
      </c>
      <c r="DP33" s="228">
        <v>-0.65</v>
      </c>
      <c r="DQ33" s="228">
        <v>0.51</v>
      </c>
      <c r="DR33" s="228">
        <v>0.5</v>
      </c>
      <c r="DS33" s="228">
        <v>0.01</v>
      </c>
      <c r="DT33" s="229">
        <v>0.02</v>
      </c>
      <c r="DU33" s="228">
        <v>400</v>
      </c>
      <c r="DV33" s="228">
        <v>370</v>
      </c>
      <c r="DW33" s="228">
        <v>0.34</v>
      </c>
      <c r="DX33" s="228">
        <v>0.36</v>
      </c>
      <c r="DY33" s="228">
        <v>-0.02</v>
      </c>
      <c r="DZ33" s="229">
        <v>-5.5599999999999997E-2</v>
      </c>
      <c r="EA33" s="229">
        <v>5.0900000000000001E-2</v>
      </c>
      <c r="EB33" s="230">
        <v>2322500</v>
      </c>
      <c r="EC33" s="229">
        <v>6.6E-3</v>
      </c>
      <c r="ED33" s="229">
        <v>5.0900000000000001E-2</v>
      </c>
      <c r="EE33" s="228">
        <v>2.56</v>
      </c>
      <c r="EF33" s="229">
        <v>6.6E-3</v>
      </c>
      <c r="EG33" s="230">
        <v>635232</v>
      </c>
      <c r="EH33" s="230">
        <v>484997</v>
      </c>
      <c r="EI33" s="229">
        <v>0.30980000000000002</v>
      </c>
      <c r="EJ33" s="229">
        <v>0.47389999999999999</v>
      </c>
      <c r="EK33" s="228">
        <v>749.48</v>
      </c>
      <c r="EL33" s="228">
        <v>237.72</v>
      </c>
      <c r="EM33" s="228">
        <v>143.6</v>
      </c>
      <c r="EN33" s="228">
        <v>22.1</v>
      </c>
      <c r="EO33" s="231">
        <v>1130.8</v>
      </c>
      <c r="EP33" s="231">
        <v>1000.07</v>
      </c>
      <c r="EQ33" s="228">
        <v>130.72999999999999</v>
      </c>
      <c r="ER33" s="229">
        <v>0.13070000000000001</v>
      </c>
      <c r="ES33" s="231">
        <v>1363.08</v>
      </c>
      <c r="ET33" s="228">
        <v>633.32000000000005</v>
      </c>
      <c r="EU33" s="231">
        <v>1878.45</v>
      </c>
      <c r="EV33" s="231">
        <v>90981174</v>
      </c>
      <c r="EW33" s="231">
        <v>3874.85</v>
      </c>
      <c r="EX33" s="231">
        <v>3926.12</v>
      </c>
      <c r="EY33" s="228">
        <v>-51.27</v>
      </c>
      <c r="EZ33" s="229">
        <v>-1.3100000000000001E-2</v>
      </c>
      <c r="FA33" s="229">
        <v>1.0797000000000001</v>
      </c>
      <c r="FB33" s="227" t="s">
        <v>556</v>
      </c>
      <c r="FC33">
        <f t="shared" si="0"/>
        <v>96</v>
      </c>
    </row>
    <row r="34" spans="1:159" ht="17.25" thickBot="1" x14ac:dyDescent="0.3">
      <c r="A34" s="226">
        <v>46008</v>
      </c>
      <c r="B34" s="227" t="s">
        <v>184</v>
      </c>
      <c r="C34" s="227" t="s">
        <v>680</v>
      </c>
      <c r="D34" s="228">
        <v>325</v>
      </c>
      <c r="E34" s="228">
        <v>13</v>
      </c>
      <c r="F34" s="231">
        <v>1825.9</v>
      </c>
      <c r="G34" s="231">
        <v>1822</v>
      </c>
      <c r="H34" s="228">
        <v>3.9</v>
      </c>
      <c r="I34" s="229">
        <v>2.0999999999999999E-3</v>
      </c>
      <c r="J34" s="231">
        <v>1826.8</v>
      </c>
      <c r="K34" s="231">
        <v>1815.6</v>
      </c>
      <c r="L34" s="228">
        <v>11.2</v>
      </c>
      <c r="M34" s="229">
        <v>6.1999999999999998E-3</v>
      </c>
      <c r="N34" s="231">
        <v>1825.9</v>
      </c>
      <c r="O34" s="231">
        <v>1822</v>
      </c>
      <c r="P34" s="228">
        <v>3.9</v>
      </c>
      <c r="Q34" s="229">
        <v>2.0999999999999999E-3</v>
      </c>
      <c r="R34" s="231">
        <v>1830.3</v>
      </c>
      <c r="S34" s="231">
        <v>1827.2</v>
      </c>
      <c r="T34" s="228">
        <v>3.1</v>
      </c>
      <c r="U34" s="229">
        <v>1.6999999999999999E-3</v>
      </c>
      <c r="V34" s="231">
        <v>1745</v>
      </c>
      <c r="W34" s="231">
        <v>1745</v>
      </c>
      <c r="X34" s="228">
        <v>0</v>
      </c>
      <c r="Y34" s="229">
        <v>0</v>
      </c>
      <c r="Z34" s="228">
        <v>-0.9</v>
      </c>
      <c r="AA34" s="228">
        <v>6.4</v>
      </c>
      <c r="AB34" s="228">
        <v>-7.3</v>
      </c>
      <c r="AC34" s="229">
        <v>-5.0000000000000001E-4</v>
      </c>
      <c r="AD34" s="228">
        <v>-0.9</v>
      </c>
      <c r="AE34" s="228">
        <v>6.4</v>
      </c>
      <c r="AF34" s="228">
        <v>-7.3</v>
      </c>
      <c r="AG34" s="229">
        <v>-5.0000000000000001E-4</v>
      </c>
      <c r="AH34" s="228">
        <v>3.5</v>
      </c>
      <c r="AI34" s="228">
        <v>11.6</v>
      </c>
      <c r="AJ34" s="228">
        <v>-8.1</v>
      </c>
      <c r="AK34" s="229">
        <v>1.9E-3</v>
      </c>
      <c r="AL34" s="228">
        <v>-81.8</v>
      </c>
      <c r="AM34" s="228">
        <v>-70.599999999999994</v>
      </c>
      <c r="AN34" s="228">
        <v>-11.2</v>
      </c>
      <c r="AO34" s="229">
        <v>-4.48E-2</v>
      </c>
      <c r="AP34" s="231">
        <v>1823.53</v>
      </c>
      <c r="AQ34" s="231">
        <v>1826.43</v>
      </c>
      <c r="AR34" s="228">
        <v>0</v>
      </c>
      <c r="AS34" s="228">
        <v>48</v>
      </c>
      <c r="AT34" s="228">
        <v>72</v>
      </c>
      <c r="AU34" s="228">
        <v>-23</v>
      </c>
      <c r="AV34" s="229">
        <v>-0.32700000000000001</v>
      </c>
      <c r="AW34" s="228">
        <v>43</v>
      </c>
      <c r="AX34" s="228">
        <v>55</v>
      </c>
      <c r="AY34" s="228">
        <v>-12</v>
      </c>
      <c r="AZ34" s="229">
        <v>-0.21790000000000001</v>
      </c>
      <c r="BA34" s="228">
        <v>5</v>
      </c>
      <c r="BB34" s="228">
        <v>17</v>
      </c>
      <c r="BC34" s="228">
        <v>-12</v>
      </c>
      <c r="BD34" s="229">
        <v>-0.68310000000000004</v>
      </c>
      <c r="BE34" s="228">
        <v>0</v>
      </c>
      <c r="BF34" s="228">
        <v>0</v>
      </c>
      <c r="BG34" s="228">
        <v>0</v>
      </c>
      <c r="BH34" s="229">
        <v>0</v>
      </c>
      <c r="BI34" s="228">
        <v>188</v>
      </c>
      <c r="BJ34" s="228">
        <v>129</v>
      </c>
      <c r="BK34" s="228">
        <v>59</v>
      </c>
      <c r="BL34" s="229">
        <v>0.46239999999999998</v>
      </c>
      <c r="BM34" s="228">
        <v>43</v>
      </c>
      <c r="BN34" s="228">
        <v>54</v>
      </c>
      <c r="BO34" s="228">
        <v>-11</v>
      </c>
      <c r="BP34" s="229">
        <v>-0.19670000000000001</v>
      </c>
      <c r="BQ34" s="228">
        <v>280</v>
      </c>
      <c r="BR34" s="228">
        <v>254</v>
      </c>
      <c r="BS34" s="228">
        <v>25</v>
      </c>
      <c r="BT34" s="229">
        <v>9.9900000000000003E-2</v>
      </c>
      <c r="BU34" s="230">
        <v>143765</v>
      </c>
      <c r="BV34" s="230">
        <v>159575</v>
      </c>
      <c r="BW34" s="230">
        <v>-15810</v>
      </c>
      <c r="BX34" s="229">
        <v>-9.9099999999999994E-2</v>
      </c>
      <c r="BY34" s="228">
        <v>436</v>
      </c>
      <c r="BZ34" s="228">
        <v>434</v>
      </c>
      <c r="CA34" s="228">
        <v>3</v>
      </c>
      <c r="CB34" s="229">
        <v>6.1999999999999998E-3</v>
      </c>
      <c r="CC34" s="228">
        <v>402</v>
      </c>
      <c r="CD34" s="228">
        <v>399</v>
      </c>
      <c r="CE34" s="228">
        <v>2</v>
      </c>
      <c r="CF34" s="229">
        <v>5.5999999999999999E-3</v>
      </c>
      <c r="CG34" s="228">
        <v>34</v>
      </c>
      <c r="CH34" s="228">
        <v>34</v>
      </c>
      <c r="CI34" s="228">
        <v>0</v>
      </c>
      <c r="CJ34" s="229">
        <v>1.2200000000000001E-2</v>
      </c>
      <c r="CK34" s="228">
        <v>0</v>
      </c>
      <c r="CL34" s="228">
        <v>0</v>
      </c>
      <c r="CM34" s="228">
        <v>0</v>
      </c>
      <c r="CN34" s="229">
        <v>0</v>
      </c>
      <c r="CO34" s="228">
        <v>136</v>
      </c>
      <c r="CP34" s="228">
        <v>105</v>
      </c>
      <c r="CQ34" s="228">
        <v>31</v>
      </c>
      <c r="CR34" s="229">
        <v>0.29099999999999998</v>
      </c>
      <c r="CS34" s="228">
        <v>95</v>
      </c>
      <c r="CT34" s="228">
        <v>83</v>
      </c>
      <c r="CU34" s="228">
        <v>12</v>
      </c>
      <c r="CV34" s="229">
        <v>0.14510000000000001</v>
      </c>
      <c r="CW34" s="228">
        <v>667</v>
      </c>
      <c r="CX34" s="228">
        <v>622</v>
      </c>
      <c r="CY34" s="228">
        <v>45</v>
      </c>
      <c r="CZ34" s="229">
        <v>7.2900000000000006E-2</v>
      </c>
      <c r="DA34" s="228">
        <v>22.15</v>
      </c>
      <c r="DB34" s="228">
        <v>21.41</v>
      </c>
      <c r="DC34" s="228">
        <v>0.74</v>
      </c>
      <c r="DD34" s="228">
        <v>0.74</v>
      </c>
      <c r="DE34" s="228">
        <v>39.869999999999997</v>
      </c>
      <c r="DF34" s="228">
        <v>39.96</v>
      </c>
      <c r="DG34" s="228">
        <v>-17.72</v>
      </c>
      <c r="DH34" s="228">
        <v>-0.09</v>
      </c>
      <c r="DI34" s="228">
        <v>22.26</v>
      </c>
      <c r="DJ34" s="228">
        <v>21.7</v>
      </c>
      <c r="DK34" s="228">
        <v>0.56000000000000005</v>
      </c>
      <c r="DL34" s="228">
        <v>0.56000000000000005</v>
      </c>
      <c r="DM34" s="228">
        <v>21.68</v>
      </c>
      <c r="DN34" s="228">
        <v>20.69</v>
      </c>
      <c r="DO34" s="228">
        <v>0.99</v>
      </c>
      <c r="DP34" s="228">
        <v>0.99</v>
      </c>
      <c r="DQ34" s="228">
        <v>0.7</v>
      </c>
      <c r="DR34" s="228">
        <v>0.79</v>
      </c>
      <c r="DS34" s="228">
        <v>-0.09</v>
      </c>
      <c r="DT34" s="229">
        <v>-0.1139</v>
      </c>
      <c r="DU34" s="231">
        <v>1880</v>
      </c>
      <c r="DV34" s="231">
        <v>1760</v>
      </c>
      <c r="DW34" s="228">
        <v>0.23</v>
      </c>
      <c r="DX34" s="228">
        <v>0.42</v>
      </c>
      <c r="DY34" s="228">
        <v>-0.19</v>
      </c>
      <c r="DZ34" s="229">
        <v>-0.45240000000000002</v>
      </c>
      <c r="EA34" s="229">
        <v>7.9699999999999993E-2</v>
      </c>
      <c r="EB34" s="230">
        <v>188175</v>
      </c>
      <c r="EC34" s="229">
        <v>2.3999999999999998E-3</v>
      </c>
      <c r="ED34" s="229">
        <v>7.9699999999999993E-2</v>
      </c>
      <c r="EE34" s="228">
        <v>2.9</v>
      </c>
      <c r="EF34" s="229">
        <v>1.6000000000000001E-3</v>
      </c>
      <c r="EG34" s="230">
        <v>89257</v>
      </c>
      <c r="EH34" s="230">
        <v>79548</v>
      </c>
      <c r="EI34" s="229">
        <v>0.1221</v>
      </c>
      <c r="EJ34" s="229">
        <v>0.62090000000000001</v>
      </c>
      <c r="EK34" s="228">
        <v>194.14</v>
      </c>
      <c r="EL34" s="228">
        <v>41.77</v>
      </c>
      <c r="EM34" s="228">
        <v>48.31</v>
      </c>
      <c r="EN34" s="228">
        <v>13</v>
      </c>
      <c r="EO34" s="228">
        <v>284.22000000000003</v>
      </c>
      <c r="EP34" s="228">
        <v>256.31</v>
      </c>
      <c r="EQ34" s="228">
        <v>27.9</v>
      </c>
      <c r="ER34" s="229">
        <v>0.1089</v>
      </c>
      <c r="ES34" s="228">
        <v>138.79</v>
      </c>
      <c r="ET34" s="228">
        <v>89.45</v>
      </c>
      <c r="EU34" s="228">
        <v>436.47</v>
      </c>
      <c r="EV34" s="231">
        <v>19584741</v>
      </c>
      <c r="EW34" s="228">
        <v>664.71</v>
      </c>
      <c r="EX34" s="228">
        <v>617.24</v>
      </c>
      <c r="EY34" s="228">
        <v>47.47</v>
      </c>
      <c r="EZ34" s="229">
        <v>7.6899999999999996E-2</v>
      </c>
      <c r="FA34" s="229">
        <v>0.18659999999999999</v>
      </c>
      <c r="FB34" s="227" t="s">
        <v>555</v>
      </c>
      <c r="FC34">
        <f t="shared" si="0"/>
        <v>34</v>
      </c>
    </row>
    <row r="35" spans="1:159" ht="17.25" thickBot="1" x14ac:dyDescent="0.3">
      <c r="A35" s="226">
        <v>46008</v>
      </c>
      <c r="B35" s="227" t="s">
        <v>162</v>
      </c>
      <c r="C35" s="227" t="s">
        <v>192</v>
      </c>
      <c r="D35" s="228">
        <v>25</v>
      </c>
      <c r="E35" s="228">
        <v>13</v>
      </c>
      <c r="F35" s="231">
        <v>36045</v>
      </c>
      <c r="G35" s="231">
        <v>36295</v>
      </c>
      <c r="H35" s="228">
        <v>-250</v>
      </c>
      <c r="I35" s="229">
        <v>-6.8999999999999999E-3</v>
      </c>
      <c r="J35" s="231">
        <v>35975</v>
      </c>
      <c r="K35" s="231">
        <v>36230</v>
      </c>
      <c r="L35" s="228">
        <v>-255</v>
      </c>
      <c r="M35" s="229">
        <v>-7.0000000000000001E-3</v>
      </c>
      <c r="N35" s="231">
        <v>36045</v>
      </c>
      <c r="O35" s="231">
        <v>36295</v>
      </c>
      <c r="P35" s="228">
        <v>-250</v>
      </c>
      <c r="Q35" s="229">
        <v>-6.8999999999999999E-3</v>
      </c>
      <c r="R35" s="231">
        <v>36275</v>
      </c>
      <c r="S35" s="231">
        <v>36505</v>
      </c>
      <c r="T35" s="228">
        <v>-230</v>
      </c>
      <c r="U35" s="229">
        <v>-6.3E-3</v>
      </c>
      <c r="V35" s="231">
        <v>36400</v>
      </c>
      <c r="W35" s="231">
        <v>36595</v>
      </c>
      <c r="X35" s="228">
        <v>-195</v>
      </c>
      <c r="Y35" s="229">
        <v>-5.3E-3</v>
      </c>
      <c r="Z35" s="228">
        <v>70</v>
      </c>
      <c r="AA35" s="228">
        <v>65</v>
      </c>
      <c r="AB35" s="228">
        <v>5</v>
      </c>
      <c r="AC35" s="229">
        <v>1.9E-3</v>
      </c>
      <c r="AD35" s="228">
        <v>70</v>
      </c>
      <c r="AE35" s="228">
        <v>65</v>
      </c>
      <c r="AF35" s="228">
        <v>5</v>
      </c>
      <c r="AG35" s="229">
        <v>1.9E-3</v>
      </c>
      <c r="AH35" s="228">
        <v>300</v>
      </c>
      <c r="AI35" s="228">
        <v>275</v>
      </c>
      <c r="AJ35" s="228">
        <v>25</v>
      </c>
      <c r="AK35" s="229">
        <v>8.3000000000000001E-3</v>
      </c>
      <c r="AL35" s="228">
        <v>425</v>
      </c>
      <c r="AM35" s="228">
        <v>365</v>
      </c>
      <c r="AN35" s="228">
        <v>60</v>
      </c>
      <c r="AO35" s="229">
        <v>1.18E-2</v>
      </c>
      <c r="AP35" s="231">
        <v>36146.32</v>
      </c>
      <c r="AQ35" s="231">
        <v>36367.050000000003</v>
      </c>
      <c r="AR35" s="228">
        <v>0</v>
      </c>
      <c r="AS35" s="228">
        <v>75</v>
      </c>
      <c r="AT35" s="228">
        <v>75</v>
      </c>
      <c r="AU35" s="228">
        <v>0</v>
      </c>
      <c r="AV35" s="229">
        <v>-2.3999999999999998E-3</v>
      </c>
      <c r="AW35" s="228">
        <v>59</v>
      </c>
      <c r="AX35" s="228">
        <v>64</v>
      </c>
      <c r="AY35" s="228">
        <v>-5</v>
      </c>
      <c r="AZ35" s="229">
        <v>-7.6200000000000004E-2</v>
      </c>
      <c r="BA35" s="228">
        <v>16</v>
      </c>
      <c r="BB35" s="228">
        <v>11</v>
      </c>
      <c r="BC35" s="228">
        <v>5</v>
      </c>
      <c r="BD35" s="229">
        <v>0.4667</v>
      </c>
      <c r="BE35" s="228">
        <v>0</v>
      </c>
      <c r="BF35" s="228">
        <v>1</v>
      </c>
      <c r="BG35" s="228">
        <v>0</v>
      </c>
      <c r="BH35" s="229">
        <v>-0.66669999999999996</v>
      </c>
      <c r="BI35" s="228">
        <v>507</v>
      </c>
      <c r="BJ35" s="228">
        <v>254</v>
      </c>
      <c r="BK35" s="228">
        <v>252</v>
      </c>
      <c r="BL35" s="229">
        <v>0.99360000000000004</v>
      </c>
      <c r="BM35" s="228">
        <v>76</v>
      </c>
      <c r="BN35" s="228">
        <v>97</v>
      </c>
      <c r="BO35" s="228">
        <v>-21</v>
      </c>
      <c r="BP35" s="229">
        <v>-0.22009999999999999</v>
      </c>
      <c r="BQ35" s="228">
        <v>657</v>
      </c>
      <c r="BR35" s="228">
        <v>426</v>
      </c>
      <c r="BS35" s="228">
        <v>231</v>
      </c>
      <c r="BT35" s="229">
        <v>0.54159999999999997</v>
      </c>
      <c r="BU35" s="230">
        <v>9458</v>
      </c>
      <c r="BV35" s="230">
        <v>11716</v>
      </c>
      <c r="BW35" s="230">
        <v>-2258</v>
      </c>
      <c r="BX35" s="229">
        <v>-0.19270000000000001</v>
      </c>
      <c r="BY35" s="228">
        <v>764</v>
      </c>
      <c r="BZ35" s="228">
        <v>755</v>
      </c>
      <c r="CA35" s="228">
        <v>9</v>
      </c>
      <c r="CB35" s="229">
        <v>1.18E-2</v>
      </c>
      <c r="CC35" s="228">
        <v>725</v>
      </c>
      <c r="CD35" s="228">
        <v>727</v>
      </c>
      <c r="CE35" s="228">
        <v>-2</v>
      </c>
      <c r="CF35" s="229">
        <v>-2.2000000000000001E-3</v>
      </c>
      <c r="CG35" s="228">
        <v>37</v>
      </c>
      <c r="CH35" s="228">
        <v>27</v>
      </c>
      <c r="CI35" s="228">
        <v>10</v>
      </c>
      <c r="CJ35" s="229">
        <v>0.39319999999999999</v>
      </c>
      <c r="CK35" s="228">
        <v>2</v>
      </c>
      <c r="CL35" s="228">
        <v>2</v>
      </c>
      <c r="CM35" s="228">
        <v>0</v>
      </c>
      <c r="CN35" s="229">
        <v>5.8799999999999998E-2</v>
      </c>
      <c r="CO35" s="228">
        <v>321</v>
      </c>
      <c r="CP35" s="228">
        <v>291</v>
      </c>
      <c r="CQ35" s="228">
        <v>30</v>
      </c>
      <c r="CR35" s="229">
        <v>0.1047</v>
      </c>
      <c r="CS35" s="228">
        <v>153</v>
      </c>
      <c r="CT35" s="228">
        <v>152</v>
      </c>
      <c r="CU35" s="228">
        <v>1</v>
      </c>
      <c r="CV35" s="229">
        <v>9.4999999999999998E-3</v>
      </c>
      <c r="CW35" s="230">
        <v>1238</v>
      </c>
      <c r="CX35" s="230">
        <v>1197</v>
      </c>
      <c r="CY35" s="228">
        <v>41</v>
      </c>
      <c r="CZ35" s="229">
        <v>3.4099999999999998E-2</v>
      </c>
      <c r="DA35" s="228">
        <v>23.07</v>
      </c>
      <c r="DB35" s="228">
        <v>20.59</v>
      </c>
      <c r="DC35" s="228">
        <v>2.48</v>
      </c>
      <c r="DD35" s="228">
        <v>2.48</v>
      </c>
      <c r="DE35" s="228">
        <v>27.58</v>
      </c>
      <c r="DF35" s="228">
        <v>27.63</v>
      </c>
      <c r="DG35" s="228">
        <v>-4.51</v>
      </c>
      <c r="DH35" s="228">
        <v>-0.05</v>
      </c>
      <c r="DI35" s="228">
        <v>23.65</v>
      </c>
      <c r="DJ35" s="228">
        <v>20.97</v>
      </c>
      <c r="DK35" s="228">
        <v>2.68</v>
      </c>
      <c r="DL35" s="228">
        <v>2.68</v>
      </c>
      <c r="DM35" s="228">
        <v>19.149999999999999</v>
      </c>
      <c r="DN35" s="228">
        <v>19.600000000000001</v>
      </c>
      <c r="DO35" s="228">
        <v>-0.45</v>
      </c>
      <c r="DP35" s="228">
        <v>-0.45</v>
      </c>
      <c r="DQ35" s="228">
        <v>0.48</v>
      </c>
      <c r="DR35" s="228">
        <v>0.52</v>
      </c>
      <c r="DS35" s="228">
        <v>-0.04</v>
      </c>
      <c r="DT35" s="229">
        <v>-7.6899999999999996E-2</v>
      </c>
      <c r="DU35" s="231">
        <v>37000</v>
      </c>
      <c r="DV35" s="231">
        <v>36000</v>
      </c>
      <c r="DW35" s="228">
        <v>0.15</v>
      </c>
      <c r="DX35" s="228">
        <v>0.38</v>
      </c>
      <c r="DY35" s="228">
        <v>-0.23</v>
      </c>
      <c r="DZ35" s="229">
        <v>-0.60529999999999995</v>
      </c>
      <c r="EA35" s="229">
        <v>5.0599999999999999E-2</v>
      </c>
      <c r="EB35" s="230">
        <v>7800</v>
      </c>
      <c r="EC35" s="229">
        <v>6.4000000000000003E-3</v>
      </c>
      <c r="ED35" s="229">
        <v>5.0599999999999999E-2</v>
      </c>
      <c r="EE35" s="228">
        <v>220.73</v>
      </c>
      <c r="EF35" s="229">
        <v>6.1000000000000004E-3</v>
      </c>
      <c r="EG35" s="230">
        <v>4217</v>
      </c>
      <c r="EH35" s="230">
        <v>5185</v>
      </c>
      <c r="EI35" s="229">
        <v>-0.1867</v>
      </c>
      <c r="EJ35" s="229">
        <v>0.44590000000000002</v>
      </c>
      <c r="EK35" s="228">
        <v>542.15</v>
      </c>
      <c r="EL35" s="228">
        <v>75.41</v>
      </c>
      <c r="EM35" s="228">
        <v>75.37</v>
      </c>
      <c r="EN35" s="228">
        <v>8.69</v>
      </c>
      <c r="EO35" s="228">
        <v>692.94</v>
      </c>
      <c r="EP35" s="228">
        <v>440.63</v>
      </c>
      <c r="EQ35" s="228">
        <v>252.31</v>
      </c>
      <c r="ER35" s="229">
        <v>0.5726</v>
      </c>
      <c r="ES35" s="228">
        <v>339.82</v>
      </c>
      <c r="ET35" s="228">
        <v>151.69999999999999</v>
      </c>
      <c r="EU35" s="228">
        <v>763.96</v>
      </c>
      <c r="EV35" s="231">
        <v>982526</v>
      </c>
      <c r="EW35" s="231">
        <v>1255.48</v>
      </c>
      <c r="EX35" s="231">
        <v>1218.25</v>
      </c>
      <c r="EY35" s="228">
        <v>37.229999999999997</v>
      </c>
      <c r="EZ35" s="229">
        <v>3.0599999999999999E-2</v>
      </c>
      <c r="FA35" s="229">
        <v>0.34960000000000002</v>
      </c>
      <c r="FB35" s="227" t="s">
        <v>567</v>
      </c>
      <c r="FC35">
        <f t="shared" si="0"/>
        <v>39</v>
      </c>
    </row>
    <row r="36" spans="1:159" ht="17.25" thickBot="1" x14ac:dyDescent="0.3">
      <c r="A36" s="226">
        <v>46008</v>
      </c>
      <c r="B36" s="227" t="s">
        <v>193</v>
      </c>
      <c r="C36" s="227" t="s">
        <v>194</v>
      </c>
      <c r="D36" s="228">
        <v>1975</v>
      </c>
      <c r="E36" s="228">
        <v>13</v>
      </c>
      <c r="F36" s="228">
        <v>368.65</v>
      </c>
      <c r="G36" s="228">
        <v>368.6</v>
      </c>
      <c r="H36" s="228">
        <v>0.05</v>
      </c>
      <c r="I36" s="229">
        <v>1E-4</v>
      </c>
      <c r="J36" s="228">
        <v>368.35</v>
      </c>
      <c r="K36" s="228">
        <v>368.15</v>
      </c>
      <c r="L36" s="228">
        <v>0.2</v>
      </c>
      <c r="M36" s="229">
        <v>5.0000000000000001E-4</v>
      </c>
      <c r="N36" s="228">
        <v>368.65</v>
      </c>
      <c r="O36" s="228">
        <v>368.6</v>
      </c>
      <c r="P36" s="228">
        <v>0.05</v>
      </c>
      <c r="Q36" s="229">
        <v>1E-4</v>
      </c>
      <c r="R36" s="228">
        <v>369.7</v>
      </c>
      <c r="S36" s="228">
        <v>369</v>
      </c>
      <c r="T36" s="228">
        <v>0.7</v>
      </c>
      <c r="U36" s="229">
        <v>1.9E-3</v>
      </c>
      <c r="V36" s="228">
        <v>368.05</v>
      </c>
      <c r="W36" s="228">
        <v>368.6</v>
      </c>
      <c r="X36" s="228">
        <v>-0.55000000000000004</v>
      </c>
      <c r="Y36" s="229">
        <v>-1.5E-3</v>
      </c>
      <c r="Z36" s="228">
        <v>0.3</v>
      </c>
      <c r="AA36" s="228">
        <v>0.45</v>
      </c>
      <c r="AB36" s="228">
        <v>-0.15</v>
      </c>
      <c r="AC36" s="229">
        <v>8.0000000000000004E-4</v>
      </c>
      <c r="AD36" s="228">
        <v>0.3</v>
      </c>
      <c r="AE36" s="228">
        <v>0.45</v>
      </c>
      <c r="AF36" s="228">
        <v>-0.15</v>
      </c>
      <c r="AG36" s="229">
        <v>8.0000000000000004E-4</v>
      </c>
      <c r="AH36" s="228">
        <v>1.35</v>
      </c>
      <c r="AI36" s="228">
        <v>0.85</v>
      </c>
      <c r="AJ36" s="228">
        <v>0.5</v>
      </c>
      <c r="AK36" s="229">
        <v>3.7000000000000002E-3</v>
      </c>
      <c r="AL36" s="228">
        <v>-0.3</v>
      </c>
      <c r="AM36" s="228">
        <v>0.45</v>
      </c>
      <c r="AN36" s="228">
        <v>-0.75</v>
      </c>
      <c r="AO36" s="229">
        <v>-8.0000000000000004E-4</v>
      </c>
      <c r="AP36" s="228">
        <v>369.62</v>
      </c>
      <c r="AQ36" s="228">
        <v>370.4</v>
      </c>
      <c r="AR36" s="228">
        <v>0</v>
      </c>
      <c r="AS36" s="228">
        <v>234</v>
      </c>
      <c r="AT36" s="228">
        <v>237</v>
      </c>
      <c r="AU36" s="228">
        <v>-3</v>
      </c>
      <c r="AV36" s="229">
        <v>-1.14E-2</v>
      </c>
      <c r="AW36" s="228">
        <v>202</v>
      </c>
      <c r="AX36" s="228">
        <v>202</v>
      </c>
      <c r="AY36" s="228">
        <v>0</v>
      </c>
      <c r="AZ36" s="229">
        <v>1.4E-3</v>
      </c>
      <c r="BA36" s="228">
        <v>29</v>
      </c>
      <c r="BB36" s="228">
        <v>33</v>
      </c>
      <c r="BC36" s="228">
        <v>-3</v>
      </c>
      <c r="BD36" s="229">
        <v>-0.1071</v>
      </c>
      <c r="BE36" s="228">
        <v>3</v>
      </c>
      <c r="BF36" s="228">
        <v>2</v>
      </c>
      <c r="BG36" s="228">
        <v>1</v>
      </c>
      <c r="BH36" s="229">
        <v>0.21879999999999999</v>
      </c>
      <c r="BI36" s="230">
        <v>1786</v>
      </c>
      <c r="BJ36" s="230">
        <v>1264</v>
      </c>
      <c r="BK36" s="228">
        <v>522</v>
      </c>
      <c r="BL36" s="229">
        <v>0.41299999999999998</v>
      </c>
      <c r="BM36" s="228">
        <v>478</v>
      </c>
      <c r="BN36" s="228">
        <v>358</v>
      </c>
      <c r="BO36" s="228">
        <v>120</v>
      </c>
      <c r="BP36" s="229">
        <v>0.3352</v>
      </c>
      <c r="BQ36" s="230">
        <v>2499</v>
      </c>
      <c r="BR36" s="230">
        <v>1859</v>
      </c>
      <c r="BS36" s="228">
        <v>639</v>
      </c>
      <c r="BT36" s="229">
        <v>0.34389999999999998</v>
      </c>
      <c r="BU36" s="230">
        <v>7107032</v>
      </c>
      <c r="BV36" s="230">
        <v>4464514</v>
      </c>
      <c r="BW36" s="230">
        <v>2642518</v>
      </c>
      <c r="BX36" s="229">
        <v>0.59189999999999998</v>
      </c>
      <c r="BY36" s="230">
        <v>1044</v>
      </c>
      <c r="BZ36" s="230">
        <v>1067</v>
      </c>
      <c r="CA36" s="228">
        <v>-23</v>
      </c>
      <c r="CB36" s="229">
        <v>-2.1600000000000001E-2</v>
      </c>
      <c r="CC36" s="228">
        <v>989</v>
      </c>
      <c r="CD36" s="230">
        <v>1017</v>
      </c>
      <c r="CE36" s="228">
        <v>-27</v>
      </c>
      <c r="CF36" s="229">
        <v>-2.69E-2</v>
      </c>
      <c r="CG36" s="228">
        <v>46</v>
      </c>
      <c r="CH36" s="228">
        <v>42</v>
      </c>
      <c r="CI36" s="228">
        <v>4</v>
      </c>
      <c r="CJ36" s="229">
        <v>8.6199999999999999E-2</v>
      </c>
      <c r="CK36" s="228">
        <v>9</v>
      </c>
      <c r="CL36" s="228">
        <v>8</v>
      </c>
      <c r="CM36" s="228">
        <v>1</v>
      </c>
      <c r="CN36" s="229">
        <v>8.0399999999999999E-2</v>
      </c>
      <c r="CO36" s="228">
        <v>736</v>
      </c>
      <c r="CP36" s="228">
        <v>707</v>
      </c>
      <c r="CQ36" s="228">
        <v>29</v>
      </c>
      <c r="CR36" s="229">
        <v>4.1500000000000002E-2</v>
      </c>
      <c r="CS36" s="228">
        <v>423</v>
      </c>
      <c r="CT36" s="228">
        <v>416</v>
      </c>
      <c r="CU36" s="228">
        <v>7</v>
      </c>
      <c r="CV36" s="229">
        <v>1.7000000000000001E-2</v>
      </c>
      <c r="CW36" s="230">
        <v>2203</v>
      </c>
      <c r="CX36" s="230">
        <v>2189</v>
      </c>
      <c r="CY36" s="228">
        <v>13</v>
      </c>
      <c r="CZ36" s="229">
        <v>6.1000000000000004E-3</v>
      </c>
      <c r="DA36" s="228">
        <v>24.31</v>
      </c>
      <c r="DB36" s="228">
        <v>24.8</v>
      </c>
      <c r="DC36" s="228">
        <v>-0.49</v>
      </c>
      <c r="DD36" s="228">
        <v>-0.49</v>
      </c>
      <c r="DE36" s="228">
        <v>32.5</v>
      </c>
      <c r="DF36" s="228">
        <v>32.590000000000003</v>
      </c>
      <c r="DG36" s="228">
        <v>-8.19</v>
      </c>
      <c r="DH36" s="228">
        <v>-0.09</v>
      </c>
      <c r="DI36" s="228">
        <v>24.24</v>
      </c>
      <c r="DJ36" s="228">
        <v>24.83</v>
      </c>
      <c r="DK36" s="228">
        <v>-0.59</v>
      </c>
      <c r="DL36" s="228">
        <v>-0.59</v>
      </c>
      <c r="DM36" s="228">
        <v>24.55</v>
      </c>
      <c r="DN36" s="228">
        <v>24.67</v>
      </c>
      <c r="DO36" s="228">
        <v>-0.12</v>
      </c>
      <c r="DP36" s="228">
        <v>-0.12</v>
      </c>
      <c r="DQ36" s="228">
        <v>0.56999999999999995</v>
      </c>
      <c r="DR36" s="228">
        <v>0.59</v>
      </c>
      <c r="DS36" s="228">
        <v>-0.02</v>
      </c>
      <c r="DT36" s="229">
        <v>-3.39E-2</v>
      </c>
      <c r="DU36" s="228">
        <v>370</v>
      </c>
      <c r="DV36" s="228">
        <v>320</v>
      </c>
      <c r="DW36" s="228">
        <v>0.27</v>
      </c>
      <c r="DX36" s="228">
        <v>0.28000000000000003</v>
      </c>
      <c r="DY36" s="228">
        <v>-0.01</v>
      </c>
      <c r="DZ36" s="229">
        <v>-3.5700000000000003E-2</v>
      </c>
      <c r="EA36" s="229">
        <v>5.2400000000000002E-2</v>
      </c>
      <c r="EB36" s="230">
        <v>1366700</v>
      </c>
      <c r="EC36" s="229">
        <v>2.8E-3</v>
      </c>
      <c r="ED36" s="229">
        <v>5.2400000000000002E-2</v>
      </c>
      <c r="EE36" s="228">
        <v>0.78</v>
      </c>
      <c r="EF36" s="229">
        <v>2.0999999999999999E-3</v>
      </c>
      <c r="EG36" s="230">
        <v>3727458</v>
      </c>
      <c r="EH36" s="230">
        <v>2338097</v>
      </c>
      <c r="EI36" s="229">
        <v>0.59419999999999995</v>
      </c>
      <c r="EJ36" s="229">
        <v>0.52449999999999997</v>
      </c>
      <c r="EK36" s="231">
        <v>1838.28</v>
      </c>
      <c r="EL36" s="228">
        <v>474.21</v>
      </c>
      <c r="EM36" s="228">
        <v>234.91</v>
      </c>
      <c r="EN36" s="228">
        <v>35.83</v>
      </c>
      <c r="EO36" s="231">
        <v>2547.4</v>
      </c>
      <c r="EP36" s="231">
        <v>1884.58</v>
      </c>
      <c r="EQ36" s="228">
        <v>662.81</v>
      </c>
      <c r="ER36" s="229">
        <v>0.35170000000000001</v>
      </c>
      <c r="ES36" s="228">
        <v>754.44</v>
      </c>
      <c r="ET36" s="228">
        <v>400.36</v>
      </c>
      <c r="EU36" s="231">
        <v>1044.1199999999999</v>
      </c>
      <c r="EV36" s="231">
        <v>281577339</v>
      </c>
      <c r="EW36" s="231">
        <v>2198.92</v>
      </c>
      <c r="EX36" s="231">
        <v>2182.16</v>
      </c>
      <c r="EY36" s="228">
        <v>16.760000000000002</v>
      </c>
      <c r="EZ36" s="229">
        <v>7.7000000000000002E-3</v>
      </c>
      <c r="FA36" s="229">
        <v>0.2122</v>
      </c>
      <c r="FB36" s="227" t="s">
        <v>556</v>
      </c>
      <c r="FC36">
        <f t="shared" si="0"/>
        <v>55</v>
      </c>
    </row>
    <row r="37" spans="1:159" ht="17.25" thickBot="1" x14ac:dyDescent="0.3">
      <c r="A37" s="226">
        <v>46008</v>
      </c>
      <c r="B37" s="227" t="s">
        <v>168</v>
      </c>
      <c r="C37" s="227" t="s">
        <v>195</v>
      </c>
      <c r="D37" s="228">
        <v>125</v>
      </c>
      <c r="E37" s="228">
        <v>13</v>
      </c>
      <c r="F37" s="231">
        <v>6100.5</v>
      </c>
      <c r="G37" s="231">
        <v>6077</v>
      </c>
      <c r="H37" s="228">
        <v>23.5</v>
      </c>
      <c r="I37" s="229">
        <v>3.8999999999999998E-3</v>
      </c>
      <c r="J37" s="231">
        <v>6096</v>
      </c>
      <c r="K37" s="231">
        <v>6066</v>
      </c>
      <c r="L37" s="228">
        <v>30</v>
      </c>
      <c r="M37" s="229">
        <v>4.8999999999999998E-3</v>
      </c>
      <c r="N37" s="231">
        <v>6100.5</v>
      </c>
      <c r="O37" s="231">
        <v>6077</v>
      </c>
      <c r="P37" s="228">
        <v>23.5</v>
      </c>
      <c r="Q37" s="229">
        <v>3.8999999999999998E-3</v>
      </c>
      <c r="R37" s="231">
        <v>6137.5</v>
      </c>
      <c r="S37" s="231">
        <v>6111.5</v>
      </c>
      <c r="T37" s="228">
        <v>26</v>
      </c>
      <c r="U37" s="229">
        <v>4.3E-3</v>
      </c>
      <c r="V37" s="231">
        <v>6175</v>
      </c>
      <c r="W37" s="231">
        <v>6144</v>
      </c>
      <c r="X37" s="228">
        <v>31</v>
      </c>
      <c r="Y37" s="229">
        <v>5.0000000000000001E-3</v>
      </c>
      <c r="Z37" s="228">
        <v>4.5</v>
      </c>
      <c r="AA37" s="228">
        <v>11</v>
      </c>
      <c r="AB37" s="228">
        <v>-6.5</v>
      </c>
      <c r="AC37" s="229">
        <v>6.9999999999999999E-4</v>
      </c>
      <c r="AD37" s="228">
        <v>4.5</v>
      </c>
      <c r="AE37" s="228">
        <v>11</v>
      </c>
      <c r="AF37" s="228">
        <v>-6.5</v>
      </c>
      <c r="AG37" s="229">
        <v>6.9999999999999999E-4</v>
      </c>
      <c r="AH37" s="228">
        <v>41.5</v>
      </c>
      <c r="AI37" s="228">
        <v>45.5</v>
      </c>
      <c r="AJ37" s="228">
        <v>-4</v>
      </c>
      <c r="AK37" s="229">
        <v>6.7999999999999996E-3</v>
      </c>
      <c r="AL37" s="228">
        <v>79</v>
      </c>
      <c r="AM37" s="228">
        <v>78</v>
      </c>
      <c r="AN37" s="228">
        <v>1</v>
      </c>
      <c r="AO37" s="229">
        <v>1.2999999999999999E-2</v>
      </c>
      <c r="AP37" s="231">
        <v>6102.56</v>
      </c>
      <c r="AQ37" s="231">
        <v>6138.1</v>
      </c>
      <c r="AR37" s="228">
        <v>0</v>
      </c>
      <c r="AS37" s="228">
        <v>151</v>
      </c>
      <c r="AT37" s="228">
        <v>289</v>
      </c>
      <c r="AU37" s="228">
        <v>-138</v>
      </c>
      <c r="AV37" s="229">
        <v>-0.47799999999999998</v>
      </c>
      <c r="AW37" s="228">
        <v>140</v>
      </c>
      <c r="AX37" s="228">
        <v>272</v>
      </c>
      <c r="AY37" s="228">
        <v>-132</v>
      </c>
      <c r="AZ37" s="229">
        <v>-0.4854</v>
      </c>
      <c r="BA37" s="228">
        <v>10</v>
      </c>
      <c r="BB37" s="228">
        <v>16</v>
      </c>
      <c r="BC37" s="228">
        <v>-6</v>
      </c>
      <c r="BD37" s="229">
        <v>-0.35980000000000001</v>
      </c>
      <c r="BE37" s="228">
        <v>0</v>
      </c>
      <c r="BF37" s="228">
        <v>1</v>
      </c>
      <c r="BG37" s="228">
        <v>0</v>
      </c>
      <c r="BH37" s="229">
        <v>-0.33329999999999999</v>
      </c>
      <c r="BI37" s="230">
        <v>1195</v>
      </c>
      <c r="BJ37" s="230">
        <v>3123</v>
      </c>
      <c r="BK37" s="230">
        <v>-1928</v>
      </c>
      <c r="BL37" s="229">
        <v>-0.61739999999999995</v>
      </c>
      <c r="BM37" s="228">
        <v>434</v>
      </c>
      <c r="BN37" s="230">
        <v>1100</v>
      </c>
      <c r="BO37" s="228">
        <v>-666</v>
      </c>
      <c r="BP37" s="229">
        <v>-0.60529999999999995</v>
      </c>
      <c r="BQ37" s="230">
        <v>1780</v>
      </c>
      <c r="BR37" s="230">
        <v>4512</v>
      </c>
      <c r="BS37" s="230">
        <v>-2732</v>
      </c>
      <c r="BT37" s="229">
        <v>-0.60550000000000004</v>
      </c>
      <c r="BU37" s="230">
        <v>303359</v>
      </c>
      <c r="BV37" s="230">
        <v>294169</v>
      </c>
      <c r="BW37" s="230">
        <v>9190</v>
      </c>
      <c r="BX37" s="229">
        <v>3.1199999999999999E-2</v>
      </c>
      <c r="BY37" s="230">
        <v>1650</v>
      </c>
      <c r="BZ37" s="230">
        <v>1668</v>
      </c>
      <c r="CA37" s="228">
        <v>-18</v>
      </c>
      <c r="CB37" s="229">
        <v>-1.0999999999999999E-2</v>
      </c>
      <c r="CC37" s="230">
        <v>1619</v>
      </c>
      <c r="CD37" s="230">
        <v>1640</v>
      </c>
      <c r="CE37" s="228">
        <v>-21</v>
      </c>
      <c r="CF37" s="229">
        <v>-1.2500000000000001E-2</v>
      </c>
      <c r="CG37" s="228">
        <v>29</v>
      </c>
      <c r="CH37" s="228">
        <v>27</v>
      </c>
      <c r="CI37" s="228">
        <v>2</v>
      </c>
      <c r="CJ37" s="229">
        <v>8.0199999999999994E-2</v>
      </c>
      <c r="CK37" s="228">
        <v>2</v>
      </c>
      <c r="CL37" s="228">
        <v>2</v>
      </c>
      <c r="CM37" s="228">
        <v>0</v>
      </c>
      <c r="CN37" s="229">
        <v>0</v>
      </c>
      <c r="CO37" s="228">
        <v>771</v>
      </c>
      <c r="CP37" s="228">
        <v>711</v>
      </c>
      <c r="CQ37" s="228">
        <v>60</v>
      </c>
      <c r="CR37" s="229">
        <v>8.4400000000000003E-2</v>
      </c>
      <c r="CS37" s="228">
        <v>490</v>
      </c>
      <c r="CT37" s="228">
        <v>498</v>
      </c>
      <c r="CU37" s="228">
        <v>-8</v>
      </c>
      <c r="CV37" s="229">
        <v>-1.6500000000000001E-2</v>
      </c>
      <c r="CW37" s="230">
        <v>2911</v>
      </c>
      <c r="CX37" s="230">
        <v>2877</v>
      </c>
      <c r="CY37" s="228">
        <v>33</v>
      </c>
      <c r="CZ37" s="229">
        <v>1.1599999999999999E-2</v>
      </c>
      <c r="DA37" s="228">
        <v>18.75</v>
      </c>
      <c r="DB37" s="228">
        <v>18.04</v>
      </c>
      <c r="DC37" s="228">
        <v>0.71</v>
      </c>
      <c r="DD37" s="228">
        <v>0.71</v>
      </c>
      <c r="DE37" s="228">
        <v>24.17</v>
      </c>
      <c r="DF37" s="228">
        <v>24.22</v>
      </c>
      <c r="DG37" s="228">
        <v>-5.42</v>
      </c>
      <c r="DH37" s="228">
        <v>-0.05</v>
      </c>
      <c r="DI37" s="228">
        <v>18.72</v>
      </c>
      <c r="DJ37" s="228">
        <v>18.07</v>
      </c>
      <c r="DK37" s="228">
        <v>0.65</v>
      </c>
      <c r="DL37" s="228">
        <v>0.65</v>
      </c>
      <c r="DM37" s="228">
        <v>18.809999999999999</v>
      </c>
      <c r="DN37" s="228">
        <v>17.98</v>
      </c>
      <c r="DO37" s="228">
        <v>0.83</v>
      </c>
      <c r="DP37" s="228">
        <v>0.83</v>
      </c>
      <c r="DQ37" s="228">
        <v>0.64</v>
      </c>
      <c r="DR37" s="228">
        <v>0.7</v>
      </c>
      <c r="DS37" s="228">
        <v>-0.06</v>
      </c>
      <c r="DT37" s="229">
        <v>-8.5699999999999998E-2</v>
      </c>
      <c r="DU37" s="231">
        <v>6200</v>
      </c>
      <c r="DV37" s="231">
        <v>5800</v>
      </c>
      <c r="DW37" s="228">
        <v>0.36</v>
      </c>
      <c r="DX37" s="228">
        <v>0.35</v>
      </c>
      <c r="DY37" s="228">
        <v>0.01</v>
      </c>
      <c r="DZ37" s="229">
        <v>2.86E-2</v>
      </c>
      <c r="EA37" s="229">
        <v>1.8599999999999998E-2</v>
      </c>
      <c r="EB37" s="230">
        <v>46875</v>
      </c>
      <c r="EC37" s="229">
        <v>6.1000000000000004E-3</v>
      </c>
      <c r="ED37" s="229">
        <v>1.8599999999999998E-2</v>
      </c>
      <c r="EE37" s="228">
        <v>35.54</v>
      </c>
      <c r="EF37" s="229">
        <v>5.7999999999999996E-3</v>
      </c>
      <c r="EG37" s="230">
        <v>213320</v>
      </c>
      <c r="EH37" s="230">
        <v>109857</v>
      </c>
      <c r="EI37" s="229">
        <v>0.94179999999999997</v>
      </c>
      <c r="EJ37" s="229">
        <v>0.70320000000000005</v>
      </c>
      <c r="EK37" s="231">
        <v>1223.68</v>
      </c>
      <c r="EL37" s="228">
        <v>428.06</v>
      </c>
      <c r="EM37" s="228">
        <v>150.88</v>
      </c>
      <c r="EN37" s="228">
        <v>26.43</v>
      </c>
      <c r="EO37" s="231">
        <v>1802.61</v>
      </c>
      <c r="EP37" s="231">
        <v>4573.71</v>
      </c>
      <c r="EQ37" s="231">
        <v>-2771.1</v>
      </c>
      <c r="ER37" s="229">
        <v>-0.60589999999999999</v>
      </c>
      <c r="ES37" s="228">
        <v>793.22</v>
      </c>
      <c r="ET37" s="228">
        <v>461.98</v>
      </c>
      <c r="EU37" s="231">
        <v>1650.31</v>
      </c>
      <c r="EV37" s="231">
        <v>13082978</v>
      </c>
      <c r="EW37" s="231">
        <v>2905.5</v>
      </c>
      <c r="EX37" s="231">
        <v>2862.58</v>
      </c>
      <c r="EY37" s="228">
        <v>42.92</v>
      </c>
      <c r="EZ37" s="229">
        <v>1.4999999999999999E-2</v>
      </c>
      <c r="FA37" s="229">
        <v>0.36470000000000002</v>
      </c>
      <c r="FB37" s="227" t="s">
        <v>556</v>
      </c>
      <c r="FC37">
        <f t="shared" si="0"/>
        <v>31</v>
      </c>
    </row>
    <row r="38" spans="1:159" ht="17.25" thickBot="1" x14ac:dyDescent="0.3">
      <c r="A38" s="226">
        <v>46008</v>
      </c>
      <c r="B38" s="227" t="s">
        <v>175</v>
      </c>
      <c r="C38" s="227" t="s">
        <v>584</v>
      </c>
      <c r="D38" s="228">
        <v>375</v>
      </c>
      <c r="E38" s="228">
        <v>13</v>
      </c>
      <c r="F38" s="231">
        <v>2633.5</v>
      </c>
      <c r="G38" s="231">
        <v>2617.9</v>
      </c>
      <c r="H38" s="228">
        <v>15.6</v>
      </c>
      <c r="I38" s="229">
        <v>6.0000000000000001E-3</v>
      </c>
      <c r="J38" s="231">
        <v>2630.5</v>
      </c>
      <c r="K38" s="231">
        <v>2605.9</v>
      </c>
      <c r="L38" s="228">
        <v>24.6</v>
      </c>
      <c r="M38" s="229">
        <v>9.4000000000000004E-3</v>
      </c>
      <c r="N38" s="231">
        <v>2633.5</v>
      </c>
      <c r="O38" s="231">
        <v>2617.9</v>
      </c>
      <c r="P38" s="228">
        <v>15.6</v>
      </c>
      <c r="Q38" s="229">
        <v>6.0000000000000001E-3</v>
      </c>
      <c r="R38" s="231">
        <v>2647.1</v>
      </c>
      <c r="S38" s="231">
        <v>2633.6</v>
      </c>
      <c r="T38" s="228">
        <v>13.5</v>
      </c>
      <c r="U38" s="229">
        <v>5.1000000000000004E-3</v>
      </c>
      <c r="V38" s="231">
        <v>2661.9</v>
      </c>
      <c r="W38" s="231">
        <v>2647.5</v>
      </c>
      <c r="X38" s="228">
        <v>14.4</v>
      </c>
      <c r="Y38" s="229">
        <v>5.4000000000000003E-3</v>
      </c>
      <c r="Z38" s="228">
        <v>3</v>
      </c>
      <c r="AA38" s="228">
        <v>12</v>
      </c>
      <c r="AB38" s="228">
        <v>-9</v>
      </c>
      <c r="AC38" s="229">
        <v>1.1000000000000001E-3</v>
      </c>
      <c r="AD38" s="228">
        <v>3</v>
      </c>
      <c r="AE38" s="228">
        <v>12</v>
      </c>
      <c r="AF38" s="228">
        <v>-9</v>
      </c>
      <c r="AG38" s="229">
        <v>1.1000000000000001E-3</v>
      </c>
      <c r="AH38" s="228">
        <v>16.600000000000001</v>
      </c>
      <c r="AI38" s="228">
        <v>27.7</v>
      </c>
      <c r="AJ38" s="228">
        <v>-11.1</v>
      </c>
      <c r="AK38" s="229">
        <v>6.3E-3</v>
      </c>
      <c r="AL38" s="228">
        <v>31.4</v>
      </c>
      <c r="AM38" s="228">
        <v>41.6</v>
      </c>
      <c r="AN38" s="228">
        <v>-10.199999999999999</v>
      </c>
      <c r="AO38" s="229">
        <v>1.1900000000000001E-2</v>
      </c>
      <c r="AP38" s="231">
        <v>2647.41</v>
      </c>
      <c r="AQ38" s="231">
        <v>2664.61</v>
      </c>
      <c r="AR38" s="228">
        <v>0</v>
      </c>
      <c r="AS38" s="230">
        <v>1072</v>
      </c>
      <c r="AT38" s="230">
        <v>1154</v>
      </c>
      <c r="AU38" s="228">
        <v>-82</v>
      </c>
      <c r="AV38" s="229">
        <v>-7.0800000000000002E-2</v>
      </c>
      <c r="AW38" s="228">
        <v>885</v>
      </c>
      <c r="AX38" s="228">
        <v>969</v>
      </c>
      <c r="AY38" s="228">
        <v>-83</v>
      </c>
      <c r="AZ38" s="229">
        <v>-8.5800000000000001E-2</v>
      </c>
      <c r="BA38" s="228">
        <v>178</v>
      </c>
      <c r="BB38" s="228">
        <v>174</v>
      </c>
      <c r="BC38" s="228">
        <v>4</v>
      </c>
      <c r="BD38" s="229">
        <v>2.4400000000000002E-2</v>
      </c>
      <c r="BE38" s="228">
        <v>9</v>
      </c>
      <c r="BF38" s="228">
        <v>12</v>
      </c>
      <c r="BG38" s="228">
        <v>-3</v>
      </c>
      <c r="BH38" s="229">
        <v>-0.2417</v>
      </c>
      <c r="BI38" s="230">
        <v>6610</v>
      </c>
      <c r="BJ38" s="230">
        <v>6386</v>
      </c>
      <c r="BK38" s="228">
        <v>225</v>
      </c>
      <c r="BL38" s="229">
        <v>3.5200000000000002E-2</v>
      </c>
      <c r="BM38" s="230">
        <v>3519</v>
      </c>
      <c r="BN38" s="230">
        <v>4361</v>
      </c>
      <c r="BO38" s="228">
        <v>-842</v>
      </c>
      <c r="BP38" s="229">
        <v>-0.193</v>
      </c>
      <c r="BQ38" s="230">
        <v>11202</v>
      </c>
      <c r="BR38" s="230">
        <v>11901</v>
      </c>
      <c r="BS38" s="228">
        <v>-699</v>
      </c>
      <c r="BT38" s="229">
        <v>-5.8700000000000002E-2</v>
      </c>
      <c r="BU38" s="230">
        <v>4201851</v>
      </c>
      <c r="BV38" s="230">
        <v>5246754</v>
      </c>
      <c r="BW38" s="230">
        <v>-1044903</v>
      </c>
      <c r="BX38" s="229">
        <v>-0.19919999999999999</v>
      </c>
      <c r="BY38" s="230">
        <v>3084</v>
      </c>
      <c r="BZ38" s="230">
        <v>3138</v>
      </c>
      <c r="CA38" s="228">
        <v>-54</v>
      </c>
      <c r="CB38" s="229">
        <v>-1.72E-2</v>
      </c>
      <c r="CC38" s="230">
        <v>2685</v>
      </c>
      <c r="CD38" s="230">
        <v>2787</v>
      </c>
      <c r="CE38" s="228">
        <v>-103</v>
      </c>
      <c r="CF38" s="229">
        <v>-3.6900000000000002E-2</v>
      </c>
      <c r="CG38" s="228">
        <v>350</v>
      </c>
      <c r="CH38" s="228">
        <v>299</v>
      </c>
      <c r="CI38" s="228">
        <v>51</v>
      </c>
      <c r="CJ38" s="229">
        <v>0.1709</v>
      </c>
      <c r="CK38" s="228">
        <v>50</v>
      </c>
      <c r="CL38" s="228">
        <v>52</v>
      </c>
      <c r="CM38" s="228">
        <v>-2</v>
      </c>
      <c r="CN38" s="229">
        <v>-0.04</v>
      </c>
      <c r="CO38" s="230">
        <v>3935</v>
      </c>
      <c r="CP38" s="230">
        <v>3964</v>
      </c>
      <c r="CQ38" s="228">
        <v>-29</v>
      </c>
      <c r="CR38" s="229">
        <v>-7.3000000000000001E-3</v>
      </c>
      <c r="CS38" s="230">
        <v>1987</v>
      </c>
      <c r="CT38" s="230">
        <v>2020</v>
      </c>
      <c r="CU38" s="228">
        <v>-33</v>
      </c>
      <c r="CV38" s="229">
        <v>-1.6299999999999999E-2</v>
      </c>
      <c r="CW38" s="230">
        <v>9006</v>
      </c>
      <c r="CX38" s="230">
        <v>9122</v>
      </c>
      <c r="CY38" s="228">
        <v>-116</v>
      </c>
      <c r="CZ38" s="229">
        <v>-1.2699999999999999E-2</v>
      </c>
      <c r="DA38" s="228">
        <v>39.08</v>
      </c>
      <c r="DB38" s="228">
        <v>39.520000000000003</v>
      </c>
      <c r="DC38" s="228">
        <v>-0.44</v>
      </c>
      <c r="DD38" s="228">
        <v>-0.44</v>
      </c>
      <c r="DE38" s="228">
        <v>60.62</v>
      </c>
      <c r="DF38" s="228">
        <v>60.76</v>
      </c>
      <c r="DG38" s="228">
        <v>-21.54</v>
      </c>
      <c r="DH38" s="228">
        <v>-0.14000000000000001</v>
      </c>
      <c r="DI38" s="228">
        <v>39.340000000000003</v>
      </c>
      <c r="DJ38" s="228">
        <v>39.74</v>
      </c>
      <c r="DK38" s="228">
        <v>-0.4</v>
      </c>
      <c r="DL38" s="228">
        <v>-0.4</v>
      </c>
      <c r="DM38" s="228">
        <v>38.57</v>
      </c>
      <c r="DN38" s="228">
        <v>39.19</v>
      </c>
      <c r="DO38" s="228">
        <v>-0.62</v>
      </c>
      <c r="DP38" s="228">
        <v>-0.62</v>
      </c>
      <c r="DQ38" s="228">
        <v>0.5</v>
      </c>
      <c r="DR38" s="228">
        <v>0.51</v>
      </c>
      <c r="DS38" s="228">
        <v>-0.01</v>
      </c>
      <c r="DT38" s="229">
        <v>-1.9599999999999999E-2</v>
      </c>
      <c r="DU38" s="231">
        <v>3000</v>
      </c>
      <c r="DV38" s="231">
        <v>2600</v>
      </c>
      <c r="DW38" s="228">
        <v>0.53</v>
      </c>
      <c r="DX38" s="228">
        <v>0.68</v>
      </c>
      <c r="DY38" s="228">
        <v>-0.15</v>
      </c>
      <c r="DZ38" s="229">
        <v>-0.22059999999999999</v>
      </c>
      <c r="EA38" s="229">
        <v>0.12959999999999999</v>
      </c>
      <c r="EB38" s="230">
        <v>1331625</v>
      </c>
      <c r="EC38" s="229">
        <v>5.1999999999999998E-3</v>
      </c>
      <c r="ED38" s="229">
        <v>0.12959999999999999</v>
      </c>
      <c r="EE38" s="228">
        <v>17.2</v>
      </c>
      <c r="EF38" s="229">
        <v>6.4999999999999997E-3</v>
      </c>
      <c r="EG38" s="230">
        <v>1141181</v>
      </c>
      <c r="EH38" s="230">
        <v>1836536</v>
      </c>
      <c r="EI38" s="229">
        <v>-0.37859999999999999</v>
      </c>
      <c r="EJ38" s="229">
        <v>0.27160000000000001</v>
      </c>
      <c r="EK38" s="231">
        <v>7061.7</v>
      </c>
      <c r="EL38" s="231">
        <v>3443.17</v>
      </c>
      <c r="EM38" s="231">
        <v>1079.42</v>
      </c>
      <c r="EN38" s="228">
        <v>120.03</v>
      </c>
      <c r="EO38" s="231">
        <v>11584.29</v>
      </c>
      <c r="EP38" s="231">
        <v>12256.6</v>
      </c>
      <c r="EQ38" s="228">
        <v>-672.31</v>
      </c>
      <c r="ER38" s="229">
        <v>-5.4899999999999997E-2</v>
      </c>
      <c r="ES38" s="231">
        <v>4302.87</v>
      </c>
      <c r="ET38" s="231">
        <v>1953.97</v>
      </c>
      <c r="EU38" s="231">
        <v>3086.6</v>
      </c>
      <c r="EV38" s="231">
        <v>48385387</v>
      </c>
      <c r="EW38" s="231">
        <v>9343.44</v>
      </c>
      <c r="EX38" s="231">
        <v>9447.6200000000008</v>
      </c>
      <c r="EY38" s="228">
        <v>-104.18</v>
      </c>
      <c r="EZ38" s="229">
        <v>-1.0999999999999999E-2</v>
      </c>
      <c r="FA38" s="229">
        <v>0.70679999999999998</v>
      </c>
      <c r="FB38" s="227" t="s">
        <v>556</v>
      </c>
      <c r="FC38">
        <f t="shared" si="0"/>
        <v>399</v>
      </c>
    </row>
    <row r="39" spans="1:159" ht="17.25" thickBot="1" x14ac:dyDescent="0.3">
      <c r="A39" s="226">
        <v>46008</v>
      </c>
      <c r="B39" s="227" t="s">
        <v>175</v>
      </c>
      <c r="C39" s="227" t="s">
        <v>611</v>
      </c>
      <c r="D39" s="228">
        <v>750</v>
      </c>
      <c r="E39" s="228">
        <v>13</v>
      </c>
      <c r="F39" s="228">
        <v>735.2</v>
      </c>
      <c r="G39" s="228">
        <v>754.4</v>
      </c>
      <c r="H39" s="228">
        <v>-19.2</v>
      </c>
      <c r="I39" s="229">
        <v>-2.5499999999999998E-2</v>
      </c>
      <c r="J39" s="228">
        <v>733.8</v>
      </c>
      <c r="K39" s="228">
        <v>753.8</v>
      </c>
      <c r="L39" s="228">
        <v>-20</v>
      </c>
      <c r="M39" s="229">
        <v>-2.6499999999999999E-2</v>
      </c>
      <c r="N39" s="228">
        <v>735.2</v>
      </c>
      <c r="O39" s="228">
        <v>754.4</v>
      </c>
      <c r="P39" s="228">
        <v>-19.2</v>
      </c>
      <c r="Q39" s="229">
        <v>-2.5499999999999998E-2</v>
      </c>
      <c r="R39" s="228">
        <v>740.1</v>
      </c>
      <c r="S39" s="228">
        <v>760.2</v>
      </c>
      <c r="T39" s="228">
        <v>-20.100000000000001</v>
      </c>
      <c r="U39" s="229">
        <v>-2.64E-2</v>
      </c>
      <c r="V39" s="228">
        <v>740.2</v>
      </c>
      <c r="W39" s="228">
        <v>758</v>
      </c>
      <c r="X39" s="228">
        <v>-17.8</v>
      </c>
      <c r="Y39" s="229">
        <v>-2.35E-2</v>
      </c>
      <c r="Z39" s="228">
        <v>1.4</v>
      </c>
      <c r="AA39" s="228">
        <v>0.6</v>
      </c>
      <c r="AB39" s="228">
        <v>0.8</v>
      </c>
      <c r="AC39" s="229">
        <v>1.9E-3</v>
      </c>
      <c r="AD39" s="228">
        <v>1.4</v>
      </c>
      <c r="AE39" s="228">
        <v>0.6</v>
      </c>
      <c r="AF39" s="228">
        <v>0.8</v>
      </c>
      <c r="AG39" s="229">
        <v>1.9E-3</v>
      </c>
      <c r="AH39" s="228">
        <v>6.3</v>
      </c>
      <c r="AI39" s="228">
        <v>6.4</v>
      </c>
      <c r="AJ39" s="228">
        <v>-0.1</v>
      </c>
      <c r="AK39" s="229">
        <v>8.6E-3</v>
      </c>
      <c r="AL39" s="228">
        <v>6.4</v>
      </c>
      <c r="AM39" s="228">
        <v>4.2</v>
      </c>
      <c r="AN39" s="228">
        <v>2.2000000000000002</v>
      </c>
      <c r="AO39" s="229">
        <v>8.6999999999999994E-3</v>
      </c>
      <c r="AP39" s="228">
        <v>740.29</v>
      </c>
      <c r="AQ39" s="228">
        <v>744.78</v>
      </c>
      <c r="AR39" s="228">
        <v>0</v>
      </c>
      <c r="AS39" s="228">
        <v>188</v>
      </c>
      <c r="AT39" s="228">
        <v>91</v>
      </c>
      <c r="AU39" s="228">
        <v>97</v>
      </c>
      <c r="AV39" s="229">
        <v>1.0749</v>
      </c>
      <c r="AW39" s="228">
        <v>165</v>
      </c>
      <c r="AX39" s="228">
        <v>72</v>
      </c>
      <c r="AY39" s="228">
        <v>93</v>
      </c>
      <c r="AZ39" s="229">
        <v>1.3035000000000001</v>
      </c>
      <c r="BA39" s="228">
        <v>22</v>
      </c>
      <c r="BB39" s="228">
        <v>19</v>
      </c>
      <c r="BC39" s="228">
        <v>3</v>
      </c>
      <c r="BD39" s="229">
        <v>0.15160000000000001</v>
      </c>
      <c r="BE39" s="228">
        <v>1</v>
      </c>
      <c r="BF39" s="228">
        <v>0</v>
      </c>
      <c r="BG39" s="228">
        <v>1</v>
      </c>
      <c r="BH39" s="229">
        <v>11</v>
      </c>
      <c r="BI39" s="228">
        <v>223</v>
      </c>
      <c r="BJ39" s="228">
        <v>139</v>
      </c>
      <c r="BK39" s="228">
        <v>84</v>
      </c>
      <c r="BL39" s="229">
        <v>0.60089999999999999</v>
      </c>
      <c r="BM39" s="228">
        <v>210</v>
      </c>
      <c r="BN39" s="228">
        <v>33</v>
      </c>
      <c r="BO39" s="228">
        <v>177</v>
      </c>
      <c r="BP39" s="229">
        <v>5.3178999999999998</v>
      </c>
      <c r="BQ39" s="228">
        <v>622</v>
      </c>
      <c r="BR39" s="228">
        <v>263</v>
      </c>
      <c r="BS39" s="228">
        <v>358</v>
      </c>
      <c r="BT39" s="229">
        <v>1.3606</v>
      </c>
      <c r="BU39" s="230">
        <v>784421</v>
      </c>
      <c r="BV39" s="230">
        <v>590802</v>
      </c>
      <c r="BW39" s="230">
        <v>193619</v>
      </c>
      <c r="BX39" s="229">
        <v>0.32769999999999999</v>
      </c>
      <c r="BY39" s="228">
        <v>686</v>
      </c>
      <c r="BZ39" s="228">
        <v>690</v>
      </c>
      <c r="CA39" s="228">
        <v>-5</v>
      </c>
      <c r="CB39" s="229">
        <v>-6.6E-3</v>
      </c>
      <c r="CC39" s="228">
        <v>589</v>
      </c>
      <c r="CD39" s="228">
        <v>597</v>
      </c>
      <c r="CE39" s="228">
        <v>-8</v>
      </c>
      <c r="CF39" s="229">
        <v>-1.35E-2</v>
      </c>
      <c r="CG39" s="228">
        <v>88</v>
      </c>
      <c r="CH39" s="228">
        <v>86</v>
      </c>
      <c r="CI39" s="228">
        <v>3</v>
      </c>
      <c r="CJ39" s="229">
        <v>3.4200000000000001E-2</v>
      </c>
      <c r="CK39" s="228">
        <v>8</v>
      </c>
      <c r="CL39" s="228">
        <v>8</v>
      </c>
      <c r="CM39" s="228">
        <v>1</v>
      </c>
      <c r="CN39" s="229">
        <v>7.0400000000000004E-2</v>
      </c>
      <c r="CO39" s="228">
        <v>435</v>
      </c>
      <c r="CP39" s="228">
        <v>418</v>
      </c>
      <c r="CQ39" s="228">
        <v>17</v>
      </c>
      <c r="CR39" s="229">
        <v>4.0099999999999997E-2</v>
      </c>
      <c r="CS39" s="228">
        <v>284</v>
      </c>
      <c r="CT39" s="228">
        <v>255</v>
      </c>
      <c r="CU39" s="228">
        <v>29</v>
      </c>
      <c r="CV39" s="229">
        <v>0.1118</v>
      </c>
      <c r="CW39" s="230">
        <v>1404</v>
      </c>
      <c r="CX39" s="230">
        <v>1363</v>
      </c>
      <c r="CY39" s="228">
        <v>41</v>
      </c>
      <c r="CZ39" s="229">
        <v>2.9899999999999999E-2</v>
      </c>
      <c r="DA39" s="228">
        <v>29.44</v>
      </c>
      <c r="DB39" s="228">
        <v>27.45</v>
      </c>
      <c r="DC39" s="228">
        <v>1.99</v>
      </c>
      <c r="DD39" s="228">
        <v>1.99</v>
      </c>
      <c r="DE39" s="228">
        <v>40.6</v>
      </c>
      <c r="DF39" s="228">
        <v>40.549999999999997</v>
      </c>
      <c r="DG39" s="228">
        <v>-11.16</v>
      </c>
      <c r="DH39" s="228">
        <v>0.05</v>
      </c>
      <c r="DI39" s="228">
        <v>29.9</v>
      </c>
      <c r="DJ39" s="228">
        <v>27.44</v>
      </c>
      <c r="DK39" s="228">
        <v>2.46</v>
      </c>
      <c r="DL39" s="228">
        <v>2.46</v>
      </c>
      <c r="DM39" s="228">
        <v>28.96</v>
      </c>
      <c r="DN39" s="228">
        <v>27.48</v>
      </c>
      <c r="DO39" s="228">
        <v>1.48</v>
      </c>
      <c r="DP39" s="228">
        <v>1.48</v>
      </c>
      <c r="DQ39" s="228">
        <v>0.65</v>
      </c>
      <c r="DR39" s="228">
        <v>0.61</v>
      </c>
      <c r="DS39" s="228">
        <v>0.04</v>
      </c>
      <c r="DT39" s="229">
        <v>6.5600000000000006E-2</v>
      </c>
      <c r="DU39" s="228">
        <v>800</v>
      </c>
      <c r="DV39" s="228">
        <v>750</v>
      </c>
      <c r="DW39" s="228">
        <v>0.94</v>
      </c>
      <c r="DX39" s="228">
        <v>0.24</v>
      </c>
      <c r="DY39" s="228">
        <v>0.7</v>
      </c>
      <c r="DZ39" s="229">
        <v>2.9167000000000001</v>
      </c>
      <c r="EA39" s="229">
        <v>0.14119999999999999</v>
      </c>
      <c r="EB39" s="230">
        <v>1269750</v>
      </c>
      <c r="EC39" s="229">
        <v>6.7000000000000002E-3</v>
      </c>
      <c r="ED39" s="229">
        <v>0.14119999999999999</v>
      </c>
      <c r="EE39" s="228">
        <v>4.49</v>
      </c>
      <c r="EF39" s="229">
        <v>6.1000000000000004E-3</v>
      </c>
      <c r="EG39" s="230">
        <v>336618</v>
      </c>
      <c r="EH39" s="230">
        <v>298818</v>
      </c>
      <c r="EI39" s="229">
        <v>0.1265</v>
      </c>
      <c r="EJ39" s="229">
        <v>0.42909999999999998</v>
      </c>
      <c r="EK39" s="228">
        <v>237.69</v>
      </c>
      <c r="EL39" s="228">
        <v>212.97</v>
      </c>
      <c r="EM39" s="228">
        <v>189.42</v>
      </c>
      <c r="EN39" s="228">
        <v>16.96</v>
      </c>
      <c r="EO39" s="228">
        <v>640.08000000000004</v>
      </c>
      <c r="EP39" s="228">
        <v>276.32</v>
      </c>
      <c r="EQ39" s="228">
        <v>363.75</v>
      </c>
      <c r="ER39" s="229">
        <v>1.3164</v>
      </c>
      <c r="ES39" s="228">
        <v>475.46</v>
      </c>
      <c r="ET39" s="228">
        <v>290.57</v>
      </c>
      <c r="EU39" s="228">
        <v>686.2</v>
      </c>
      <c r="EV39" s="231">
        <v>37106075</v>
      </c>
      <c r="EW39" s="231">
        <v>1452.24</v>
      </c>
      <c r="EX39" s="231">
        <v>1429.61</v>
      </c>
      <c r="EY39" s="228">
        <v>22.63</v>
      </c>
      <c r="EZ39" s="229">
        <v>1.5800000000000002E-2</v>
      </c>
      <c r="FA39" s="229">
        <v>0.51470000000000005</v>
      </c>
      <c r="FB39" s="227" t="s">
        <v>568</v>
      </c>
      <c r="FC39">
        <f t="shared" si="0"/>
        <v>97</v>
      </c>
    </row>
    <row r="40" spans="1:159" ht="17.25" thickBot="1" x14ac:dyDescent="0.3">
      <c r="A40" s="226">
        <v>46008</v>
      </c>
      <c r="B40" s="227" t="s">
        <v>172</v>
      </c>
      <c r="C40" s="227" t="s">
        <v>196</v>
      </c>
      <c r="D40" s="228">
        <v>6750</v>
      </c>
      <c r="E40" s="228">
        <v>13</v>
      </c>
      <c r="F40" s="228">
        <v>150.35</v>
      </c>
      <c r="G40" s="228">
        <v>147.43</v>
      </c>
      <c r="H40" s="228">
        <v>2.92</v>
      </c>
      <c r="I40" s="229">
        <v>1.9800000000000002E-2</v>
      </c>
      <c r="J40" s="228">
        <v>150.21</v>
      </c>
      <c r="K40" s="228">
        <v>147.16999999999999</v>
      </c>
      <c r="L40" s="228">
        <v>3.04</v>
      </c>
      <c r="M40" s="229">
        <v>2.07E-2</v>
      </c>
      <c r="N40" s="228">
        <v>150.35</v>
      </c>
      <c r="O40" s="228">
        <v>147.43</v>
      </c>
      <c r="P40" s="228">
        <v>2.92</v>
      </c>
      <c r="Q40" s="229">
        <v>1.9800000000000002E-2</v>
      </c>
      <c r="R40" s="228">
        <v>150.99</v>
      </c>
      <c r="S40" s="228">
        <v>147.99</v>
      </c>
      <c r="T40" s="228">
        <v>3</v>
      </c>
      <c r="U40" s="229">
        <v>2.0299999999999999E-2</v>
      </c>
      <c r="V40" s="228">
        <v>151.75</v>
      </c>
      <c r="W40" s="228">
        <v>148.9</v>
      </c>
      <c r="X40" s="228">
        <v>2.85</v>
      </c>
      <c r="Y40" s="229">
        <v>1.9099999999999999E-2</v>
      </c>
      <c r="Z40" s="228">
        <v>0.14000000000000001</v>
      </c>
      <c r="AA40" s="228">
        <v>0.26</v>
      </c>
      <c r="AB40" s="228">
        <v>-0.12</v>
      </c>
      <c r="AC40" s="229">
        <v>8.9999999999999998E-4</v>
      </c>
      <c r="AD40" s="228">
        <v>0.14000000000000001</v>
      </c>
      <c r="AE40" s="228">
        <v>0.26</v>
      </c>
      <c r="AF40" s="228">
        <v>-0.12</v>
      </c>
      <c r="AG40" s="229">
        <v>8.9999999999999998E-4</v>
      </c>
      <c r="AH40" s="228">
        <v>0.78</v>
      </c>
      <c r="AI40" s="228">
        <v>0.82</v>
      </c>
      <c r="AJ40" s="228">
        <v>-0.04</v>
      </c>
      <c r="AK40" s="229">
        <v>5.1999999999999998E-3</v>
      </c>
      <c r="AL40" s="228">
        <v>1.54</v>
      </c>
      <c r="AM40" s="228">
        <v>1.73</v>
      </c>
      <c r="AN40" s="228">
        <v>-0.19</v>
      </c>
      <c r="AO40" s="229">
        <v>1.03E-2</v>
      </c>
      <c r="AP40" s="228">
        <v>149.97999999999999</v>
      </c>
      <c r="AQ40" s="228">
        <v>150.62</v>
      </c>
      <c r="AR40" s="228">
        <v>0</v>
      </c>
      <c r="AS40" s="228">
        <v>810</v>
      </c>
      <c r="AT40" s="228">
        <v>441</v>
      </c>
      <c r="AU40" s="228">
        <v>370</v>
      </c>
      <c r="AV40" s="229">
        <v>0.83840000000000003</v>
      </c>
      <c r="AW40" s="228">
        <v>654</v>
      </c>
      <c r="AX40" s="228">
        <v>345</v>
      </c>
      <c r="AY40" s="228">
        <v>310</v>
      </c>
      <c r="AZ40" s="229">
        <v>0.89900000000000002</v>
      </c>
      <c r="BA40" s="228">
        <v>143</v>
      </c>
      <c r="BB40" s="228">
        <v>94</v>
      </c>
      <c r="BC40" s="228">
        <v>49</v>
      </c>
      <c r="BD40" s="229">
        <v>0.5222</v>
      </c>
      <c r="BE40" s="228">
        <v>13</v>
      </c>
      <c r="BF40" s="228">
        <v>2</v>
      </c>
      <c r="BG40" s="228">
        <v>11</v>
      </c>
      <c r="BH40" s="229">
        <v>4.6086999999999998</v>
      </c>
      <c r="BI40" s="230">
        <v>3440</v>
      </c>
      <c r="BJ40" s="228">
        <v>867</v>
      </c>
      <c r="BK40" s="230">
        <v>2574</v>
      </c>
      <c r="BL40" s="229">
        <v>2.9687000000000001</v>
      </c>
      <c r="BM40" s="230">
        <v>1681</v>
      </c>
      <c r="BN40" s="228">
        <v>532</v>
      </c>
      <c r="BO40" s="230">
        <v>1149</v>
      </c>
      <c r="BP40" s="229">
        <v>2.1577000000000002</v>
      </c>
      <c r="BQ40" s="230">
        <v>5932</v>
      </c>
      <c r="BR40" s="230">
        <v>1840</v>
      </c>
      <c r="BS40" s="230">
        <v>4092</v>
      </c>
      <c r="BT40" s="229">
        <v>2.2237</v>
      </c>
      <c r="BU40" s="230">
        <v>28010672</v>
      </c>
      <c r="BV40" s="230">
        <v>15229006</v>
      </c>
      <c r="BW40" s="230">
        <v>12781666</v>
      </c>
      <c r="BX40" s="229">
        <v>0.83930000000000005</v>
      </c>
      <c r="BY40" s="230">
        <v>2184</v>
      </c>
      <c r="BZ40" s="230">
        <v>2195</v>
      </c>
      <c r="CA40" s="228">
        <v>-11</v>
      </c>
      <c r="CB40" s="229">
        <v>-4.8999999999999998E-3</v>
      </c>
      <c r="CC40" s="230">
        <v>1840</v>
      </c>
      <c r="CD40" s="230">
        <v>1880</v>
      </c>
      <c r="CE40" s="228">
        <v>-40</v>
      </c>
      <c r="CF40" s="229">
        <v>-2.1100000000000001E-2</v>
      </c>
      <c r="CG40" s="228">
        <v>306</v>
      </c>
      <c r="CH40" s="228">
        <v>275</v>
      </c>
      <c r="CI40" s="228">
        <v>32</v>
      </c>
      <c r="CJ40" s="229">
        <v>0.11600000000000001</v>
      </c>
      <c r="CK40" s="228">
        <v>38</v>
      </c>
      <c r="CL40" s="228">
        <v>41</v>
      </c>
      <c r="CM40" s="228">
        <v>-3</v>
      </c>
      <c r="CN40" s="229">
        <v>-7.7100000000000002E-2</v>
      </c>
      <c r="CO40" s="230">
        <v>1664</v>
      </c>
      <c r="CP40" s="230">
        <v>1724</v>
      </c>
      <c r="CQ40" s="228">
        <v>-60</v>
      </c>
      <c r="CR40" s="229">
        <v>-3.4799999999999998E-2</v>
      </c>
      <c r="CS40" s="230">
        <v>1366</v>
      </c>
      <c r="CT40" s="230">
        <v>1309</v>
      </c>
      <c r="CU40" s="228">
        <v>57</v>
      </c>
      <c r="CV40" s="229">
        <v>4.3299999999999998E-2</v>
      </c>
      <c r="CW40" s="230">
        <v>5214</v>
      </c>
      <c r="CX40" s="230">
        <v>5228</v>
      </c>
      <c r="CY40" s="228">
        <v>-14</v>
      </c>
      <c r="CZ40" s="229">
        <v>-2.7000000000000001E-3</v>
      </c>
      <c r="DA40" s="228">
        <v>25.05</v>
      </c>
      <c r="DB40" s="228">
        <v>25.15</v>
      </c>
      <c r="DC40" s="228">
        <v>-0.1</v>
      </c>
      <c r="DD40" s="228">
        <v>-0.1</v>
      </c>
      <c r="DE40" s="228">
        <v>36.14</v>
      </c>
      <c r="DF40" s="228">
        <v>36.130000000000003</v>
      </c>
      <c r="DG40" s="228">
        <v>-11.09</v>
      </c>
      <c r="DH40" s="228">
        <v>0.01</v>
      </c>
      <c r="DI40" s="228">
        <v>24.78</v>
      </c>
      <c r="DJ40" s="228">
        <v>25.31</v>
      </c>
      <c r="DK40" s="228">
        <v>-0.53</v>
      </c>
      <c r="DL40" s="228">
        <v>-0.53</v>
      </c>
      <c r="DM40" s="228">
        <v>25.59</v>
      </c>
      <c r="DN40" s="228">
        <v>24.88</v>
      </c>
      <c r="DO40" s="228">
        <v>0.71</v>
      </c>
      <c r="DP40" s="228">
        <v>0.71</v>
      </c>
      <c r="DQ40" s="228">
        <v>0.82</v>
      </c>
      <c r="DR40" s="228">
        <v>0.76</v>
      </c>
      <c r="DS40" s="228">
        <v>0.06</v>
      </c>
      <c r="DT40" s="229">
        <v>7.8899999999999998E-2</v>
      </c>
      <c r="DU40" s="228">
        <v>150</v>
      </c>
      <c r="DV40" s="228">
        <v>150</v>
      </c>
      <c r="DW40" s="228">
        <v>0.49</v>
      </c>
      <c r="DX40" s="228">
        <v>0.61</v>
      </c>
      <c r="DY40" s="228">
        <v>-0.12</v>
      </c>
      <c r="DZ40" s="229">
        <v>-0.19670000000000001</v>
      </c>
      <c r="EA40" s="229">
        <v>0.15759999999999999</v>
      </c>
      <c r="EB40" s="230">
        <v>20979000</v>
      </c>
      <c r="EC40" s="229">
        <v>4.3E-3</v>
      </c>
      <c r="ED40" s="229">
        <v>0.15759999999999999</v>
      </c>
      <c r="EE40" s="228">
        <v>0.64</v>
      </c>
      <c r="EF40" s="229">
        <v>4.3E-3</v>
      </c>
      <c r="EG40" s="230">
        <v>12347371</v>
      </c>
      <c r="EH40" s="230">
        <v>8423929</v>
      </c>
      <c r="EI40" s="229">
        <v>0.4657</v>
      </c>
      <c r="EJ40" s="229">
        <v>0.44080000000000003</v>
      </c>
      <c r="EK40" s="231">
        <v>3528.59</v>
      </c>
      <c r="EL40" s="231">
        <v>1652.77</v>
      </c>
      <c r="EM40" s="228">
        <v>809.19</v>
      </c>
      <c r="EN40" s="228">
        <v>52.11</v>
      </c>
      <c r="EO40" s="231">
        <v>5990.55</v>
      </c>
      <c r="EP40" s="231">
        <v>1828.17</v>
      </c>
      <c r="EQ40" s="231">
        <v>4162.38</v>
      </c>
      <c r="ER40" s="229">
        <v>2.2768000000000002</v>
      </c>
      <c r="ES40" s="231">
        <v>1695.44</v>
      </c>
      <c r="ET40" s="231">
        <v>1303.05</v>
      </c>
      <c r="EU40" s="231">
        <v>2185.7399999999998</v>
      </c>
      <c r="EV40" s="231">
        <v>504315430</v>
      </c>
      <c r="EW40" s="231">
        <v>5184.24</v>
      </c>
      <c r="EX40" s="231">
        <v>5149.58</v>
      </c>
      <c r="EY40" s="228">
        <v>34.659999999999997</v>
      </c>
      <c r="EZ40" s="229">
        <v>6.7000000000000002E-3</v>
      </c>
      <c r="FA40" s="229">
        <v>0.68769999999999998</v>
      </c>
      <c r="FB40" s="227" t="s">
        <v>556</v>
      </c>
      <c r="FC40">
        <f t="shared" si="0"/>
        <v>344</v>
      </c>
    </row>
    <row r="41" spans="1:159" ht="17.25" thickBot="1" x14ac:dyDescent="0.3">
      <c r="A41" s="226">
        <v>46008</v>
      </c>
      <c r="B41" s="227" t="s">
        <v>175</v>
      </c>
      <c r="C41" s="227" t="s">
        <v>597</v>
      </c>
      <c r="D41" s="228">
        <v>475</v>
      </c>
      <c r="E41" s="228">
        <v>13</v>
      </c>
      <c r="F41" s="231">
        <v>1478.4</v>
      </c>
      <c r="G41" s="231">
        <v>1503.1</v>
      </c>
      <c r="H41" s="228">
        <v>-24.7</v>
      </c>
      <c r="I41" s="229">
        <v>-1.6400000000000001E-2</v>
      </c>
      <c r="J41" s="231">
        <v>1477.3</v>
      </c>
      <c r="K41" s="231">
        <v>1501.2</v>
      </c>
      <c r="L41" s="228">
        <v>-23.9</v>
      </c>
      <c r="M41" s="229">
        <v>-1.5900000000000001E-2</v>
      </c>
      <c r="N41" s="231">
        <v>1478.4</v>
      </c>
      <c r="O41" s="231">
        <v>1503.1</v>
      </c>
      <c r="P41" s="228">
        <v>-24.7</v>
      </c>
      <c r="Q41" s="229">
        <v>-1.6400000000000001E-2</v>
      </c>
      <c r="R41" s="231">
        <v>1485.8</v>
      </c>
      <c r="S41" s="231">
        <v>1510.4</v>
      </c>
      <c r="T41" s="228">
        <v>-24.6</v>
      </c>
      <c r="U41" s="229">
        <v>-1.6299999999999999E-2</v>
      </c>
      <c r="V41" s="231">
        <v>1493.5</v>
      </c>
      <c r="W41" s="231">
        <v>1519.2</v>
      </c>
      <c r="X41" s="228">
        <v>-25.7</v>
      </c>
      <c r="Y41" s="229">
        <v>-1.6899999999999998E-2</v>
      </c>
      <c r="Z41" s="228">
        <v>1.1000000000000001</v>
      </c>
      <c r="AA41" s="228">
        <v>1.9</v>
      </c>
      <c r="AB41" s="228">
        <v>-0.8</v>
      </c>
      <c r="AC41" s="229">
        <v>6.9999999999999999E-4</v>
      </c>
      <c r="AD41" s="228">
        <v>1.1000000000000001</v>
      </c>
      <c r="AE41" s="228">
        <v>1.9</v>
      </c>
      <c r="AF41" s="228">
        <v>-0.8</v>
      </c>
      <c r="AG41" s="229">
        <v>6.9999999999999999E-4</v>
      </c>
      <c r="AH41" s="228">
        <v>8.5</v>
      </c>
      <c r="AI41" s="228">
        <v>9.1999999999999993</v>
      </c>
      <c r="AJ41" s="228">
        <v>-0.7</v>
      </c>
      <c r="AK41" s="229">
        <v>5.7999999999999996E-3</v>
      </c>
      <c r="AL41" s="228">
        <v>16.2</v>
      </c>
      <c r="AM41" s="228">
        <v>18</v>
      </c>
      <c r="AN41" s="228">
        <v>-1.8</v>
      </c>
      <c r="AO41" s="229">
        <v>1.0999999999999999E-2</v>
      </c>
      <c r="AP41" s="231">
        <v>1486.37</v>
      </c>
      <c r="AQ41" s="231">
        <v>1497.72</v>
      </c>
      <c r="AR41" s="228">
        <v>0</v>
      </c>
      <c r="AS41" s="228">
        <v>294</v>
      </c>
      <c r="AT41" s="228">
        <v>174</v>
      </c>
      <c r="AU41" s="228">
        <v>120</v>
      </c>
      <c r="AV41" s="229">
        <v>0.68969999999999998</v>
      </c>
      <c r="AW41" s="228">
        <v>215</v>
      </c>
      <c r="AX41" s="228">
        <v>138</v>
      </c>
      <c r="AY41" s="228">
        <v>77</v>
      </c>
      <c r="AZ41" s="229">
        <v>0.56010000000000004</v>
      </c>
      <c r="BA41" s="228">
        <v>73</v>
      </c>
      <c r="BB41" s="228">
        <v>31</v>
      </c>
      <c r="BC41" s="228">
        <v>41</v>
      </c>
      <c r="BD41" s="229">
        <v>1.3184</v>
      </c>
      <c r="BE41" s="228">
        <v>6</v>
      </c>
      <c r="BF41" s="228">
        <v>5</v>
      </c>
      <c r="BG41" s="228">
        <v>1</v>
      </c>
      <c r="BH41" s="229">
        <v>0.29849999999999999</v>
      </c>
      <c r="BI41" s="230">
        <v>1248</v>
      </c>
      <c r="BJ41" s="228">
        <v>798</v>
      </c>
      <c r="BK41" s="228">
        <v>449</v>
      </c>
      <c r="BL41" s="229">
        <v>0.56289999999999996</v>
      </c>
      <c r="BM41" s="228">
        <v>432</v>
      </c>
      <c r="BN41" s="228">
        <v>257</v>
      </c>
      <c r="BO41" s="228">
        <v>176</v>
      </c>
      <c r="BP41" s="229">
        <v>0.68389999999999995</v>
      </c>
      <c r="BQ41" s="230">
        <v>1974</v>
      </c>
      <c r="BR41" s="230">
        <v>1229</v>
      </c>
      <c r="BS41" s="228">
        <v>745</v>
      </c>
      <c r="BT41" s="229">
        <v>0.60609999999999997</v>
      </c>
      <c r="BU41" s="230">
        <v>1256442</v>
      </c>
      <c r="BV41" s="230">
        <v>798177</v>
      </c>
      <c r="BW41" s="230">
        <v>458265</v>
      </c>
      <c r="BX41" s="229">
        <v>0.57410000000000005</v>
      </c>
      <c r="BY41" s="230">
        <v>1490</v>
      </c>
      <c r="BZ41" s="230">
        <v>1442</v>
      </c>
      <c r="CA41" s="228">
        <v>47</v>
      </c>
      <c r="CB41" s="229">
        <v>3.2800000000000003E-2</v>
      </c>
      <c r="CC41" s="230">
        <v>1300</v>
      </c>
      <c r="CD41" s="230">
        <v>1277</v>
      </c>
      <c r="CE41" s="228">
        <v>23</v>
      </c>
      <c r="CF41" s="229">
        <v>1.7999999999999999E-2</v>
      </c>
      <c r="CG41" s="228">
        <v>168</v>
      </c>
      <c r="CH41" s="228">
        <v>147</v>
      </c>
      <c r="CI41" s="228">
        <v>21</v>
      </c>
      <c r="CJ41" s="229">
        <v>0.14369999999999999</v>
      </c>
      <c r="CK41" s="228">
        <v>23</v>
      </c>
      <c r="CL41" s="228">
        <v>19</v>
      </c>
      <c r="CM41" s="228">
        <v>3</v>
      </c>
      <c r="CN41" s="229">
        <v>0.17150000000000001</v>
      </c>
      <c r="CO41" s="230">
        <v>1731</v>
      </c>
      <c r="CP41" s="230">
        <v>1596</v>
      </c>
      <c r="CQ41" s="228">
        <v>135</v>
      </c>
      <c r="CR41" s="229">
        <v>8.4900000000000003E-2</v>
      </c>
      <c r="CS41" s="228">
        <v>754</v>
      </c>
      <c r="CT41" s="228">
        <v>739</v>
      </c>
      <c r="CU41" s="228">
        <v>16</v>
      </c>
      <c r="CV41" s="229">
        <v>2.1000000000000001E-2</v>
      </c>
      <c r="CW41" s="230">
        <v>3975</v>
      </c>
      <c r="CX41" s="230">
        <v>3777</v>
      </c>
      <c r="CY41" s="228">
        <v>198</v>
      </c>
      <c r="CZ41" s="229">
        <v>5.2499999999999998E-2</v>
      </c>
      <c r="DA41" s="228">
        <v>29.96</v>
      </c>
      <c r="DB41" s="228">
        <v>29.09</v>
      </c>
      <c r="DC41" s="228">
        <v>0.87</v>
      </c>
      <c r="DD41" s="228">
        <v>0.87</v>
      </c>
      <c r="DE41" s="228">
        <v>45.05</v>
      </c>
      <c r="DF41" s="228">
        <v>45.11</v>
      </c>
      <c r="DG41" s="228">
        <v>-15.09</v>
      </c>
      <c r="DH41" s="228">
        <v>-0.06</v>
      </c>
      <c r="DI41" s="228">
        <v>31.1</v>
      </c>
      <c r="DJ41" s="228">
        <v>29.8</v>
      </c>
      <c r="DK41" s="228">
        <v>1.3</v>
      </c>
      <c r="DL41" s="228">
        <v>1.3</v>
      </c>
      <c r="DM41" s="228">
        <v>26.68</v>
      </c>
      <c r="DN41" s="228">
        <v>26.91</v>
      </c>
      <c r="DO41" s="228">
        <v>-0.23</v>
      </c>
      <c r="DP41" s="228">
        <v>-0.23</v>
      </c>
      <c r="DQ41" s="228">
        <v>0.44</v>
      </c>
      <c r="DR41" s="228">
        <v>0.46</v>
      </c>
      <c r="DS41" s="228">
        <v>-0.02</v>
      </c>
      <c r="DT41" s="229">
        <v>-4.3499999999999997E-2</v>
      </c>
      <c r="DU41" s="231">
        <v>1600</v>
      </c>
      <c r="DV41" s="231">
        <v>1500</v>
      </c>
      <c r="DW41" s="228">
        <v>0.35</v>
      </c>
      <c r="DX41" s="228">
        <v>0.32</v>
      </c>
      <c r="DY41" s="228">
        <v>0.03</v>
      </c>
      <c r="DZ41" s="229">
        <v>9.3700000000000006E-2</v>
      </c>
      <c r="EA41" s="229">
        <v>0.12770000000000001</v>
      </c>
      <c r="EB41" s="230">
        <v>1121950</v>
      </c>
      <c r="EC41" s="229">
        <v>5.0000000000000001E-3</v>
      </c>
      <c r="ED41" s="229">
        <v>0.12770000000000001</v>
      </c>
      <c r="EE41" s="228">
        <v>11.35</v>
      </c>
      <c r="EF41" s="229">
        <v>7.6E-3</v>
      </c>
      <c r="EG41" s="230">
        <v>517636</v>
      </c>
      <c r="EH41" s="230">
        <v>237076</v>
      </c>
      <c r="EI41" s="229">
        <v>1.1834</v>
      </c>
      <c r="EJ41" s="229">
        <v>0.41199999999999998</v>
      </c>
      <c r="EK41" s="231">
        <v>1341.98</v>
      </c>
      <c r="EL41" s="228">
        <v>437.14</v>
      </c>
      <c r="EM41" s="228">
        <v>295.88</v>
      </c>
      <c r="EN41" s="228">
        <v>30.7</v>
      </c>
      <c r="EO41" s="231">
        <v>2075</v>
      </c>
      <c r="EP41" s="231">
        <v>1303.98</v>
      </c>
      <c r="EQ41" s="228">
        <v>771.02</v>
      </c>
      <c r="ER41" s="229">
        <v>0.59130000000000005</v>
      </c>
      <c r="ES41" s="231">
        <v>1913.79</v>
      </c>
      <c r="ET41" s="228">
        <v>776.93</v>
      </c>
      <c r="EU41" s="231">
        <v>1490.87</v>
      </c>
      <c r="EV41" s="231">
        <v>26647500</v>
      </c>
      <c r="EW41" s="231">
        <v>4181.59</v>
      </c>
      <c r="EX41" s="231">
        <v>4003.83</v>
      </c>
      <c r="EY41" s="228">
        <v>177.76</v>
      </c>
      <c r="EZ41" s="229">
        <v>4.4400000000000002E-2</v>
      </c>
      <c r="FA41" s="229">
        <v>1.0088999999999999</v>
      </c>
      <c r="FB41" s="227" t="s">
        <v>567</v>
      </c>
      <c r="FC41">
        <f t="shared" si="0"/>
        <v>190</v>
      </c>
    </row>
    <row r="42" spans="1:159" ht="17.25" thickBot="1" x14ac:dyDescent="0.3">
      <c r="A42" s="226">
        <v>46008</v>
      </c>
      <c r="B42" s="227" t="s">
        <v>161</v>
      </c>
      <c r="C42" s="227" t="s">
        <v>612</v>
      </c>
      <c r="D42" s="228">
        <v>850</v>
      </c>
      <c r="E42" s="228">
        <v>13</v>
      </c>
      <c r="F42" s="228">
        <v>670.7</v>
      </c>
      <c r="G42" s="228">
        <v>674.2</v>
      </c>
      <c r="H42" s="228">
        <v>-3.5</v>
      </c>
      <c r="I42" s="229">
        <v>-5.1999999999999998E-3</v>
      </c>
      <c r="J42" s="228">
        <v>670.4</v>
      </c>
      <c r="K42" s="228">
        <v>673.05</v>
      </c>
      <c r="L42" s="228">
        <v>-2.65</v>
      </c>
      <c r="M42" s="229">
        <v>-3.8999999999999998E-3</v>
      </c>
      <c r="N42" s="228">
        <v>670.7</v>
      </c>
      <c r="O42" s="228">
        <v>674.2</v>
      </c>
      <c r="P42" s="228">
        <v>-3.5</v>
      </c>
      <c r="Q42" s="229">
        <v>-5.1999999999999998E-3</v>
      </c>
      <c r="R42" s="228">
        <v>674.35</v>
      </c>
      <c r="S42" s="228">
        <v>677.95</v>
      </c>
      <c r="T42" s="228">
        <v>-3.6</v>
      </c>
      <c r="U42" s="229">
        <v>-5.3E-3</v>
      </c>
      <c r="V42" s="228">
        <v>676.65</v>
      </c>
      <c r="W42" s="228">
        <v>680.65</v>
      </c>
      <c r="X42" s="228">
        <v>-4</v>
      </c>
      <c r="Y42" s="229">
        <v>-5.8999999999999999E-3</v>
      </c>
      <c r="Z42" s="228">
        <v>0.3</v>
      </c>
      <c r="AA42" s="228">
        <v>1.1499999999999999</v>
      </c>
      <c r="AB42" s="228">
        <v>-0.85</v>
      </c>
      <c r="AC42" s="229">
        <v>4.0000000000000002E-4</v>
      </c>
      <c r="AD42" s="228">
        <v>0.3</v>
      </c>
      <c r="AE42" s="228">
        <v>1.1499999999999999</v>
      </c>
      <c r="AF42" s="228">
        <v>-0.85</v>
      </c>
      <c r="AG42" s="229">
        <v>4.0000000000000002E-4</v>
      </c>
      <c r="AH42" s="228">
        <v>3.95</v>
      </c>
      <c r="AI42" s="228">
        <v>4.9000000000000004</v>
      </c>
      <c r="AJ42" s="228">
        <v>-0.95</v>
      </c>
      <c r="AK42" s="229">
        <v>5.8999999999999999E-3</v>
      </c>
      <c r="AL42" s="228">
        <v>6.25</v>
      </c>
      <c r="AM42" s="228">
        <v>7.6</v>
      </c>
      <c r="AN42" s="228">
        <v>-1.35</v>
      </c>
      <c r="AO42" s="229">
        <v>9.2999999999999992E-3</v>
      </c>
      <c r="AP42" s="228">
        <v>681.89</v>
      </c>
      <c r="AQ42" s="228">
        <v>685.58</v>
      </c>
      <c r="AR42" s="228">
        <v>0</v>
      </c>
      <c r="AS42" s="228">
        <v>371</v>
      </c>
      <c r="AT42" s="228">
        <v>158</v>
      </c>
      <c r="AU42" s="228">
        <v>213</v>
      </c>
      <c r="AV42" s="229">
        <v>1.3513999999999999</v>
      </c>
      <c r="AW42" s="228">
        <v>324</v>
      </c>
      <c r="AX42" s="228">
        <v>124</v>
      </c>
      <c r="AY42" s="228">
        <v>200</v>
      </c>
      <c r="AZ42" s="229">
        <v>1.6211</v>
      </c>
      <c r="BA42" s="228">
        <v>45</v>
      </c>
      <c r="BB42" s="228">
        <v>33</v>
      </c>
      <c r="BC42" s="228">
        <v>11</v>
      </c>
      <c r="BD42" s="229">
        <v>0.33900000000000002</v>
      </c>
      <c r="BE42" s="228">
        <v>2</v>
      </c>
      <c r="BF42" s="228">
        <v>1</v>
      </c>
      <c r="BG42" s="228">
        <v>2</v>
      </c>
      <c r="BH42" s="229">
        <v>1.8</v>
      </c>
      <c r="BI42" s="230">
        <v>2422</v>
      </c>
      <c r="BJ42" s="228">
        <v>257</v>
      </c>
      <c r="BK42" s="230">
        <v>2165</v>
      </c>
      <c r="BL42" s="229">
        <v>8.4301999999999992</v>
      </c>
      <c r="BM42" s="228">
        <v>527</v>
      </c>
      <c r="BN42" s="228">
        <v>76</v>
      </c>
      <c r="BO42" s="228">
        <v>451</v>
      </c>
      <c r="BP42" s="229">
        <v>5.9728000000000003</v>
      </c>
      <c r="BQ42" s="230">
        <v>3319</v>
      </c>
      <c r="BR42" s="228">
        <v>490</v>
      </c>
      <c r="BS42" s="230">
        <v>2829</v>
      </c>
      <c r="BT42" s="229">
        <v>5.7736000000000001</v>
      </c>
      <c r="BU42" s="230">
        <v>3716577</v>
      </c>
      <c r="BV42" s="230">
        <v>1196153</v>
      </c>
      <c r="BW42" s="230">
        <v>2520424</v>
      </c>
      <c r="BX42" s="229">
        <v>2.1071</v>
      </c>
      <c r="BY42" s="228">
        <v>991</v>
      </c>
      <c r="BZ42" s="228">
        <v>999</v>
      </c>
      <c r="CA42" s="228">
        <v>-8</v>
      </c>
      <c r="CB42" s="229">
        <v>-8.2000000000000007E-3</v>
      </c>
      <c r="CC42" s="228">
        <v>914</v>
      </c>
      <c r="CD42" s="228">
        <v>929</v>
      </c>
      <c r="CE42" s="228">
        <v>-16</v>
      </c>
      <c r="CF42" s="229">
        <v>-1.6799999999999999E-2</v>
      </c>
      <c r="CG42" s="228">
        <v>71</v>
      </c>
      <c r="CH42" s="228">
        <v>64</v>
      </c>
      <c r="CI42" s="228">
        <v>7</v>
      </c>
      <c r="CJ42" s="229">
        <v>0.10630000000000001</v>
      </c>
      <c r="CK42" s="228">
        <v>6</v>
      </c>
      <c r="CL42" s="228">
        <v>6</v>
      </c>
      <c r="CM42" s="228">
        <v>1</v>
      </c>
      <c r="CN42" s="229">
        <v>0.10199999999999999</v>
      </c>
      <c r="CO42" s="228">
        <v>646</v>
      </c>
      <c r="CP42" s="228">
        <v>529</v>
      </c>
      <c r="CQ42" s="228">
        <v>118</v>
      </c>
      <c r="CR42" s="229">
        <v>0.223</v>
      </c>
      <c r="CS42" s="228">
        <v>287</v>
      </c>
      <c r="CT42" s="228">
        <v>277</v>
      </c>
      <c r="CU42" s="228">
        <v>10</v>
      </c>
      <c r="CV42" s="229">
        <v>3.6900000000000002E-2</v>
      </c>
      <c r="CW42" s="230">
        <v>1925</v>
      </c>
      <c r="CX42" s="230">
        <v>1805</v>
      </c>
      <c r="CY42" s="228">
        <v>120</v>
      </c>
      <c r="CZ42" s="229">
        <v>6.6400000000000001E-2</v>
      </c>
      <c r="DA42" s="228">
        <v>27.94</v>
      </c>
      <c r="DB42" s="228">
        <v>25.53</v>
      </c>
      <c r="DC42" s="228">
        <v>2.41</v>
      </c>
      <c r="DD42" s="228">
        <v>2.41</v>
      </c>
      <c r="DE42" s="228">
        <v>39.25</v>
      </c>
      <c r="DF42" s="228">
        <v>39.340000000000003</v>
      </c>
      <c r="DG42" s="228">
        <v>-11.31</v>
      </c>
      <c r="DH42" s="228">
        <v>-0.09</v>
      </c>
      <c r="DI42" s="228">
        <v>28.27</v>
      </c>
      <c r="DJ42" s="228">
        <v>25.51</v>
      </c>
      <c r="DK42" s="228">
        <v>2.76</v>
      </c>
      <c r="DL42" s="228">
        <v>2.76</v>
      </c>
      <c r="DM42" s="228">
        <v>26.44</v>
      </c>
      <c r="DN42" s="228">
        <v>25.6</v>
      </c>
      <c r="DO42" s="228">
        <v>0.84</v>
      </c>
      <c r="DP42" s="228">
        <v>0.84</v>
      </c>
      <c r="DQ42" s="228">
        <v>0.44</v>
      </c>
      <c r="DR42" s="228">
        <v>0.52</v>
      </c>
      <c r="DS42" s="228">
        <v>-0.08</v>
      </c>
      <c r="DT42" s="229">
        <v>-0.15379999999999999</v>
      </c>
      <c r="DU42" s="228">
        <v>680</v>
      </c>
      <c r="DV42" s="228">
        <v>690</v>
      </c>
      <c r="DW42" s="228">
        <v>0.22</v>
      </c>
      <c r="DX42" s="228">
        <v>0.28999999999999998</v>
      </c>
      <c r="DY42" s="228">
        <v>-7.0000000000000007E-2</v>
      </c>
      <c r="DZ42" s="229">
        <v>-0.2414</v>
      </c>
      <c r="EA42" s="229">
        <v>7.8100000000000003E-2</v>
      </c>
      <c r="EB42" s="230">
        <v>1042950</v>
      </c>
      <c r="EC42" s="229">
        <v>5.4000000000000003E-3</v>
      </c>
      <c r="ED42" s="229">
        <v>7.8100000000000003E-2</v>
      </c>
      <c r="EE42" s="228">
        <v>3.69</v>
      </c>
      <c r="EF42" s="229">
        <v>5.4000000000000003E-3</v>
      </c>
      <c r="EG42" s="230">
        <v>1090111</v>
      </c>
      <c r="EH42" s="230">
        <v>680097</v>
      </c>
      <c r="EI42" s="229">
        <v>0.60289999999999999</v>
      </c>
      <c r="EJ42" s="229">
        <v>0.29330000000000001</v>
      </c>
      <c r="EK42" s="231">
        <v>2557.44</v>
      </c>
      <c r="EL42" s="228">
        <v>531.21</v>
      </c>
      <c r="EM42" s="228">
        <v>377.24</v>
      </c>
      <c r="EN42" s="228">
        <v>25.43</v>
      </c>
      <c r="EO42" s="231">
        <v>3465.9</v>
      </c>
      <c r="EP42" s="228">
        <v>500.29</v>
      </c>
      <c r="EQ42" s="231">
        <v>2965.61</v>
      </c>
      <c r="ER42" s="229">
        <v>5.9278000000000004</v>
      </c>
      <c r="ES42" s="228">
        <v>683.92</v>
      </c>
      <c r="ET42" s="228">
        <v>288.33</v>
      </c>
      <c r="EU42" s="228">
        <v>991.55</v>
      </c>
      <c r="EV42" s="231">
        <v>100245792</v>
      </c>
      <c r="EW42" s="231">
        <v>1963.81</v>
      </c>
      <c r="EX42" s="231">
        <v>1844.83</v>
      </c>
      <c r="EY42" s="228">
        <v>118.98</v>
      </c>
      <c r="EZ42" s="229">
        <v>6.4500000000000002E-2</v>
      </c>
      <c r="FA42" s="229">
        <v>0.2863</v>
      </c>
      <c r="FB42" s="227" t="s">
        <v>568</v>
      </c>
      <c r="FC42">
        <f t="shared" si="0"/>
        <v>77</v>
      </c>
    </row>
    <row r="43" spans="1:159" ht="17.25" thickBot="1" x14ac:dyDescent="0.3">
      <c r="A43" s="226">
        <v>46008</v>
      </c>
      <c r="B43" s="227" t="s">
        <v>175</v>
      </c>
      <c r="C43" s="227" t="s">
        <v>198</v>
      </c>
      <c r="D43" s="228">
        <v>625</v>
      </c>
      <c r="E43" s="228">
        <v>13</v>
      </c>
      <c r="F43" s="231">
        <v>1679.2</v>
      </c>
      <c r="G43" s="231">
        <v>1718</v>
      </c>
      <c r="H43" s="228">
        <v>-38.799999999999997</v>
      </c>
      <c r="I43" s="229">
        <v>-2.2599999999999999E-2</v>
      </c>
      <c r="J43" s="231">
        <v>1673.5</v>
      </c>
      <c r="K43" s="231">
        <v>1715.4</v>
      </c>
      <c r="L43" s="228">
        <v>-41.9</v>
      </c>
      <c r="M43" s="229">
        <v>-2.4400000000000002E-2</v>
      </c>
      <c r="N43" s="231">
        <v>1679.2</v>
      </c>
      <c r="O43" s="231">
        <v>1718</v>
      </c>
      <c r="P43" s="228">
        <v>-38.799999999999997</v>
      </c>
      <c r="Q43" s="229">
        <v>-2.2599999999999999E-2</v>
      </c>
      <c r="R43" s="231">
        <v>1684.8</v>
      </c>
      <c r="S43" s="231">
        <v>1723</v>
      </c>
      <c r="T43" s="228">
        <v>-38.200000000000003</v>
      </c>
      <c r="U43" s="229">
        <v>-2.2200000000000001E-2</v>
      </c>
      <c r="V43" s="231">
        <v>1681.8</v>
      </c>
      <c r="W43" s="231">
        <v>1718.5</v>
      </c>
      <c r="X43" s="228">
        <v>-36.700000000000003</v>
      </c>
      <c r="Y43" s="229">
        <v>-2.1399999999999999E-2</v>
      </c>
      <c r="Z43" s="228">
        <v>5.7</v>
      </c>
      <c r="AA43" s="228">
        <v>2.6</v>
      </c>
      <c r="AB43" s="228">
        <v>3.1</v>
      </c>
      <c r="AC43" s="229">
        <v>3.3999999999999998E-3</v>
      </c>
      <c r="AD43" s="228">
        <v>5.7</v>
      </c>
      <c r="AE43" s="228">
        <v>2.6</v>
      </c>
      <c r="AF43" s="228">
        <v>3.1</v>
      </c>
      <c r="AG43" s="229">
        <v>3.3999999999999998E-3</v>
      </c>
      <c r="AH43" s="228">
        <v>11.3</v>
      </c>
      <c r="AI43" s="228">
        <v>7.6</v>
      </c>
      <c r="AJ43" s="228">
        <v>3.7</v>
      </c>
      <c r="AK43" s="229">
        <v>6.7999999999999996E-3</v>
      </c>
      <c r="AL43" s="228">
        <v>8.3000000000000007</v>
      </c>
      <c r="AM43" s="228">
        <v>3.1</v>
      </c>
      <c r="AN43" s="228">
        <v>5.2</v>
      </c>
      <c r="AO43" s="229">
        <v>5.0000000000000001E-3</v>
      </c>
      <c r="AP43" s="231">
        <v>1692.21</v>
      </c>
      <c r="AQ43" s="231">
        <v>1700.89</v>
      </c>
      <c r="AR43" s="228">
        <v>0</v>
      </c>
      <c r="AS43" s="228">
        <v>510</v>
      </c>
      <c r="AT43" s="228">
        <v>217</v>
      </c>
      <c r="AU43" s="228">
        <v>293</v>
      </c>
      <c r="AV43" s="229">
        <v>1.3512</v>
      </c>
      <c r="AW43" s="228">
        <v>443</v>
      </c>
      <c r="AX43" s="228">
        <v>185</v>
      </c>
      <c r="AY43" s="228">
        <v>258</v>
      </c>
      <c r="AZ43" s="229">
        <v>1.3983000000000001</v>
      </c>
      <c r="BA43" s="228">
        <v>66</v>
      </c>
      <c r="BB43" s="228">
        <v>31</v>
      </c>
      <c r="BC43" s="228">
        <v>35</v>
      </c>
      <c r="BD43" s="229">
        <v>1.1145</v>
      </c>
      <c r="BE43" s="228">
        <v>1</v>
      </c>
      <c r="BF43" s="228">
        <v>1</v>
      </c>
      <c r="BG43" s="228">
        <v>0</v>
      </c>
      <c r="BH43" s="229">
        <v>0.1</v>
      </c>
      <c r="BI43" s="230">
        <v>2185</v>
      </c>
      <c r="BJ43" s="228">
        <v>571</v>
      </c>
      <c r="BK43" s="230">
        <v>1614</v>
      </c>
      <c r="BL43" s="229">
        <v>2.8296999999999999</v>
      </c>
      <c r="BM43" s="230">
        <v>1388</v>
      </c>
      <c r="BN43" s="228">
        <v>212</v>
      </c>
      <c r="BO43" s="230">
        <v>1176</v>
      </c>
      <c r="BP43" s="229">
        <v>5.5503</v>
      </c>
      <c r="BQ43" s="230">
        <v>4083</v>
      </c>
      <c r="BR43" s="228">
        <v>999</v>
      </c>
      <c r="BS43" s="230">
        <v>3084</v>
      </c>
      <c r="BT43" s="229">
        <v>3.0855999999999999</v>
      </c>
      <c r="BU43" s="230">
        <v>1402017</v>
      </c>
      <c r="BV43" s="230">
        <v>516982</v>
      </c>
      <c r="BW43" s="230">
        <v>885035</v>
      </c>
      <c r="BX43" s="229">
        <v>1.7119</v>
      </c>
      <c r="BY43" s="230">
        <v>2413</v>
      </c>
      <c r="BZ43" s="230">
        <v>2376</v>
      </c>
      <c r="CA43" s="228">
        <v>37</v>
      </c>
      <c r="CB43" s="229">
        <v>1.5699999999999999E-2</v>
      </c>
      <c r="CC43" s="230">
        <v>2274</v>
      </c>
      <c r="CD43" s="230">
        <v>2266</v>
      </c>
      <c r="CE43" s="228">
        <v>7</v>
      </c>
      <c r="CF43" s="229">
        <v>3.0999999999999999E-3</v>
      </c>
      <c r="CG43" s="228">
        <v>134</v>
      </c>
      <c r="CH43" s="228">
        <v>104</v>
      </c>
      <c r="CI43" s="228">
        <v>30</v>
      </c>
      <c r="CJ43" s="229">
        <v>0.28689999999999999</v>
      </c>
      <c r="CK43" s="228">
        <v>6</v>
      </c>
      <c r="CL43" s="228">
        <v>5</v>
      </c>
      <c r="CM43" s="228">
        <v>0</v>
      </c>
      <c r="CN43" s="229">
        <v>7.6899999999999996E-2</v>
      </c>
      <c r="CO43" s="228">
        <v>981</v>
      </c>
      <c r="CP43" s="228">
        <v>613</v>
      </c>
      <c r="CQ43" s="228">
        <v>369</v>
      </c>
      <c r="CR43" s="229">
        <v>0.60170000000000001</v>
      </c>
      <c r="CS43" s="228">
        <v>723</v>
      </c>
      <c r="CT43" s="228">
        <v>396</v>
      </c>
      <c r="CU43" s="228">
        <v>328</v>
      </c>
      <c r="CV43" s="229">
        <v>0.8286</v>
      </c>
      <c r="CW43" s="230">
        <v>4118</v>
      </c>
      <c r="CX43" s="230">
        <v>3384</v>
      </c>
      <c r="CY43" s="228">
        <v>734</v>
      </c>
      <c r="CZ43" s="229">
        <v>0.21679999999999999</v>
      </c>
      <c r="DA43" s="228">
        <v>25.71</v>
      </c>
      <c r="DB43" s="228">
        <v>24.3</v>
      </c>
      <c r="DC43" s="228">
        <v>1.41</v>
      </c>
      <c r="DD43" s="228">
        <v>1.41</v>
      </c>
      <c r="DE43" s="228">
        <v>36.979999999999997</v>
      </c>
      <c r="DF43" s="228">
        <v>36.92</v>
      </c>
      <c r="DG43" s="228">
        <v>-11.27</v>
      </c>
      <c r="DH43" s="228">
        <v>0.06</v>
      </c>
      <c r="DI43" s="228">
        <v>25.51</v>
      </c>
      <c r="DJ43" s="228">
        <v>24.34</v>
      </c>
      <c r="DK43" s="228">
        <v>1.17</v>
      </c>
      <c r="DL43" s="228">
        <v>1.17</v>
      </c>
      <c r="DM43" s="228">
        <v>26.04</v>
      </c>
      <c r="DN43" s="228">
        <v>24.2</v>
      </c>
      <c r="DO43" s="228">
        <v>1.84</v>
      </c>
      <c r="DP43" s="228">
        <v>1.84</v>
      </c>
      <c r="DQ43" s="228">
        <v>0.74</v>
      </c>
      <c r="DR43" s="228">
        <v>0.65</v>
      </c>
      <c r="DS43" s="228">
        <v>0.09</v>
      </c>
      <c r="DT43" s="229">
        <v>0.13850000000000001</v>
      </c>
      <c r="DU43" s="231">
        <v>1740</v>
      </c>
      <c r="DV43" s="231">
        <v>1700</v>
      </c>
      <c r="DW43" s="228">
        <v>0.64</v>
      </c>
      <c r="DX43" s="228">
        <v>0.37</v>
      </c>
      <c r="DY43" s="228">
        <v>0.27</v>
      </c>
      <c r="DZ43" s="229">
        <v>0.72970000000000002</v>
      </c>
      <c r="EA43" s="229">
        <v>5.7799999999999997E-2</v>
      </c>
      <c r="EB43" s="230">
        <v>651250</v>
      </c>
      <c r="EC43" s="229">
        <v>3.3E-3</v>
      </c>
      <c r="ED43" s="229">
        <v>5.7799999999999997E-2</v>
      </c>
      <c r="EE43" s="228">
        <v>8.68</v>
      </c>
      <c r="EF43" s="229">
        <v>5.1000000000000004E-3</v>
      </c>
      <c r="EG43" s="230">
        <v>858693</v>
      </c>
      <c r="EH43" s="230">
        <v>313154</v>
      </c>
      <c r="EI43" s="229">
        <v>1.7421</v>
      </c>
      <c r="EJ43" s="229">
        <v>0.61250000000000004</v>
      </c>
      <c r="EK43" s="231">
        <v>2287.9299999999998</v>
      </c>
      <c r="EL43" s="231">
        <v>1397.6</v>
      </c>
      <c r="EM43" s="228">
        <v>514.35</v>
      </c>
      <c r="EN43" s="228">
        <v>36.75</v>
      </c>
      <c r="EO43" s="231">
        <v>4199.88</v>
      </c>
      <c r="EP43" s="231">
        <v>1043.07</v>
      </c>
      <c r="EQ43" s="231">
        <v>3156.8</v>
      </c>
      <c r="ER43" s="229">
        <v>3.0264000000000002</v>
      </c>
      <c r="ES43" s="231">
        <v>1028.83</v>
      </c>
      <c r="ET43" s="228">
        <v>714.63</v>
      </c>
      <c r="EU43" s="231">
        <v>2413.5700000000002</v>
      </c>
      <c r="EV43" s="231">
        <v>63212268</v>
      </c>
      <c r="EW43" s="231">
        <v>4157.03</v>
      </c>
      <c r="EX43" s="231">
        <v>3468.81</v>
      </c>
      <c r="EY43" s="228">
        <v>688.22</v>
      </c>
      <c r="EZ43" s="229">
        <v>0.19839999999999999</v>
      </c>
      <c r="FA43" s="229">
        <v>0.38790000000000002</v>
      </c>
      <c r="FB43" s="227" t="s">
        <v>567</v>
      </c>
      <c r="FC43">
        <f t="shared" si="0"/>
        <v>139</v>
      </c>
    </row>
    <row r="44" spans="1:159" ht="17.25" thickBot="1" x14ac:dyDescent="0.3">
      <c r="A44" s="226">
        <v>46008</v>
      </c>
      <c r="B44" s="227" t="s">
        <v>170</v>
      </c>
      <c r="C44" s="227" t="s">
        <v>199</v>
      </c>
      <c r="D44" s="228">
        <v>375</v>
      </c>
      <c r="E44" s="228">
        <v>13</v>
      </c>
      <c r="F44" s="231">
        <v>1498.5</v>
      </c>
      <c r="G44" s="231">
        <v>1502.3</v>
      </c>
      <c r="H44" s="228">
        <v>-3.8</v>
      </c>
      <c r="I44" s="229">
        <v>-2.5000000000000001E-3</v>
      </c>
      <c r="J44" s="231">
        <v>1496.9</v>
      </c>
      <c r="K44" s="231">
        <v>1499.6</v>
      </c>
      <c r="L44" s="228">
        <v>-2.7</v>
      </c>
      <c r="M44" s="229">
        <v>-1.8E-3</v>
      </c>
      <c r="N44" s="231">
        <v>1498.5</v>
      </c>
      <c r="O44" s="231">
        <v>1502.3</v>
      </c>
      <c r="P44" s="228">
        <v>-3.8</v>
      </c>
      <c r="Q44" s="229">
        <v>-2.5000000000000001E-3</v>
      </c>
      <c r="R44" s="231">
        <v>1508.8</v>
      </c>
      <c r="S44" s="231">
        <v>1511.4</v>
      </c>
      <c r="T44" s="228">
        <v>-2.6</v>
      </c>
      <c r="U44" s="229">
        <v>-1.6999999999999999E-3</v>
      </c>
      <c r="V44" s="231">
        <v>1517</v>
      </c>
      <c r="W44" s="231">
        <v>1521</v>
      </c>
      <c r="X44" s="228">
        <v>-4</v>
      </c>
      <c r="Y44" s="229">
        <v>-2.5999999999999999E-3</v>
      </c>
      <c r="Z44" s="228">
        <v>1.6</v>
      </c>
      <c r="AA44" s="228">
        <v>2.7</v>
      </c>
      <c r="AB44" s="228">
        <v>-1.1000000000000001</v>
      </c>
      <c r="AC44" s="229">
        <v>1.1000000000000001E-3</v>
      </c>
      <c r="AD44" s="228">
        <v>1.6</v>
      </c>
      <c r="AE44" s="228">
        <v>2.7</v>
      </c>
      <c r="AF44" s="228">
        <v>-1.1000000000000001</v>
      </c>
      <c r="AG44" s="229">
        <v>1.1000000000000001E-3</v>
      </c>
      <c r="AH44" s="228">
        <v>11.9</v>
      </c>
      <c r="AI44" s="228">
        <v>11.8</v>
      </c>
      <c r="AJ44" s="228">
        <v>0.1</v>
      </c>
      <c r="AK44" s="229">
        <v>7.9000000000000008E-3</v>
      </c>
      <c r="AL44" s="228">
        <v>20.100000000000001</v>
      </c>
      <c r="AM44" s="228">
        <v>21.4</v>
      </c>
      <c r="AN44" s="228">
        <v>-1.3</v>
      </c>
      <c r="AO44" s="229">
        <v>1.34E-2</v>
      </c>
      <c r="AP44" s="231">
        <v>1496.39</v>
      </c>
      <c r="AQ44" s="231">
        <v>1504.91</v>
      </c>
      <c r="AR44" s="228">
        <v>0</v>
      </c>
      <c r="AS44" s="228">
        <v>212</v>
      </c>
      <c r="AT44" s="228">
        <v>172</v>
      </c>
      <c r="AU44" s="228">
        <v>40</v>
      </c>
      <c r="AV44" s="229">
        <v>0.23419999999999999</v>
      </c>
      <c r="AW44" s="228">
        <v>151</v>
      </c>
      <c r="AX44" s="228">
        <v>128</v>
      </c>
      <c r="AY44" s="228">
        <v>22</v>
      </c>
      <c r="AZ44" s="229">
        <v>0.1719</v>
      </c>
      <c r="BA44" s="228">
        <v>61</v>
      </c>
      <c r="BB44" s="228">
        <v>43</v>
      </c>
      <c r="BC44" s="228">
        <v>18</v>
      </c>
      <c r="BD44" s="229">
        <v>0.42030000000000001</v>
      </c>
      <c r="BE44" s="228">
        <v>1</v>
      </c>
      <c r="BF44" s="228">
        <v>1</v>
      </c>
      <c r="BG44" s="228">
        <v>0</v>
      </c>
      <c r="BH44" s="229">
        <v>0.3125</v>
      </c>
      <c r="BI44" s="228">
        <v>536</v>
      </c>
      <c r="BJ44" s="228">
        <v>480</v>
      </c>
      <c r="BK44" s="228">
        <v>55</v>
      </c>
      <c r="BL44" s="229">
        <v>0.1153</v>
      </c>
      <c r="BM44" s="228">
        <v>202</v>
      </c>
      <c r="BN44" s="228">
        <v>186</v>
      </c>
      <c r="BO44" s="228">
        <v>16</v>
      </c>
      <c r="BP44" s="229">
        <v>8.5800000000000001E-2</v>
      </c>
      <c r="BQ44" s="228">
        <v>950</v>
      </c>
      <c r="BR44" s="228">
        <v>839</v>
      </c>
      <c r="BS44" s="228">
        <v>112</v>
      </c>
      <c r="BT44" s="229">
        <v>0.13320000000000001</v>
      </c>
      <c r="BU44" s="230">
        <v>1014318</v>
      </c>
      <c r="BV44" s="230">
        <v>803061</v>
      </c>
      <c r="BW44" s="230">
        <v>211257</v>
      </c>
      <c r="BX44" s="229">
        <v>0.2631</v>
      </c>
      <c r="BY44" s="230">
        <v>2063</v>
      </c>
      <c r="BZ44" s="230">
        <v>2017</v>
      </c>
      <c r="CA44" s="228">
        <v>46</v>
      </c>
      <c r="CB44" s="229">
        <v>2.2800000000000001E-2</v>
      </c>
      <c r="CC44" s="230">
        <v>1856</v>
      </c>
      <c r="CD44" s="230">
        <v>1864</v>
      </c>
      <c r="CE44" s="228">
        <v>-8</v>
      </c>
      <c r="CF44" s="229">
        <v>-4.1999999999999997E-3</v>
      </c>
      <c r="CG44" s="228">
        <v>197</v>
      </c>
      <c r="CH44" s="228">
        <v>144</v>
      </c>
      <c r="CI44" s="228">
        <v>53</v>
      </c>
      <c r="CJ44" s="229">
        <v>0.36870000000000003</v>
      </c>
      <c r="CK44" s="228">
        <v>10</v>
      </c>
      <c r="CL44" s="228">
        <v>9</v>
      </c>
      <c r="CM44" s="228">
        <v>1</v>
      </c>
      <c r="CN44" s="229">
        <v>7.4499999999999997E-2</v>
      </c>
      <c r="CO44" s="228">
        <v>921</v>
      </c>
      <c r="CP44" s="228">
        <v>899</v>
      </c>
      <c r="CQ44" s="228">
        <v>22</v>
      </c>
      <c r="CR44" s="229">
        <v>2.41E-2</v>
      </c>
      <c r="CS44" s="228">
        <v>596</v>
      </c>
      <c r="CT44" s="228">
        <v>598</v>
      </c>
      <c r="CU44" s="228">
        <v>-2</v>
      </c>
      <c r="CV44" s="229">
        <v>-4.1000000000000003E-3</v>
      </c>
      <c r="CW44" s="230">
        <v>3580</v>
      </c>
      <c r="CX44" s="230">
        <v>3514</v>
      </c>
      <c r="CY44" s="228">
        <v>65</v>
      </c>
      <c r="CZ44" s="229">
        <v>1.8499999999999999E-2</v>
      </c>
      <c r="DA44" s="228">
        <v>15.48</v>
      </c>
      <c r="DB44" s="228">
        <v>15.74</v>
      </c>
      <c r="DC44" s="228">
        <v>-0.26</v>
      </c>
      <c r="DD44" s="228">
        <v>-0.26</v>
      </c>
      <c r="DE44" s="228">
        <v>25.68</v>
      </c>
      <c r="DF44" s="228">
        <v>25.74</v>
      </c>
      <c r="DG44" s="228">
        <v>-10.199999999999999</v>
      </c>
      <c r="DH44" s="228">
        <v>-0.06</v>
      </c>
      <c r="DI44" s="228">
        <v>15.67</v>
      </c>
      <c r="DJ44" s="228">
        <v>15.92</v>
      </c>
      <c r="DK44" s="228">
        <v>-0.25</v>
      </c>
      <c r="DL44" s="228">
        <v>-0.25</v>
      </c>
      <c r="DM44" s="228">
        <v>14.99</v>
      </c>
      <c r="DN44" s="228">
        <v>15.27</v>
      </c>
      <c r="DO44" s="228">
        <v>-0.28000000000000003</v>
      </c>
      <c r="DP44" s="228">
        <v>-0.28000000000000003</v>
      </c>
      <c r="DQ44" s="228">
        <v>0.65</v>
      </c>
      <c r="DR44" s="228">
        <v>0.67</v>
      </c>
      <c r="DS44" s="228">
        <v>-0.02</v>
      </c>
      <c r="DT44" s="229">
        <v>-2.9899999999999999E-2</v>
      </c>
      <c r="DU44" s="231">
        <v>1660</v>
      </c>
      <c r="DV44" s="231">
        <v>1400</v>
      </c>
      <c r="DW44" s="228">
        <v>0.38</v>
      </c>
      <c r="DX44" s="228">
        <v>0.39</v>
      </c>
      <c r="DY44" s="228">
        <v>-0.01</v>
      </c>
      <c r="DZ44" s="229">
        <v>-2.5600000000000001E-2</v>
      </c>
      <c r="EA44" s="229">
        <v>0.1004</v>
      </c>
      <c r="EB44" s="230">
        <v>1022625</v>
      </c>
      <c r="EC44" s="229">
        <v>6.8999999999999999E-3</v>
      </c>
      <c r="ED44" s="229">
        <v>0.1004</v>
      </c>
      <c r="EE44" s="228">
        <v>8.52</v>
      </c>
      <c r="EF44" s="229">
        <v>5.7000000000000002E-3</v>
      </c>
      <c r="EG44" s="230">
        <v>592763</v>
      </c>
      <c r="EH44" s="230">
        <v>522424</v>
      </c>
      <c r="EI44" s="229">
        <v>0.1346</v>
      </c>
      <c r="EJ44" s="229">
        <v>0.58440000000000003</v>
      </c>
      <c r="EK44" s="228">
        <v>549.6</v>
      </c>
      <c r="EL44" s="228">
        <v>202.32</v>
      </c>
      <c r="EM44" s="228">
        <v>212.36</v>
      </c>
      <c r="EN44" s="228">
        <v>28.69</v>
      </c>
      <c r="EO44" s="228">
        <v>964.28</v>
      </c>
      <c r="EP44" s="228">
        <v>853.86</v>
      </c>
      <c r="EQ44" s="228">
        <v>110.42</v>
      </c>
      <c r="ER44" s="229">
        <v>0.1293</v>
      </c>
      <c r="ES44" s="228">
        <v>970.68</v>
      </c>
      <c r="ET44" s="228">
        <v>581.79</v>
      </c>
      <c r="EU44" s="231">
        <v>2064.91</v>
      </c>
      <c r="EV44" s="231">
        <v>57073940</v>
      </c>
      <c r="EW44" s="231">
        <v>3617.39</v>
      </c>
      <c r="EX44" s="231">
        <v>3556.83</v>
      </c>
      <c r="EY44" s="228">
        <v>60.56</v>
      </c>
      <c r="EZ44" s="229">
        <v>1.7000000000000001E-2</v>
      </c>
      <c r="FA44" s="229">
        <v>0.41849999999999998</v>
      </c>
      <c r="FB44" s="227" t="s">
        <v>567</v>
      </c>
      <c r="FC44">
        <f t="shared" si="0"/>
        <v>207</v>
      </c>
    </row>
    <row r="45" spans="1:159" ht="17.25" thickBot="1" x14ac:dyDescent="0.3">
      <c r="A45" s="226">
        <v>46008</v>
      </c>
      <c r="B45" s="227" t="s">
        <v>227</v>
      </c>
      <c r="C45" s="227" t="s">
        <v>200</v>
      </c>
      <c r="D45" s="228">
        <v>1350</v>
      </c>
      <c r="E45" s="228">
        <v>13</v>
      </c>
      <c r="F45" s="228">
        <v>385.85</v>
      </c>
      <c r="G45" s="228">
        <v>382.25</v>
      </c>
      <c r="H45" s="228">
        <v>3.6</v>
      </c>
      <c r="I45" s="229">
        <v>9.4000000000000004E-3</v>
      </c>
      <c r="J45" s="228">
        <v>384.75</v>
      </c>
      <c r="K45" s="228">
        <v>381.6</v>
      </c>
      <c r="L45" s="228">
        <v>3.15</v>
      </c>
      <c r="M45" s="229">
        <v>8.3000000000000001E-3</v>
      </c>
      <c r="N45" s="228">
        <v>385.85</v>
      </c>
      <c r="O45" s="228">
        <v>382.25</v>
      </c>
      <c r="P45" s="228">
        <v>3.6</v>
      </c>
      <c r="Q45" s="229">
        <v>9.4000000000000004E-3</v>
      </c>
      <c r="R45" s="228">
        <v>388</v>
      </c>
      <c r="S45" s="228">
        <v>384.4</v>
      </c>
      <c r="T45" s="228">
        <v>3.6</v>
      </c>
      <c r="U45" s="229">
        <v>9.4000000000000004E-3</v>
      </c>
      <c r="V45" s="228">
        <v>386.3</v>
      </c>
      <c r="W45" s="228">
        <v>382.75</v>
      </c>
      <c r="X45" s="228">
        <v>3.55</v>
      </c>
      <c r="Y45" s="229">
        <v>9.2999999999999992E-3</v>
      </c>
      <c r="Z45" s="228">
        <v>1.1000000000000001</v>
      </c>
      <c r="AA45" s="228">
        <v>0.65</v>
      </c>
      <c r="AB45" s="228">
        <v>0.45</v>
      </c>
      <c r="AC45" s="229">
        <v>2.8999999999999998E-3</v>
      </c>
      <c r="AD45" s="228">
        <v>1.1000000000000001</v>
      </c>
      <c r="AE45" s="228">
        <v>0.65</v>
      </c>
      <c r="AF45" s="228">
        <v>0.45</v>
      </c>
      <c r="AG45" s="229">
        <v>2.8999999999999998E-3</v>
      </c>
      <c r="AH45" s="228">
        <v>3.25</v>
      </c>
      <c r="AI45" s="228">
        <v>2.8</v>
      </c>
      <c r="AJ45" s="228">
        <v>0.45</v>
      </c>
      <c r="AK45" s="229">
        <v>8.3999999999999995E-3</v>
      </c>
      <c r="AL45" s="228">
        <v>1.55</v>
      </c>
      <c r="AM45" s="228">
        <v>1.1499999999999999</v>
      </c>
      <c r="AN45" s="228">
        <v>0.4</v>
      </c>
      <c r="AO45" s="229">
        <v>4.0000000000000001E-3</v>
      </c>
      <c r="AP45" s="228">
        <v>384.68</v>
      </c>
      <c r="AQ45" s="228">
        <v>386.83</v>
      </c>
      <c r="AR45" s="228">
        <v>0</v>
      </c>
      <c r="AS45" s="228">
        <v>171</v>
      </c>
      <c r="AT45" s="228">
        <v>201</v>
      </c>
      <c r="AU45" s="228">
        <v>-30</v>
      </c>
      <c r="AV45" s="229">
        <v>-0.1469</v>
      </c>
      <c r="AW45" s="228">
        <v>136</v>
      </c>
      <c r="AX45" s="228">
        <v>167</v>
      </c>
      <c r="AY45" s="228">
        <v>-31</v>
      </c>
      <c r="AZ45" s="229">
        <v>-0.18379999999999999</v>
      </c>
      <c r="BA45" s="228">
        <v>33</v>
      </c>
      <c r="BB45" s="228">
        <v>29</v>
      </c>
      <c r="BC45" s="228">
        <v>4</v>
      </c>
      <c r="BD45" s="229">
        <v>0.14030000000000001</v>
      </c>
      <c r="BE45" s="228">
        <v>2</v>
      </c>
      <c r="BF45" s="228">
        <v>5</v>
      </c>
      <c r="BG45" s="228">
        <v>-3</v>
      </c>
      <c r="BH45" s="229">
        <v>-0.62639999999999996</v>
      </c>
      <c r="BI45" s="228">
        <v>461</v>
      </c>
      <c r="BJ45" s="228">
        <v>442</v>
      </c>
      <c r="BK45" s="228">
        <v>19</v>
      </c>
      <c r="BL45" s="229">
        <v>4.2900000000000001E-2</v>
      </c>
      <c r="BM45" s="228">
        <v>266</v>
      </c>
      <c r="BN45" s="228">
        <v>305</v>
      </c>
      <c r="BO45" s="228">
        <v>-40</v>
      </c>
      <c r="BP45" s="229">
        <v>-0.12989999999999999</v>
      </c>
      <c r="BQ45" s="228">
        <v>898</v>
      </c>
      <c r="BR45" s="228">
        <v>949</v>
      </c>
      <c r="BS45" s="228">
        <v>-50</v>
      </c>
      <c r="BT45" s="229">
        <v>-5.2900000000000003E-2</v>
      </c>
      <c r="BU45" s="230">
        <v>4163488</v>
      </c>
      <c r="BV45" s="230">
        <v>5924730</v>
      </c>
      <c r="BW45" s="230">
        <v>-1761242</v>
      </c>
      <c r="BX45" s="229">
        <v>-0.29730000000000001</v>
      </c>
      <c r="BY45" s="230">
        <v>2154</v>
      </c>
      <c r="BZ45" s="230">
        <v>2172</v>
      </c>
      <c r="CA45" s="228">
        <v>-18</v>
      </c>
      <c r="CB45" s="229">
        <v>-8.2000000000000007E-3</v>
      </c>
      <c r="CC45" s="230">
        <v>1880</v>
      </c>
      <c r="CD45" s="230">
        <v>1912</v>
      </c>
      <c r="CE45" s="228">
        <v>-32</v>
      </c>
      <c r="CF45" s="229">
        <v>-1.6899999999999998E-2</v>
      </c>
      <c r="CG45" s="228">
        <v>254</v>
      </c>
      <c r="CH45" s="228">
        <v>239</v>
      </c>
      <c r="CI45" s="228">
        <v>15</v>
      </c>
      <c r="CJ45" s="229">
        <v>6.2600000000000003E-2</v>
      </c>
      <c r="CK45" s="228">
        <v>20</v>
      </c>
      <c r="CL45" s="228">
        <v>20</v>
      </c>
      <c r="CM45" s="228">
        <v>0</v>
      </c>
      <c r="CN45" s="229">
        <v>-1.7899999999999999E-2</v>
      </c>
      <c r="CO45" s="228">
        <v>760</v>
      </c>
      <c r="CP45" s="228">
        <v>733</v>
      </c>
      <c r="CQ45" s="228">
        <v>27</v>
      </c>
      <c r="CR45" s="229">
        <v>3.73E-2</v>
      </c>
      <c r="CS45" s="228">
        <v>724</v>
      </c>
      <c r="CT45" s="228">
        <v>701</v>
      </c>
      <c r="CU45" s="228">
        <v>23</v>
      </c>
      <c r="CV45" s="229">
        <v>3.3099999999999997E-2</v>
      </c>
      <c r="CW45" s="230">
        <v>3638</v>
      </c>
      <c r="CX45" s="230">
        <v>3605</v>
      </c>
      <c r="CY45" s="228">
        <v>33</v>
      </c>
      <c r="CZ45" s="229">
        <v>9.1000000000000004E-3</v>
      </c>
      <c r="DA45" s="228">
        <v>13.7</v>
      </c>
      <c r="DB45" s="228">
        <v>14.11</v>
      </c>
      <c r="DC45" s="228">
        <v>-0.41</v>
      </c>
      <c r="DD45" s="228">
        <v>-0.41</v>
      </c>
      <c r="DE45" s="228">
        <v>26.85</v>
      </c>
      <c r="DF45" s="228">
        <v>26.89</v>
      </c>
      <c r="DG45" s="228">
        <v>-13.15</v>
      </c>
      <c r="DH45" s="228">
        <v>-0.04</v>
      </c>
      <c r="DI45" s="228">
        <v>13.31</v>
      </c>
      <c r="DJ45" s="228">
        <v>13.9</v>
      </c>
      <c r="DK45" s="228">
        <v>-0.59</v>
      </c>
      <c r="DL45" s="228">
        <v>-0.59</v>
      </c>
      <c r="DM45" s="228">
        <v>14.39</v>
      </c>
      <c r="DN45" s="228">
        <v>14.42</v>
      </c>
      <c r="DO45" s="228">
        <v>-0.03</v>
      </c>
      <c r="DP45" s="228">
        <v>-0.03</v>
      </c>
      <c r="DQ45" s="228">
        <v>0.95</v>
      </c>
      <c r="DR45" s="228">
        <v>0.96</v>
      </c>
      <c r="DS45" s="228">
        <v>-0.01</v>
      </c>
      <c r="DT45" s="229">
        <v>-1.04E-2</v>
      </c>
      <c r="DU45" s="228">
        <v>380</v>
      </c>
      <c r="DV45" s="228">
        <v>440</v>
      </c>
      <c r="DW45" s="228">
        <v>0.57999999999999996</v>
      </c>
      <c r="DX45" s="228">
        <v>0.69</v>
      </c>
      <c r="DY45" s="228">
        <v>-0.11</v>
      </c>
      <c r="DZ45" s="229">
        <v>-0.15939999999999999</v>
      </c>
      <c r="EA45" s="229">
        <v>0.12709999999999999</v>
      </c>
      <c r="EB45" s="230">
        <v>6718950</v>
      </c>
      <c r="EC45" s="229">
        <v>5.5999999999999999E-3</v>
      </c>
      <c r="ED45" s="229">
        <v>0.12709999999999999</v>
      </c>
      <c r="EE45" s="228">
        <v>2.15</v>
      </c>
      <c r="EF45" s="229">
        <v>5.5999999999999999E-3</v>
      </c>
      <c r="EG45" s="230">
        <v>2435788</v>
      </c>
      <c r="EH45" s="230">
        <v>3326084</v>
      </c>
      <c r="EI45" s="229">
        <v>-0.26769999999999999</v>
      </c>
      <c r="EJ45" s="229">
        <v>0.58499999999999996</v>
      </c>
      <c r="EK45" s="228">
        <v>468.02</v>
      </c>
      <c r="EL45" s="228">
        <v>262.99</v>
      </c>
      <c r="EM45" s="228">
        <v>171.15</v>
      </c>
      <c r="EN45" s="228">
        <v>48.09</v>
      </c>
      <c r="EO45" s="228">
        <v>902.16</v>
      </c>
      <c r="EP45" s="228">
        <v>948.22</v>
      </c>
      <c r="EQ45" s="228">
        <v>-46.07</v>
      </c>
      <c r="ER45" s="229">
        <v>-4.8599999999999997E-2</v>
      </c>
      <c r="ES45" s="228">
        <v>771.63</v>
      </c>
      <c r="ET45" s="228">
        <v>714.29</v>
      </c>
      <c r="EU45" s="231">
        <v>2155.4</v>
      </c>
      <c r="EV45" s="231">
        <v>227199238</v>
      </c>
      <c r="EW45" s="231">
        <v>3641.32</v>
      </c>
      <c r="EX45" s="231">
        <v>3587.67</v>
      </c>
      <c r="EY45" s="228">
        <v>53.65</v>
      </c>
      <c r="EZ45" s="229">
        <v>1.4999999999999999E-2</v>
      </c>
      <c r="FA45" s="229">
        <v>0.41499999999999998</v>
      </c>
      <c r="FB45" s="227" t="s">
        <v>556</v>
      </c>
      <c r="FC45">
        <f t="shared" si="0"/>
        <v>274</v>
      </c>
    </row>
    <row r="46" spans="1:159" ht="17.25" thickBot="1" x14ac:dyDescent="0.3">
      <c r="A46" s="226">
        <v>46008</v>
      </c>
      <c r="B46" s="227" t="s">
        <v>221</v>
      </c>
      <c r="C46" s="227" t="s">
        <v>470</v>
      </c>
      <c r="D46" s="228">
        <v>375</v>
      </c>
      <c r="E46" s="228">
        <v>13</v>
      </c>
      <c r="F46" s="231">
        <v>1851.5</v>
      </c>
      <c r="G46" s="231">
        <v>1869</v>
      </c>
      <c r="H46" s="228">
        <v>-17.5</v>
      </c>
      <c r="I46" s="229">
        <v>-9.4000000000000004E-3</v>
      </c>
      <c r="J46" s="231">
        <v>1844.7</v>
      </c>
      <c r="K46" s="231">
        <v>1866.8</v>
      </c>
      <c r="L46" s="228">
        <v>-22.1</v>
      </c>
      <c r="M46" s="229">
        <v>-1.18E-2</v>
      </c>
      <c r="N46" s="231">
        <v>1851.5</v>
      </c>
      <c r="O46" s="231">
        <v>1869</v>
      </c>
      <c r="P46" s="228">
        <v>-17.5</v>
      </c>
      <c r="Q46" s="229">
        <v>-9.4000000000000004E-3</v>
      </c>
      <c r="R46" s="231">
        <v>1858.2</v>
      </c>
      <c r="S46" s="231">
        <v>1873.8</v>
      </c>
      <c r="T46" s="228">
        <v>-15.6</v>
      </c>
      <c r="U46" s="229">
        <v>-8.3000000000000001E-3</v>
      </c>
      <c r="V46" s="231">
        <v>1858.6</v>
      </c>
      <c r="W46" s="231">
        <v>1875.6</v>
      </c>
      <c r="X46" s="228">
        <v>-17</v>
      </c>
      <c r="Y46" s="229">
        <v>-9.1000000000000004E-3</v>
      </c>
      <c r="Z46" s="228">
        <v>6.8</v>
      </c>
      <c r="AA46" s="228">
        <v>2.2000000000000002</v>
      </c>
      <c r="AB46" s="228">
        <v>4.5999999999999996</v>
      </c>
      <c r="AC46" s="229">
        <v>3.7000000000000002E-3</v>
      </c>
      <c r="AD46" s="228">
        <v>6.8</v>
      </c>
      <c r="AE46" s="228">
        <v>2.2000000000000002</v>
      </c>
      <c r="AF46" s="228">
        <v>4.5999999999999996</v>
      </c>
      <c r="AG46" s="229">
        <v>3.7000000000000002E-3</v>
      </c>
      <c r="AH46" s="228">
        <v>13.5</v>
      </c>
      <c r="AI46" s="228">
        <v>7</v>
      </c>
      <c r="AJ46" s="228">
        <v>6.5</v>
      </c>
      <c r="AK46" s="229">
        <v>7.3000000000000001E-3</v>
      </c>
      <c r="AL46" s="228">
        <v>13.9</v>
      </c>
      <c r="AM46" s="228">
        <v>8.8000000000000007</v>
      </c>
      <c r="AN46" s="228">
        <v>5.0999999999999996</v>
      </c>
      <c r="AO46" s="229">
        <v>7.4999999999999997E-3</v>
      </c>
      <c r="AP46" s="231">
        <v>1870.84</v>
      </c>
      <c r="AQ46" s="231">
        <v>1878.86</v>
      </c>
      <c r="AR46" s="228">
        <v>0</v>
      </c>
      <c r="AS46" s="228">
        <v>430</v>
      </c>
      <c r="AT46" s="228">
        <v>363</v>
      </c>
      <c r="AU46" s="228">
        <v>67</v>
      </c>
      <c r="AV46" s="229">
        <v>0.1842</v>
      </c>
      <c r="AW46" s="228">
        <v>377</v>
      </c>
      <c r="AX46" s="228">
        <v>331</v>
      </c>
      <c r="AY46" s="228">
        <v>46</v>
      </c>
      <c r="AZ46" s="229">
        <v>0.13980000000000001</v>
      </c>
      <c r="BA46" s="228">
        <v>46</v>
      </c>
      <c r="BB46" s="228">
        <v>28</v>
      </c>
      <c r="BC46" s="228">
        <v>19</v>
      </c>
      <c r="BD46" s="229">
        <v>0.6784</v>
      </c>
      <c r="BE46" s="228">
        <v>6</v>
      </c>
      <c r="BF46" s="228">
        <v>4</v>
      </c>
      <c r="BG46" s="228">
        <v>2</v>
      </c>
      <c r="BH46" s="229">
        <v>0.44640000000000002</v>
      </c>
      <c r="BI46" s="230">
        <v>1682</v>
      </c>
      <c r="BJ46" s="230">
        <v>1322</v>
      </c>
      <c r="BK46" s="228">
        <v>361</v>
      </c>
      <c r="BL46" s="229">
        <v>0.27289999999999998</v>
      </c>
      <c r="BM46" s="228">
        <v>685</v>
      </c>
      <c r="BN46" s="228">
        <v>443</v>
      </c>
      <c r="BO46" s="228">
        <v>242</v>
      </c>
      <c r="BP46" s="229">
        <v>0.54549999999999998</v>
      </c>
      <c r="BQ46" s="230">
        <v>2797</v>
      </c>
      <c r="BR46" s="230">
        <v>2128</v>
      </c>
      <c r="BS46" s="228">
        <v>669</v>
      </c>
      <c r="BT46" s="229">
        <v>0.31459999999999999</v>
      </c>
      <c r="BU46" s="230">
        <v>751652</v>
      </c>
      <c r="BV46" s="230">
        <v>845214</v>
      </c>
      <c r="BW46" s="230">
        <v>-93562</v>
      </c>
      <c r="BX46" s="229">
        <v>-0.11070000000000001</v>
      </c>
      <c r="BY46" s="230">
        <v>2310</v>
      </c>
      <c r="BZ46" s="230">
        <v>2250</v>
      </c>
      <c r="CA46" s="228">
        <v>60</v>
      </c>
      <c r="CB46" s="229">
        <v>2.69E-2</v>
      </c>
      <c r="CC46" s="230">
        <v>2180</v>
      </c>
      <c r="CD46" s="230">
        <v>2138</v>
      </c>
      <c r="CE46" s="228">
        <v>43</v>
      </c>
      <c r="CF46" s="229">
        <v>0.02</v>
      </c>
      <c r="CG46" s="228">
        <v>118</v>
      </c>
      <c r="CH46" s="228">
        <v>101</v>
      </c>
      <c r="CI46" s="228">
        <v>17</v>
      </c>
      <c r="CJ46" s="229">
        <v>0.1676</v>
      </c>
      <c r="CK46" s="228">
        <v>12</v>
      </c>
      <c r="CL46" s="228">
        <v>11</v>
      </c>
      <c r="CM46" s="228">
        <v>1</v>
      </c>
      <c r="CN46" s="229">
        <v>8.0699999999999994E-2</v>
      </c>
      <c r="CO46" s="230">
        <v>1435</v>
      </c>
      <c r="CP46" s="230">
        <v>1454</v>
      </c>
      <c r="CQ46" s="228">
        <v>-19</v>
      </c>
      <c r="CR46" s="229">
        <v>-1.29E-2</v>
      </c>
      <c r="CS46" s="228">
        <v>657</v>
      </c>
      <c r="CT46" s="228">
        <v>646</v>
      </c>
      <c r="CU46" s="228">
        <v>11</v>
      </c>
      <c r="CV46" s="229">
        <v>1.67E-2</v>
      </c>
      <c r="CW46" s="230">
        <v>4402</v>
      </c>
      <c r="CX46" s="230">
        <v>4350</v>
      </c>
      <c r="CY46" s="228">
        <v>52</v>
      </c>
      <c r="CZ46" s="229">
        <v>1.21E-2</v>
      </c>
      <c r="DA46" s="228">
        <v>27.9</v>
      </c>
      <c r="DB46" s="228">
        <v>27.02</v>
      </c>
      <c r="DC46" s="228">
        <v>0.88</v>
      </c>
      <c r="DD46" s="228">
        <v>0.88</v>
      </c>
      <c r="DE46" s="228">
        <v>41.11</v>
      </c>
      <c r="DF46" s="228">
        <v>41.19</v>
      </c>
      <c r="DG46" s="228">
        <v>-13.21</v>
      </c>
      <c r="DH46" s="228">
        <v>-0.08</v>
      </c>
      <c r="DI46" s="228">
        <v>28.21</v>
      </c>
      <c r="DJ46" s="228">
        <v>27.02</v>
      </c>
      <c r="DK46" s="228">
        <v>1.19</v>
      </c>
      <c r="DL46" s="228">
        <v>1.19</v>
      </c>
      <c r="DM46" s="228">
        <v>27.16</v>
      </c>
      <c r="DN46" s="228">
        <v>27.04</v>
      </c>
      <c r="DO46" s="228">
        <v>0.12</v>
      </c>
      <c r="DP46" s="228">
        <v>0.12</v>
      </c>
      <c r="DQ46" s="228">
        <v>0.46</v>
      </c>
      <c r="DR46" s="228">
        <v>0.44</v>
      </c>
      <c r="DS46" s="228">
        <v>0.02</v>
      </c>
      <c r="DT46" s="229">
        <v>4.5499999999999999E-2</v>
      </c>
      <c r="DU46" s="231">
        <v>2000</v>
      </c>
      <c r="DV46" s="231">
        <v>1900</v>
      </c>
      <c r="DW46" s="228">
        <v>0.41</v>
      </c>
      <c r="DX46" s="228">
        <v>0.34</v>
      </c>
      <c r="DY46" s="228">
        <v>7.0000000000000007E-2</v>
      </c>
      <c r="DZ46" s="229">
        <v>0.2059</v>
      </c>
      <c r="EA46" s="229">
        <v>5.6099999999999997E-2</v>
      </c>
      <c r="EB46" s="230">
        <v>604125</v>
      </c>
      <c r="EC46" s="229">
        <v>3.5999999999999999E-3</v>
      </c>
      <c r="ED46" s="229">
        <v>5.6099999999999997E-2</v>
      </c>
      <c r="EE46" s="228">
        <v>8.02</v>
      </c>
      <c r="EF46" s="229">
        <v>4.3E-3</v>
      </c>
      <c r="EG46" s="230">
        <v>288420</v>
      </c>
      <c r="EH46" s="230">
        <v>439200</v>
      </c>
      <c r="EI46" s="229">
        <v>-0.34329999999999999</v>
      </c>
      <c r="EJ46" s="229">
        <v>0.38369999999999999</v>
      </c>
      <c r="EK46" s="231">
        <v>1767.73</v>
      </c>
      <c r="EL46" s="228">
        <v>685.12</v>
      </c>
      <c r="EM46" s="228">
        <v>434.22</v>
      </c>
      <c r="EN46" s="228">
        <v>60.51</v>
      </c>
      <c r="EO46" s="231">
        <v>2887.06</v>
      </c>
      <c r="EP46" s="231">
        <v>2197.08</v>
      </c>
      <c r="EQ46" s="228">
        <v>689.99</v>
      </c>
      <c r="ER46" s="229">
        <v>0.314</v>
      </c>
      <c r="ES46" s="231">
        <v>1507.02</v>
      </c>
      <c r="ET46" s="228">
        <v>644.24</v>
      </c>
      <c r="EU46" s="231">
        <v>2310.4499999999998</v>
      </c>
      <c r="EV46" s="231">
        <v>50163899</v>
      </c>
      <c r="EW46" s="231">
        <v>4461.71</v>
      </c>
      <c r="EX46" s="231">
        <v>4434.01</v>
      </c>
      <c r="EY46" s="228">
        <v>27.7</v>
      </c>
      <c r="EZ46" s="229">
        <v>6.1999999999999998E-3</v>
      </c>
      <c r="FA46" s="229">
        <v>0.47399999999999998</v>
      </c>
      <c r="FB46" s="227" t="s">
        <v>567</v>
      </c>
      <c r="FC46">
        <f t="shared" si="0"/>
        <v>130</v>
      </c>
    </row>
    <row r="47" spans="1:159" ht="17.25" thickBot="1" x14ac:dyDescent="0.3">
      <c r="A47" s="226">
        <v>46008</v>
      </c>
      <c r="B47" s="227" t="s">
        <v>168</v>
      </c>
      <c r="C47" s="227" t="s">
        <v>201</v>
      </c>
      <c r="D47" s="228">
        <v>225</v>
      </c>
      <c r="E47" s="228">
        <v>13</v>
      </c>
      <c r="F47" s="231">
        <v>2089.6999999999998</v>
      </c>
      <c r="G47" s="231">
        <v>2164.8000000000002</v>
      </c>
      <c r="H47" s="228">
        <v>-75.099999999999994</v>
      </c>
      <c r="I47" s="229">
        <v>-3.4700000000000002E-2</v>
      </c>
      <c r="J47" s="231">
        <v>2087.4</v>
      </c>
      <c r="K47" s="231">
        <v>2160.4</v>
      </c>
      <c r="L47" s="228">
        <v>-73</v>
      </c>
      <c r="M47" s="229">
        <v>-3.3799999999999997E-2</v>
      </c>
      <c r="N47" s="231">
        <v>2089.6999999999998</v>
      </c>
      <c r="O47" s="231">
        <v>2164.8000000000002</v>
      </c>
      <c r="P47" s="228">
        <v>-75.099999999999994</v>
      </c>
      <c r="Q47" s="229">
        <v>-3.4700000000000002E-2</v>
      </c>
      <c r="R47" s="231">
        <v>2101.3000000000002</v>
      </c>
      <c r="S47" s="231">
        <v>2175.9</v>
      </c>
      <c r="T47" s="228">
        <v>-74.599999999999994</v>
      </c>
      <c r="U47" s="229">
        <v>-3.4299999999999997E-2</v>
      </c>
      <c r="V47" s="231">
        <v>2112.6999999999998</v>
      </c>
      <c r="W47" s="231">
        <v>2188.4</v>
      </c>
      <c r="X47" s="228">
        <v>-75.7</v>
      </c>
      <c r="Y47" s="229">
        <v>-3.4599999999999999E-2</v>
      </c>
      <c r="Z47" s="228">
        <v>2.2999999999999998</v>
      </c>
      <c r="AA47" s="228">
        <v>4.4000000000000004</v>
      </c>
      <c r="AB47" s="228">
        <v>-2.1</v>
      </c>
      <c r="AC47" s="229">
        <v>1.1000000000000001E-3</v>
      </c>
      <c r="AD47" s="228">
        <v>2.2999999999999998</v>
      </c>
      <c r="AE47" s="228">
        <v>4.4000000000000004</v>
      </c>
      <c r="AF47" s="228">
        <v>-2.1</v>
      </c>
      <c r="AG47" s="229">
        <v>1.1000000000000001E-3</v>
      </c>
      <c r="AH47" s="228">
        <v>13.9</v>
      </c>
      <c r="AI47" s="228">
        <v>15.5</v>
      </c>
      <c r="AJ47" s="228">
        <v>-1.6</v>
      </c>
      <c r="AK47" s="229">
        <v>6.7000000000000002E-3</v>
      </c>
      <c r="AL47" s="228">
        <v>25.3</v>
      </c>
      <c r="AM47" s="228">
        <v>28</v>
      </c>
      <c r="AN47" s="228">
        <v>-2.7</v>
      </c>
      <c r="AO47" s="229">
        <v>1.21E-2</v>
      </c>
      <c r="AP47" s="231">
        <v>2109.5100000000002</v>
      </c>
      <c r="AQ47" s="231">
        <v>2118.58</v>
      </c>
      <c r="AR47" s="228">
        <v>0</v>
      </c>
      <c r="AS47" s="228">
        <v>418</v>
      </c>
      <c r="AT47" s="228">
        <v>182</v>
      </c>
      <c r="AU47" s="228">
        <v>236</v>
      </c>
      <c r="AV47" s="229">
        <v>1.2974000000000001</v>
      </c>
      <c r="AW47" s="228">
        <v>282</v>
      </c>
      <c r="AX47" s="228">
        <v>151</v>
      </c>
      <c r="AY47" s="228">
        <v>131</v>
      </c>
      <c r="AZ47" s="229">
        <v>0.86809999999999998</v>
      </c>
      <c r="BA47" s="228">
        <v>127</v>
      </c>
      <c r="BB47" s="228">
        <v>28</v>
      </c>
      <c r="BC47" s="228">
        <v>100</v>
      </c>
      <c r="BD47" s="229">
        <v>3.6019999999999999</v>
      </c>
      <c r="BE47" s="228">
        <v>8</v>
      </c>
      <c r="BF47" s="228">
        <v>3</v>
      </c>
      <c r="BG47" s="228">
        <v>5</v>
      </c>
      <c r="BH47" s="229">
        <v>1.6769000000000001</v>
      </c>
      <c r="BI47" s="228">
        <v>760</v>
      </c>
      <c r="BJ47" s="228">
        <v>814</v>
      </c>
      <c r="BK47" s="228">
        <v>-54</v>
      </c>
      <c r="BL47" s="229">
        <v>-6.6100000000000006E-2</v>
      </c>
      <c r="BM47" s="228">
        <v>575</v>
      </c>
      <c r="BN47" s="228">
        <v>165</v>
      </c>
      <c r="BO47" s="228">
        <v>409</v>
      </c>
      <c r="BP47" s="229">
        <v>2.4723000000000002</v>
      </c>
      <c r="BQ47" s="230">
        <v>1752</v>
      </c>
      <c r="BR47" s="230">
        <v>1161</v>
      </c>
      <c r="BS47" s="228">
        <v>591</v>
      </c>
      <c r="BT47" s="229">
        <v>0.50929999999999997</v>
      </c>
      <c r="BU47" s="230">
        <v>399103</v>
      </c>
      <c r="BV47" s="230">
        <v>369414</v>
      </c>
      <c r="BW47" s="230">
        <v>29689</v>
      </c>
      <c r="BX47" s="229">
        <v>8.0399999999999999E-2</v>
      </c>
      <c r="BY47" s="230">
        <v>1503</v>
      </c>
      <c r="BZ47" s="230">
        <v>1359</v>
      </c>
      <c r="CA47" s="228">
        <v>144</v>
      </c>
      <c r="CB47" s="229">
        <v>0.1057</v>
      </c>
      <c r="CC47" s="230">
        <v>1326</v>
      </c>
      <c r="CD47" s="230">
        <v>1262</v>
      </c>
      <c r="CE47" s="228">
        <v>65</v>
      </c>
      <c r="CF47" s="229">
        <v>5.1200000000000002E-2</v>
      </c>
      <c r="CG47" s="228">
        <v>163</v>
      </c>
      <c r="CH47" s="228">
        <v>89</v>
      </c>
      <c r="CI47" s="228">
        <v>74</v>
      </c>
      <c r="CJ47" s="229">
        <v>0.83420000000000005</v>
      </c>
      <c r="CK47" s="228">
        <v>13</v>
      </c>
      <c r="CL47" s="228">
        <v>8</v>
      </c>
      <c r="CM47" s="228">
        <v>5</v>
      </c>
      <c r="CN47" s="229">
        <v>0.59299999999999997</v>
      </c>
      <c r="CO47" s="228">
        <v>647</v>
      </c>
      <c r="CP47" s="228">
        <v>517</v>
      </c>
      <c r="CQ47" s="228">
        <v>130</v>
      </c>
      <c r="CR47" s="229">
        <v>0.2505</v>
      </c>
      <c r="CS47" s="228">
        <v>405</v>
      </c>
      <c r="CT47" s="228">
        <v>319</v>
      </c>
      <c r="CU47" s="228">
        <v>86</v>
      </c>
      <c r="CV47" s="229">
        <v>0.27110000000000001</v>
      </c>
      <c r="CW47" s="230">
        <v>2555</v>
      </c>
      <c r="CX47" s="230">
        <v>2195</v>
      </c>
      <c r="CY47" s="228">
        <v>360</v>
      </c>
      <c r="CZ47" s="229">
        <v>0.16389999999999999</v>
      </c>
      <c r="DA47" s="228">
        <v>22.16</v>
      </c>
      <c r="DB47" s="228">
        <v>18.91</v>
      </c>
      <c r="DC47" s="228">
        <v>3.25</v>
      </c>
      <c r="DD47" s="228">
        <v>3.25</v>
      </c>
      <c r="DE47" s="228">
        <v>27.14</v>
      </c>
      <c r="DF47" s="228">
        <v>26.78</v>
      </c>
      <c r="DG47" s="228">
        <v>-4.9800000000000004</v>
      </c>
      <c r="DH47" s="228">
        <v>0.36</v>
      </c>
      <c r="DI47" s="228">
        <v>23.06</v>
      </c>
      <c r="DJ47" s="228">
        <v>18.989999999999998</v>
      </c>
      <c r="DK47" s="228">
        <v>4.07</v>
      </c>
      <c r="DL47" s="228">
        <v>4.07</v>
      </c>
      <c r="DM47" s="228">
        <v>20.97</v>
      </c>
      <c r="DN47" s="228">
        <v>18.54</v>
      </c>
      <c r="DO47" s="228">
        <v>2.4300000000000002</v>
      </c>
      <c r="DP47" s="228">
        <v>2.4300000000000002</v>
      </c>
      <c r="DQ47" s="228">
        <v>0.63</v>
      </c>
      <c r="DR47" s="228">
        <v>0.62</v>
      </c>
      <c r="DS47" s="228">
        <v>0.01</v>
      </c>
      <c r="DT47" s="229">
        <v>1.61E-2</v>
      </c>
      <c r="DU47" s="231">
        <v>2200</v>
      </c>
      <c r="DV47" s="231">
        <v>2200</v>
      </c>
      <c r="DW47" s="228">
        <v>0.76</v>
      </c>
      <c r="DX47" s="228">
        <v>0.2</v>
      </c>
      <c r="DY47" s="228">
        <v>0.56000000000000005</v>
      </c>
      <c r="DZ47" s="229">
        <v>2.8</v>
      </c>
      <c r="EA47" s="229">
        <v>0.1173</v>
      </c>
      <c r="EB47" s="230">
        <v>464850</v>
      </c>
      <c r="EC47" s="229">
        <v>5.5999999999999999E-3</v>
      </c>
      <c r="ED47" s="229">
        <v>0.1173</v>
      </c>
      <c r="EE47" s="228">
        <v>9.07</v>
      </c>
      <c r="EF47" s="229">
        <v>4.3E-3</v>
      </c>
      <c r="EG47" s="230">
        <v>206101</v>
      </c>
      <c r="EH47" s="230">
        <v>208439</v>
      </c>
      <c r="EI47" s="229">
        <v>-1.12E-2</v>
      </c>
      <c r="EJ47" s="229">
        <v>0.51639999999999997</v>
      </c>
      <c r="EK47" s="228">
        <v>802.77</v>
      </c>
      <c r="EL47" s="228">
        <v>579.03</v>
      </c>
      <c r="EM47" s="228">
        <v>422.33</v>
      </c>
      <c r="EN47" s="228">
        <v>25.29</v>
      </c>
      <c r="EO47" s="231">
        <v>1804.13</v>
      </c>
      <c r="EP47" s="231">
        <v>1229.67</v>
      </c>
      <c r="EQ47" s="228">
        <v>574.46</v>
      </c>
      <c r="ER47" s="229">
        <v>0.4672</v>
      </c>
      <c r="ES47" s="228">
        <v>688.66</v>
      </c>
      <c r="ET47" s="228">
        <v>412.59</v>
      </c>
      <c r="EU47" s="231">
        <v>1503.7</v>
      </c>
      <c r="EV47" s="231">
        <v>19990944</v>
      </c>
      <c r="EW47" s="231">
        <v>2604.96</v>
      </c>
      <c r="EX47" s="231">
        <v>2292.08</v>
      </c>
      <c r="EY47" s="228">
        <v>312.88</v>
      </c>
      <c r="EZ47" s="229">
        <v>0.13650000000000001</v>
      </c>
      <c r="FA47" s="229">
        <v>0.61160000000000003</v>
      </c>
      <c r="FB47" s="227" t="s">
        <v>567</v>
      </c>
      <c r="FC47">
        <f t="shared" si="0"/>
        <v>177</v>
      </c>
    </row>
    <row r="48" spans="1:159" ht="17.25" thickBot="1" x14ac:dyDescent="0.3">
      <c r="A48" s="226">
        <v>46008</v>
      </c>
      <c r="B48" s="227" t="s">
        <v>215</v>
      </c>
      <c r="C48" s="227" t="s">
        <v>202</v>
      </c>
      <c r="D48" s="228">
        <v>1250</v>
      </c>
      <c r="E48" s="228">
        <v>13</v>
      </c>
      <c r="F48" s="228">
        <v>496.75</v>
      </c>
      <c r="G48" s="228">
        <v>500.05</v>
      </c>
      <c r="H48" s="228">
        <v>-3.3</v>
      </c>
      <c r="I48" s="229">
        <v>-6.6E-3</v>
      </c>
      <c r="J48" s="228">
        <v>496.35</v>
      </c>
      <c r="K48" s="228">
        <v>499.6</v>
      </c>
      <c r="L48" s="228">
        <v>-3.25</v>
      </c>
      <c r="M48" s="229">
        <v>-6.4999999999999997E-3</v>
      </c>
      <c r="N48" s="228">
        <v>496.75</v>
      </c>
      <c r="O48" s="228">
        <v>500.05</v>
      </c>
      <c r="P48" s="228">
        <v>-3.3</v>
      </c>
      <c r="Q48" s="229">
        <v>-6.6E-3</v>
      </c>
      <c r="R48" s="228">
        <v>499.85</v>
      </c>
      <c r="S48" s="228">
        <v>503.05</v>
      </c>
      <c r="T48" s="228">
        <v>-3.2</v>
      </c>
      <c r="U48" s="229">
        <v>-6.4000000000000003E-3</v>
      </c>
      <c r="V48" s="228">
        <v>500.2</v>
      </c>
      <c r="W48" s="228">
        <v>503.65</v>
      </c>
      <c r="X48" s="228">
        <v>-3.45</v>
      </c>
      <c r="Y48" s="229">
        <v>-6.7999999999999996E-3</v>
      </c>
      <c r="Z48" s="228">
        <v>0.4</v>
      </c>
      <c r="AA48" s="228">
        <v>0.45</v>
      </c>
      <c r="AB48" s="228">
        <v>-0.05</v>
      </c>
      <c r="AC48" s="229">
        <v>8.0000000000000004E-4</v>
      </c>
      <c r="AD48" s="228">
        <v>0.4</v>
      </c>
      <c r="AE48" s="228">
        <v>0.45</v>
      </c>
      <c r="AF48" s="228">
        <v>-0.05</v>
      </c>
      <c r="AG48" s="229">
        <v>8.0000000000000004E-4</v>
      </c>
      <c r="AH48" s="228">
        <v>3.5</v>
      </c>
      <c r="AI48" s="228">
        <v>3.45</v>
      </c>
      <c r="AJ48" s="228">
        <v>0.05</v>
      </c>
      <c r="AK48" s="229">
        <v>7.1000000000000004E-3</v>
      </c>
      <c r="AL48" s="228">
        <v>3.85</v>
      </c>
      <c r="AM48" s="228">
        <v>4.05</v>
      </c>
      <c r="AN48" s="228">
        <v>-0.2</v>
      </c>
      <c r="AO48" s="229">
        <v>7.7999999999999996E-3</v>
      </c>
      <c r="AP48" s="228">
        <v>498.34</v>
      </c>
      <c r="AQ48" s="228">
        <v>501.72</v>
      </c>
      <c r="AR48" s="228">
        <v>0</v>
      </c>
      <c r="AS48" s="228">
        <v>133</v>
      </c>
      <c r="AT48" s="228">
        <v>154</v>
      </c>
      <c r="AU48" s="228">
        <v>-21</v>
      </c>
      <c r="AV48" s="229">
        <v>-0.13619999999999999</v>
      </c>
      <c r="AW48" s="228">
        <v>100</v>
      </c>
      <c r="AX48" s="228">
        <v>128</v>
      </c>
      <c r="AY48" s="228">
        <v>-28</v>
      </c>
      <c r="AZ48" s="229">
        <v>-0.21870000000000001</v>
      </c>
      <c r="BA48" s="228">
        <v>27</v>
      </c>
      <c r="BB48" s="228">
        <v>22</v>
      </c>
      <c r="BC48" s="228">
        <v>6</v>
      </c>
      <c r="BD48" s="229">
        <v>0.25650000000000001</v>
      </c>
      <c r="BE48" s="228">
        <v>6</v>
      </c>
      <c r="BF48" s="228">
        <v>4</v>
      </c>
      <c r="BG48" s="228">
        <v>1</v>
      </c>
      <c r="BH48" s="229">
        <v>0.33329999999999999</v>
      </c>
      <c r="BI48" s="228">
        <v>266</v>
      </c>
      <c r="BJ48" s="228">
        <v>298</v>
      </c>
      <c r="BK48" s="228">
        <v>-32</v>
      </c>
      <c r="BL48" s="229">
        <v>-0.1066</v>
      </c>
      <c r="BM48" s="228">
        <v>117</v>
      </c>
      <c r="BN48" s="228">
        <v>105</v>
      </c>
      <c r="BO48" s="228">
        <v>12</v>
      </c>
      <c r="BP48" s="229">
        <v>0.11609999999999999</v>
      </c>
      <c r="BQ48" s="228">
        <v>516</v>
      </c>
      <c r="BR48" s="228">
        <v>556</v>
      </c>
      <c r="BS48" s="228">
        <v>-41</v>
      </c>
      <c r="BT48" s="229">
        <v>-7.2900000000000006E-2</v>
      </c>
      <c r="BU48" s="230">
        <v>664182</v>
      </c>
      <c r="BV48" s="230">
        <v>1117024</v>
      </c>
      <c r="BW48" s="230">
        <v>-452842</v>
      </c>
      <c r="BX48" s="229">
        <v>-0.40539999999999998</v>
      </c>
      <c r="BY48" s="230">
        <v>2004</v>
      </c>
      <c r="BZ48" s="230">
        <v>1995</v>
      </c>
      <c r="CA48" s="228">
        <v>10</v>
      </c>
      <c r="CB48" s="229">
        <v>5.0000000000000001E-3</v>
      </c>
      <c r="CC48" s="230">
        <v>1829</v>
      </c>
      <c r="CD48" s="230">
        <v>1839</v>
      </c>
      <c r="CE48" s="228">
        <v>-10</v>
      </c>
      <c r="CF48" s="229">
        <v>-5.5999999999999999E-3</v>
      </c>
      <c r="CG48" s="228">
        <v>152</v>
      </c>
      <c r="CH48" s="228">
        <v>136</v>
      </c>
      <c r="CI48" s="228">
        <v>16</v>
      </c>
      <c r="CJ48" s="229">
        <v>0.1186</v>
      </c>
      <c r="CK48" s="228">
        <v>24</v>
      </c>
      <c r="CL48" s="228">
        <v>20</v>
      </c>
      <c r="CM48" s="228">
        <v>4</v>
      </c>
      <c r="CN48" s="229">
        <v>0.2019</v>
      </c>
      <c r="CO48" s="228">
        <v>692</v>
      </c>
      <c r="CP48" s="228">
        <v>664</v>
      </c>
      <c r="CQ48" s="228">
        <v>28</v>
      </c>
      <c r="CR48" s="229">
        <v>4.2500000000000003E-2</v>
      </c>
      <c r="CS48" s="228">
        <v>504</v>
      </c>
      <c r="CT48" s="228">
        <v>490</v>
      </c>
      <c r="CU48" s="228">
        <v>14</v>
      </c>
      <c r="CV48" s="229">
        <v>2.8899999999999999E-2</v>
      </c>
      <c r="CW48" s="230">
        <v>3200</v>
      </c>
      <c r="CX48" s="230">
        <v>3148</v>
      </c>
      <c r="CY48" s="228">
        <v>52</v>
      </c>
      <c r="CZ48" s="229">
        <v>1.66E-2</v>
      </c>
      <c r="DA48" s="228">
        <v>20.81</v>
      </c>
      <c r="DB48" s="228">
        <v>20.170000000000002</v>
      </c>
      <c r="DC48" s="228">
        <v>0.64</v>
      </c>
      <c r="DD48" s="228">
        <v>0.64</v>
      </c>
      <c r="DE48" s="228">
        <v>34.08</v>
      </c>
      <c r="DF48" s="228">
        <v>34.159999999999997</v>
      </c>
      <c r="DG48" s="228">
        <v>-13.27</v>
      </c>
      <c r="DH48" s="228">
        <v>-0.08</v>
      </c>
      <c r="DI48" s="228">
        <v>21.45</v>
      </c>
      <c r="DJ48" s="228">
        <v>20.52</v>
      </c>
      <c r="DK48" s="228">
        <v>0.93</v>
      </c>
      <c r="DL48" s="228">
        <v>0.93</v>
      </c>
      <c r="DM48" s="228">
        <v>19.37</v>
      </c>
      <c r="DN48" s="228">
        <v>19.2</v>
      </c>
      <c r="DO48" s="228">
        <v>0.17</v>
      </c>
      <c r="DP48" s="228">
        <v>0.17</v>
      </c>
      <c r="DQ48" s="228">
        <v>0.73</v>
      </c>
      <c r="DR48" s="228">
        <v>0.74</v>
      </c>
      <c r="DS48" s="228">
        <v>-0.01</v>
      </c>
      <c r="DT48" s="229">
        <v>-1.35E-2</v>
      </c>
      <c r="DU48" s="228">
        <v>520</v>
      </c>
      <c r="DV48" s="228">
        <v>500</v>
      </c>
      <c r="DW48" s="228">
        <v>0.44</v>
      </c>
      <c r="DX48" s="228">
        <v>0.35</v>
      </c>
      <c r="DY48" s="228">
        <v>0.09</v>
      </c>
      <c r="DZ48" s="229">
        <v>0.2571</v>
      </c>
      <c r="EA48" s="229">
        <v>8.77E-2</v>
      </c>
      <c r="EB48" s="230">
        <v>3132500</v>
      </c>
      <c r="EC48" s="229">
        <v>6.1999999999999998E-3</v>
      </c>
      <c r="ED48" s="229">
        <v>8.77E-2</v>
      </c>
      <c r="EE48" s="228">
        <v>3.38</v>
      </c>
      <c r="EF48" s="229">
        <v>6.7999999999999996E-3</v>
      </c>
      <c r="EG48" s="230">
        <v>371675</v>
      </c>
      <c r="EH48" s="230">
        <v>711405</v>
      </c>
      <c r="EI48" s="229">
        <v>-0.47749999999999998</v>
      </c>
      <c r="EJ48" s="229">
        <v>0.55959999999999999</v>
      </c>
      <c r="EK48" s="228">
        <v>277.5</v>
      </c>
      <c r="EL48" s="228">
        <v>119.09</v>
      </c>
      <c r="EM48" s="228">
        <v>133.72999999999999</v>
      </c>
      <c r="EN48" s="228">
        <v>23.94</v>
      </c>
      <c r="EO48" s="228">
        <v>530.32000000000005</v>
      </c>
      <c r="EP48" s="228">
        <v>573.69000000000005</v>
      </c>
      <c r="EQ48" s="228">
        <v>-43.38</v>
      </c>
      <c r="ER48" s="229">
        <v>-7.5600000000000001E-2</v>
      </c>
      <c r="ES48" s="228">
        <v>741.46</v>
      </c>
      <c r="ET48" s="228">
        <v>523.11</v>
      </c>
      <c r="EU48" s="231">
        <v>2005.5</v>
      </c>
      <c r="EV48" s="231">
        <v>48077012</v>
      </c>
      <c r="EW48" s="231">
        <v>3270.07</v>
      </c>
      <c r="EX48" s="231">
        <v>3231.18</v>
      </c>
      <c r="EY48" s="228">
        <v>38.89</v>
      </c>
      <c r="EZ48" s="229">
        <v>1.2E-2</v>
      </c>
      <c r="FA48" s="229">
        <v>1.3401000000000001</v>
      </c>
      <c r="FB48" s="227" t="s">
        <v>567</v>
      </c>
      <c r="FC48">
        <f t="shared" si="0"/>
        <v>175</v>
      </c>
    </row>
    <row r="49" spans="1:159" ht="17.25" thickBot="1" x14ac:dyDescent="0.3">
      <c r="A49" s="226">
        <v>46008</v>
      </c>
      <c r="B49" s="227" t="s">
        <v>184</v>
      </c>
      <c r="C49" s="227" t="s">
        <v>523</v>
      </c>
      <c r="D49" s="228">
        <v>1800</v>
      </c>
      <c r="E49" s="228">
        <v>13</v>
      </c>
      <c r="F49" s="228">
        <v>249.5</v>
      </c>
      <c r="G49" s="228">
        <v>253.35</v>
      </c>
      <c r="H49" s="228">
        <v>-3.85</v>
      </c>
      <c r="I49" s="229">
        <v>-1.52E-2</v>
      </c>
      <c r="J49" s="228">
        <v>249.15</v>
      </c>
      <c r="K49" s="228">
        <v>252.45</v>
      </c>
      <c r="L49" s="228">
        <v>-3.3</v>
      </c>
      <c r="M49" s="229">
        <v>-1.3100000000000001E-2</v>
      </c>
      <c r="N49" s="228">
        <v>249.5</v>
      </c>
      <c r="O49" s="228">
        <v>253.35</v>
      </c>
      <c r="P49" s="228">
        <v>-3.85</v>
      </c>
      <c r="Q49" s="229">
        <v>-1.52E-2</v>
      </c>
      <c r="R49" s="228">
        <v>251.05</v>
      </c>
      <c r="S49" s="228">
        <v>255</v>
      </c>
      <c r="T49" s="228">
        <v>-3.95</v>
      </c>
      <c r="U49" s="229">
        <v>-1.55E-2</v>
      </c>
      <c r="V49" s="228">
        <v>252.25</v>
      </c>
      <c r="W49" s="228">
        <v>256.2</v>
      </c>
      <c r="X49" s="228">
        <v>-3.95</v>
      </c>
      <c r="Y49" s="229">
        <v>-1.54E-2</v>
      </c>
      <c r="Z49" s="228">
        <v>0.35</v>
      </c>
      <c r="AA49" s="228">
        <v>0.9</v>
      </c>
      <c r="AB49" s="228">
        <v>-0.55000000000000004</v>
      </c>
      <c r="AC49" s="229">
        <v>1.4E-3</v>
      </c>
      <c r="AD49" s="228">
        <v>0.35</v>
      </c>
      <c r="AE49" s="228">
        <v>0.9</v>
      </c>
      <c r="AF49" s="228">
        <v>-0.55000000000000004</v>
      </c>
      <c r="AG49" s="229">
        <v>1.4E-3</v>
      </c>
      <c r="AH49" s="228">
        <v>1.9</v>
      </c>
      <c r="AI49" s="228">
        <v>2.5499999999999998</v>
      </c>
      <c r="AJ49" s="228">
        <v>-0.65</v>
      </c>
      <c r="AK49" s="229">
        <v>7.6E-3</v>
      </c>
      <c r="AL49" s="228">
        <v>3.1</v>
      </c>
      <c r="AM49" s="228">
        <v>3.75</v>
      </c>
      <c r="AN49" s="228">
        <v>-0.65</v>
      </c>
      <c r="AO49" s="229">
        <v>1.24E-2</v>
      </c>
      <c r="AP49" s="228">
        <v>250.52</v>
      </c>
      <c r="AQ49" s="228">
        <v>252.2</v>
      </c>
      <c r="AR49" s="228">
        <v>0</v>
      </c>
      <c r="AS49" s="228">
        <v>114</v>
      </c>
      <c r="AT49" s="228">
        <v>67</v>
      </c>
      <c r="AU49" s="228">
        <v>47</v>
      </c>
      <c r="AV49" s="229">
        <v>0.70499999999999996</v>
      </c>
      <c r="AW49" s="228">
        <v>96</v>
      </c>
      <c r="AX49" s="228">
        <v>58</v>
      </c>
      <c r="AY49" s="228">
        <v>38</v>
      </c>
      <c r="AZ49" s="229">
        <v>0.6512</v>
      </c>
      <c r="BA49" s="228">
        <v>16</v>
      </c>
      <c r="BB49" s="228">
        <v>6</v>
      </c>
      <c r="BC49" s="228">
        <v>10</v>
      </c>
      <c r="BD49" s="229">
        <v>1.5603</v>
      </c>
      <c r="BE49" s="228">
        <v>3</v>
      </c>
      <c r="BF49" s="228">
        <v>3</v>
      </c>
      <c r="BG49" s="228">
        <v>0</v>
      </c>
      <c r="BH49" s="229">
        <v>-9.3799999999999994E-2</v>
      </c>
      <c r="BI49" s="228">
        <v>322</v>
      </c>
      <c r="BJ49" s="228">
        <v>138</v>
      </c>
      <c r="BK49" s="228">
        <v>183</v>
      </c>
      <c r="BL49" s="229">
        <v>1.3275999999999999</v>
      </c>
      <c r="BM49" s="228">
        <v>94</v>
      </c>
      <c r="BN49" s="228">
        <v>41</v>
      </c>
      <c r="BO49" s="228">
        <v>53</v>
      </c>
      <c r="BP49" s="229">
        <v>1.2907</v>
      </c>
      <c r="BQ49" s="228">
        <v>530</v>
      </c>
      <c r="BR49" s="228">
        <v>246</v>
      </c>
      <c r="BS49" s="228">
        <v>284</v>
      </c>
      <c r="BT49" s="229">
        <v>1.1517999999999999</v>
      </c>
      <c r="BU49" s="230">
        <v>2187099</v>
      </c>
      <c r="BV49" s="230">
        <v>1655482</v>
      </c>
      <c r="BW49" s="230">
        <v>531617</v>
      </c>
      <c r="BX49" s="229">
        <v>0.3211</v>
      </c>
      <c r="BY49" s="230">
        <v>1421</v>
      </c>
      <c r="BZ49" s="230">
        <v>1430</v>
      </c>
      <c r="CA49" s="228">
        <v>-9</v>
      </c>
      <c r="CB49" s="229">
        <v>-6.0000000000000001E-3</v>
      </c>
      <c r="CC49" s="230">
        <v>1313</v>
      </c>
      <c r="CD49" s="230">
        <v>1326</v>
      </c>
      <c r="CE49" s="228">
        <v>-13</v>
      </c>
      <c r="CF49" s="229">
        <v>-9.9000000000000008E-3</v>
      </c>
      <c r="CG49" s="228">
        <v>88</v>
      </c>
      <c r="CH49" s="228">
        <v>84</v>
      </c>
      <c r="CI49" s="228">
        <v>3</v>
      </c>
      <c r="CJ49" s="229">
        <v>3.9300000000000002E-2</v>
      </c>
      <c r="CK49" s="228">
        <v>20</v>
      </c>
      <c r="CL49" s="228">
        <v>19</v>
      </c>
      <c r="CM49" s="228">
        <v>1</v>
      </c>
      <c r="CN49" s="229">
        <v>5.8500000000000003E-2</v>
      </c>
      <c r="CO49" s="228">
        <v>611</v>
      </c>
      <c r="CP49" s="228">
        <v>579</v>
      </c>
      <c r="CQ49" s="228">
        <v>32</v>
      </c>
      <c r="CR49" s="229">
        <v>5.4800000000000001E-2</v>
      </c>
      <c r="CS49" s="228">
        <v>298</v>
      </c>
      <c r="CT49" s="228">
        <v>304</v>
      </c>
      <c r="CU49" s="228">
        <v>-6</v>
      </c>
      <c r="CV49" s="229">
        <v>-1.9900000000000001E-2</v>
      </c>
      <c r="CW49" s="230">
        <v>2330</v>
      </c>
      <c r="CX49" s="230">
        <v>2313</v>
      </c>
      <c r="CY49" s="228">
        <v>17</v>
      </c>
      <c r="CZ49" s="229">
        <v>7.4000000000000003E-3</v>
      </c>
      <c r="DA49" s="228">
        <v>26.22</v>
      </c>
      <c r="DB49" s="228">
        <v>24.1</v>
      </c>
      <c r="DC49" s="228">
        <v>2.12</v>
      </c>
      <c r="DD49" s="228">
        <v>2.12</v>
      </c>
      <c r="DE49" s="228">
        <v>30.79</v>
      </c>
      <c r="DF49" s="228">
        <v>30.79</v>
      </c>
      <c r="DG49" s="228">
        <v>-4.57</v>
      </c>
      <c r="DH49" s="228">
        <v>0</v>
      </c>
      <c r="DI49" s="228">
        <v>26.6</v>
      </c>
      <c r="DJ49" s="228">
        <v>24.58</v>
      </c>
      <c r="DK49" s="228">
        <v>2.02</v>
      </c>
      <c r="DL49" s="228">
        <v>2.02</v>
      </c>
      <c r="DM49" s="228">
        <v>24.93</v>
      </c>
      <c r="DN49" s="228">
        <v>22.46</v>
      </c>
      <c r="DO49" s="228">
        <v>2.4700000000000002</v>
      </c>
      <c r="DP49" s="228">
        <v>2.4700000000000002</v>
      </c>
      <c r="DQ49" s="228">
        <v>0.49</v>
      </c>
      <c r="DR49" s="228">
        <v>0.53</v>
      </c>
      <c r="DS49" s="228">
        <v>-0.04</v>
      </c>
      <c r="DT49" s="229">
        <v>-7.5499999999999998E-2</v>
      </c>
      <c r="DU49" s="228">
        <v>280</v>
      </c>
      <c r="DV49" s="228">
        <v>250</v>
      </c>
      <c r="DW49" s="228">
        <v>0.28999999999999998</v>
      </c>
      <c r="DX49" s="228">
        <v>0.3</v>
      </c>
      <c r="DY49" s="228">
        <v>-0.01</v>
      </c>
      <c r="DZ49" s="229">
        <v>-3.3300000000000003E-2</v>
      </c>
      <c r="EA49" s="229">
        <v>7.6100000000000001E-2</v>
      </c>
      <c r="EB49" s="230">
        <v>4154400</v>
      </c>
      <c r="EC49" s="229">
        <v>6.1999999999999998E-3</v>
      </c>
      <c r="ED49" s="229">
        <v>7.6100000000000001E-2</v>
      </c>
      <c r="EE49" s="228">
        <v>1.68</v>
      </c>
      <c r="EF49" s="229">
        <v>6.7000000000000002E-3</v>
      </c>
      <c r="EG49" s="230">
        <v>1333924</v>
      </c>
      <c r="EH49" s="230">
        <v>683891</v>
      </c>
      <c r="EI49" s="229">
        <v>0.95050000000000001</v>
      </c>
      <c r="EJ49" s="229">
        <v>0.6099</v>
      </c>
      <c r="EK49" s="228">
        <v>346.57</v>
      </c>
      <c r="EL49" s="228">
        <v>101.75</v>
      </c>
      <c r="EM49" s="228">
        <v>115.09</v>
      </c>
      <c r="EN49" s="228">
        <v>19.05</v>
      </c>
      <c r="EO49" s="228">
        <v>563.4</v>
      </c>
      <c r="EP49" s="228">
        <v>258.29000000000002</v>
      </c>
      <c r="EQ49" s="228">
        <v>305.11</v>
      </c>
      <c r="ER49" s="229">
        <v>1.1813</v>
      </c>
      <c r="ES49" s="228">
        <v>675.87</v>
      </c>
      <c r="ET49" s="228">
        <v>316.33999999999997</v>
      </c>
      <c r="EU49" s="231">
        <v>1422.13</v>
      </c>
      <c r="EV49" s="231">
        <v>81400589</v>
      </c>
      <c r="EW49" s="231">
        <v>2414.34</v>
      </c>
      <c r="EX49" s="231">
        <v>2420.69</v>
      </c>
      <c r="EY49" s="228">
        <v>-6.35</v>
      </c>
      <c r="EZ49" s="229">
        <v>-2.5999999999999999E-3</v>
      </c>
      <c r="FA49" s="229">
        <v>1.1473</v>
      </c>
      <c r="FB49" s="227" t="s">
        <v>568</v>
      </c>
      <c r="FC49">
        <f t="shared" si="0"/>
        <v>108</v>
      </c>
    </row>
    <row r="50" spans="1:159" ht="17.25" thickBot="1" x14ac:dyDescent="0.3">
      <c r="A50" s="226">
        <v>46008</v>
      </c>
      <c r="B50" s="227" t="s">
        <v>184</v>
      </c>
      <c r="C50" s="227" t="s">
        <v>203</v>
      </c>
      <c r="D50" s="228">
        <v>200</v>
      </c>
      <c r="E50" s="228">
        <v>13</v>
      </c>
      <c r="F50" s="231">
        <v>4521.1000000000004</v>
      </c>
      <c r="G50" s="231">
        <v>4507.2</v>
      </c>
      <c r="H50" s="228">
        <v>13.9</v>
      </c>
      <c r="I50" s="229">
        <v>3.0999999999999999E-3</v>
      </c>
      <c r="J50" s="231">
        <v>4512.7</v>
      </c>
      <c r="K50" s="231">
        <v>4494.3</v>
      </c>
      <c r="L50" s="228">
        <v>18.399999999999999</v>
      </c>
      <c r="M50" s="229">
        <v>4.1000000000000003E-3</v>
      </c>
      <c r="N50" s="231">
        <v>4521.1000000000004</v>
      </c>
      <c r="O50" s="231">
        <v>4507.2</v>
      </c>
      <c r="P50" s="228">
        <v>13.9</v>
      </c>
      <c r="Q50" s="229">
        <v>3.0999999999999999E-3</v>
      </c>
      <c r="R50" s="231">
        <v>4550.3999999999996</v>
      </c>
      <c r="S50" s="231">
        <v>4535.2</v>
      </c>
      <c r="T50" s="228">
        <v>15.2</v>
      </c>
      <c r="U50" s="229">
        <v>3.3999999999999998E-3</v>
      </c>
      <c r="V50" s="231">
        <v>4563.7</v>
      </c>
      <c r="W50" s="231">
        <v>4535.8</v>
      </c>
      <c r="X50" s="228">
        <v>27.9</v>
      </c>
      <c r="Y50" s="229">
        <v>6.1999999999999998E-3</v>
      </c>
      <c r="Z50" s="228">
        <v>8.4</v>
      </c>
      <c r="AA50" s="228">
        <v>12.9</v>
      </c>
      <c r="AB50" s="228">
        <v>-4.5</v>
      </c>
      <c r="AC50" s="229">
        <v>1.9E-3</v>
      </c>
      <c r="AD50" s="228">
        <v>8.4</v>
      </c>
      <c r="AE50" s="228">
        <v>12.9</v>
      </c>
      <c r="AF50" s="228">
        <v>-4.5</v>
      </c>
      <c r="AG50" s="229">
        <v>1.9E-3</v>
      </c>
      <c r="AH50" s="228">
        <v>37.700000000000003</v>
      </c>
      <c r="AI50" s="228">
        <v>40.9</v>
      </c>
      <c r="AJ50" s="228">
        <v>-3.2</v>
      </c>
      <c r="AK50" s="229">
        <v>8.3999999999999995E-3</v>
      </c>
      <c r="AL50" s="228">
        <v>51</v>
      </c>
      <c r="AM50" s="228">
        <v>41.5</v>
      </c>
      <c r="AN50" s="228">
        <v>9.5</v>
      </c>
      <c r="AO50" s="229">
        <v>1.1299999999999999E-2</v>
      </c>
      <c r="AP50" s="231">
        <v>4525.0600000000004</v>
      </c>
      <c r="AQ50" s="231">
        <v>4551.5</v>
      </c>
      <c r="AR50" s="228">
        <v>0</v>
      </c>
      <c r="AS50" s="228">
        <v>125</v>
      </c>
      <c r="AT50" s="228">
        <v>156</v>
      </c>
      <c r="AU50" s="228">
        <v>-31</v>
      </c>
      <c r="AV50" s="229">
        <v>-0.2001</v>
      </c>
      <c r="AW50" s="228">
        <v>114</v>
      </c>
      <c r="AX50" s="228">
        <v>141</v>
      </c>
      <c r="AY50" s="228">
        <v>-27</v>
      </c>
      <c r="AZ50" s="229">
        <v>-0.19309999999999999</v>
      </c>
      <c r="BA50" s="228">
        <v>11</v>
      </c>
      <c r="BB50" s="228">
        <v>14</v>
      </c>
      <c r="BC50" s="228">
        <v>-3</v>
      </c>
      <c r="BD50" s="229">
        <v>-0.24030000000000001</v>
      </c>
      <c r="BE50" s="228">
        <v>0</v>
      </c>
      <c r="BF50" s="228">
        <v>1</v>
      </c>
      <c r="BG50" s="228">
        <v>-1</v>
      </c>
      <c r="BH50" s="229">
        <v>-0.63639999999999997</v>
      </c>
      <c r="BI50" s="228">
        <v>799</v>
      </c>
      <c r="BJ50" s="228">
        <v>473</v>
      </c>
      <c r="BK50" s="228">
        <v>326</v>
      </c>
      <c r="BL50" s="229">
        <v>0.68920000000000003</v>
      </c>
      <c r="BM50" s="228">
        <v>267</v>
      </c>
      <c r="BN50" s="228">
        <v>264</v>
      </c>
      <c r="BO50" s="228">
        <v>3</v>
      </c>
      <c r="BP50" s="229">
        <v>1.2699999999999999E-2</v>
      </c>
      <c r="BQ50" s="230">
        <v>1191</v>
      </c>
      <c r="BR50" s="228">
        <v>893</v>
      </c>
      <c r="BS50" s="228">
        <v>298</v>
      </c>
      <c r="BT50" s="229">
        <v>0.33379999999999999</v>
      </c>
      <c r="BU50" s="230">
        <v>261622</v>
      </c>
      <c r="BV50" s="230">
        <v>290660</v>
      </c>
      <c r="BW50" s="230">
        <v>-29038</v>
      </c>
      <c r="BX50" s="229">
        <v>-9.9900000000000003E-2</v>
      </c>
      <c r="BY50" s="230">
        <v>1313</v>
      </c>
      <c r="BZ50" s="230">
        <v>1316</v>
      </c>
      <c r="CA50" s="228">
        <v>-3</v>
      </c>
      <c r="CB50" s="229">
        <v>-2.3999999999999998E-3</v>
      </c>
      <c r="CC50" s="230">
        <v>1275</v>
      </c>
      <c r="CD50" s="230">
        <v>1284</v>
      </c>
      <c r="CE50" s="228">
        <v>-9</v>
      </c>
      <c r="CF50" s="229">
        <v>-6.7999999999999996E-3</v>
      </c>
      <c r="CG50" s="228">
        <v>34</v>
      </c>
      <c r="CH50" s="228">
        <v>28</v>
      </c>
      <c r="CI50" s="228">
        <v>6</v>
      </c>
      <c r="CJ50" s="229">
        <v>0.19939999999999999</v>
      </c>
      <c r="CK50" s="228">
        <v>4</v>
      </c>
      <c r="CL50" s="228">
        <v>4</v>
      </c>
      <c r="CM50" s="228">
        <v>0</v>
      </c>
      <c r="CN50" s="229">
        <v>0</v>
      </c>
      <c r="CO50" s="228">
        <v>485</v>
      </c>
      <c r="CP50" s="228">
        <v>414</v>
      </c>
      <c r="CQ50" s="228">
        <v>71</v>
      </c>
      <c r="CR50" s="229">
        <v>0.17180000000000001</v>
      </c>
      <c r="CS50" s="228">
        <v>362</v>
      </c>
      <c r="CT50" s="228">
        <v>337</v>
      </c>
      <c r="CU50" s="228">
        <v>25</v>
      </c>
      <c r="CV50" s="229">
        <v>7.4099999999999999E-2</v>
      </c>
      <c r="CW50" s="230">
        <v>2160</v>
      </c>
      <c r="CX50" s="230">
        <v>2067</v>
      </c>
      <c r="CY50" s="228">
        <v>93</v>
      </c>
      <c r="CZ50" s="229">
        <v>4.4900000000000002E-2</v>
      </c>
      <c r="DA50" s="228">
        <v>20.47</v>
      </c>
      <c r="DB50" s="228">
        <v>20.77</v>
      </c>
      <c r="DC50" s="228">
        <v>-0.3</v>
      </c>
      <c r="DD50" s="228">
        <v>-0.3</v>
      </c>
      <c r="DE50" s="228">
        <v>33.47</v>
      </c>
      <c r="DF50" s="228">
        <v>33.549999999999997</v>
      </c>
      <c r="DG50" s="228">
        <v>-13</v>
      </c>
      <c r="DH50" s="228">
        <v>-0.08</v>
      </c>
      <c r="DI50" s="228">
        <v>20.25</v>
      </c>
      <c r="DJ50" s="228">
        <v>20.83</v>
      </c>
      <c r="DK50" s="228">
        <v>-0.57999999999999996</v>
      </c>
      <c r="DL50" s="228">
        <v>-0.57999999999999996</v>
      </c>
      <c r="DM50" s="228">
        <v>21.15</v>
      </c>
      <c r="DN50" s="228">
        <v>20.67</v>
      </c>
      <c r="DO50" s="228">
        <v>0.48</v>
      </c>
      <c r="DP50" s="228">
        <v>0.48</v>
      </c>
      <c r="DQ50" s="228">
        <v>0.75</v>
      </c>
      <c r="DR50" s="228">
        <v>0.81</v>
      </c>
      <c r="DS50" s="228">
        <v>-0.06</v>
      </c>
      <c r="DT50" s="229">
        <v>-7.4099999999999999E-2</v>
      </c>
      <c r="DU50" s="231">
        <v>4500</v>
      </c>
      <c r="DV50" s="231">
        <v>4400</v>
      </c>
      <c r="DW50" s="228">
        <v>0.33</v>
      </c>
      <c r="DX50" s="228">
        <v>0.56000000000000005</v>
      </c>
      <c r="DY50" s="228">
        <v>-0.23</v>
      </c>
      <c r="DZ50" s="229">
        <v>-0.41070000000000001</v>
      </c>
      <c r="EA50" s="229">
        <v>2.87E-2</v>
      </c>
      <c r="EB50" s="230">
        <v>71000</v>
      </c>
      <c r="EC50" s="229">
        <v>6.4999999999999997E-3</v>
      </c>
      <c r="ED50" s="229">
        <v>2.87E-2</v>
      </c>
      <c r="EE50" s="228">
        <v>26.44</v>
      </c>
      <c r="EF50" s="229">
        <v>5.7999999999999996E-3</v>
      </c>
      <c r="EG50" s="230">
        <v>179797</v>
      </c>
      <c r="EH50" s="230">
        <v>186927</v>
      </c>
      <c r="EI50" s="229">
        <v>-3.8100000000000002E-2</v>
      </c>
      <c r="EJ50" s="229">
        <v>0.68720000000000003</v>
      </c>
      <c r="EK50" s="228">
        <v>819.18</v>
      </c>
      <c r="EL50" s="228">
        <v>262.92</v>
      </c>
      <c r="EM50" s="228">
        <v>125.23</v>
      </c>
      <c r="EN50" s="228">
        <v>24.76</v>
      </c>
      <c r="EO50" s="231">
        <v>1207.32</v>
      </c>
      <c r="EP50" s="228">
        <v>908.47</v>
      </c>
      <c r="EQ50" s="228">
        <v>298.86</v>
      </c>
      <c r="ER50" s="229">
        <v>0.32900000000000001</v>
      </c>
      <c r="ES50" s="228">
        <v>496.53</v>
      </c>
      <c r="ET50" s="228">
        <v>345.22</v>
      </c>
      <c r="EU50" s="231">
        <v>1313.45</v>
      </c>
      <c r="EV50" s="231">
        <v>20374200</v>
      </c>
      <c r="EW50" s="231">
        <v>2155.21</v>
      </c>
      <c r="EX50" s="231">
        <v>2058.17</v>
      </c>
      <c r="EY50" s="228">
        <v>97.04</v>
      </c>
      <c r="EZ50" s="229">
        <v>4.7100000000000003E-2</v>
      </c>
      <c r="FA50" s="229">
        <v>0.2344</v>
      </c>
      <c r="FB50" s="227" t="s">
        <v>556</v>
      </c>
      <c r="FC50">
        <f t="shared" si="0"/>
        <v>38</v>
      </c>
    </row>
    <row r="51" spans="1:159" ht="17.25" thickBot="1" x14ac:dyDescent="0.3">
      <c r="A51" s="226">
        <v>46008</v>
      </c>
      <c r="B51" s="227" t="s">
        <v>221</v>
      </c>
      <c r="C51" s="227" t="s">
        <v>572</v>
      </c>
      <c r="D51" s="228">
        <v>425</v>
      </c>
      <c r="E51" s="228">
        <v>13</v>
      </c>
      <c r="F51" s="231">
        <v>1142.3</v>
      </c>
      <c r="G51" s="231">
        <v>1150.5999999999999</v>
      </c>
      <c r="H51" s="228">
        <v>-8.3000000000000007</v>
      </c>
      <c r="I51" s="229">
        <v>-7.1999999999999998E-3</v>
      </c>
      <c r="J51" s="231">
        <v>1138.8</v>
      </c>
      <c r="K51" s="231">
        <v>1149.8</v>
      </c>
      <c r="L51" s="228">
        <v>-11</v>
      </c>
      <c r="M51" s="229">
        <v>-9.5999999999999992E-3</v>
      </c>
      <c r="N51" s="231">
        <v>1142.3</v>
      </c>
      <c r="O51" s="231">
        <v>1150.5999999999999</v>
      </c>
      <c r="P51" s="228">
        <v>-8.3000000000000007</v>
      </c>
      <c r="Q51" s="229">
        <v>-7.1999999999999998E-3</v>
      </c>
      <c r="R51" s="228">
        <v>0</v>
      </c>
      <c r="S51" s="228">
        <v>0</v>
      </c>
      <c r="T51" s="228">
        <v>0</v>
      </c>
      <c r="U51" s="229">
        <v>0</v>
      </c>
      <c r="V51" s="228">
        <v>0</v>
      </c>
      <c r="W51" s="228">
        <v>0</v>
      </c>
      <c r="X51" s="228">
        <v>0</v>
      </c>
      <c r="Y51" s="229">
        <v>0</v>
      </c>
      <c r="Z51" s="228">
        <v>3.5</v>
      </c>
      <c r="AA51" s="228">
        <v>0.8</v>
      </c>
      <c r="AB51" s="228">
        <v>2.7</v>
      </c>
      <c r="AC51" s="229">
        <v>3.0999999999999999E-3</v>
      </c>
      <c r="AD51" s="228">
        <v>3.5</v>
      </c>
      <c r="AE51" s="228">
        <v>0.8</v>
      </c>
      <c r="AF51" s="228">
        <v>2.7</v>
      </c>
      <c r="AG51" s="229">
        <v>3.0999999999999999E-3</v>
      </c>
      <c r="AH51" s="228">
        <v>0</v>
      </c>
      <c r="AI51" s="228">
        <v>0</v>
      </c>
      <c r="AJ51" s="228">
        <v>0</v>
      </c>
      <c r="AK51" s="229">
        <v>0</v>
      </c>
      <c r="AL51" s="228">
        <v>0</v>
      </c>
      <c r="AM51" s="228">
        <v>0</v>
      </c>
      <c r="AN51" s="228">
        <v>0</v>
      </c>
      <c r="AO51" s="229">
        <v>0</v>
      </c>
      <c r="AP51" s="231">
        <v>1139.51</v>
      </c>
      <c r="AQ51" s="228">
        <v>0</v>
      </c>
      <c r="AR51" s="228">
        <v>0</v>
      </c>
      <c r="AS51" s="228">
        <v>280</v>
      </c>
      <c r="AT51" s="228">
        <v>49</v>
      </c>
      <c r="AU51" s="228">
        <v>232</v>
      </c>
      <c r="AV51" s="229">
        <v>4.7699999999999996</v>
      </c>
      <c r="AW51" s="228">
        <v>280</v>
      </c>
      <c r="AX51" s="228">
        <v>49</v>
      </c>
      <c r="AY51" s="228">
        <v>232</v>
      </c>
      <c r="AZ51" s="229">
        <v>4.7699999999999996</v>
      </c>
      <c r="BA51" s="228">
        <v>0</v>
      </c>
      <c r="BB51" s="228">
        <v>0</v>
      </c>
      <c r="BC51" s="228">
        <v>0</v>
      </c>
      <c r="BD51" s="229">
        <v>0</v>
      </c>
      <c r="BE51" s="228">
        <v>0</v>
      </c>
      <c r="BF51" s="228">
        <v>0</v>
      </c>
      <c r="BG51" s="228">
        <v>0</v>
      </c>
      <c r="BH51" s="229">
        <v>0</v>
      </c>
      <c r="BI51" s="228">
        <v>826</v>
      </c>
      <c r="BJ51" s="228">
        <v>64</v>
      </c>
      <c r="BK51" s="228">
        <v>762</v>
      </c>
      <c r="BL51" s="229">
        <v>11.924799999999999</v>
      </c>
      <c r="BM51" s="228">
        <v>623</v>
      </c>
      <c r="BN51" s="228">
        <v>39</v>
      </c>
      <c r="BO51" s="228">
        <v>584</v>
      </c>
      <c r="BP51" s="229">
        <v>14.914400000000001</v>
      </c>
      <c r="BQ51" s="230">
        <v>1729</v>
      </c>
      <c r="BR51" s="228">
        <v>152</v>
      </c>
      <c r="BS51" s="230">
        <v>1577</v>
      </c>
      <c r="BT51" s="229">
        <v>10.4049</v>
      </c>
      <c r="BU51" s="230">
        <v>921032</v>
      </c>
      <c r="BV51" s="230">
        <v>283869</v>
      </c>
      <c r="BW51" s="230">
        <v>637163</v>
      </c>
      <c r="BX51" s="229">
        <v>2.2446000000000002</v>
      </c>
      <c r="BY51" s="228">
        <v>358</v>
      </c>
      <c r="BZ51" s="228">
        <v>362</v>
      </c>
      <c r="CA51" s="228">
        <v>-3</v>
      </c>
      <c r="CB51" s="229">
        <v>-9.4999999999999998E-3</v>
      </c>
      <c r="CC51" s="228">
        <v>358</v>
      </c>
      <c r="CD51" s="228">
        <v>362</v>
      </c>
      <c r="CE51" s="228">
        <v>-3</v>
      </c>
      <c r="CF51" s="229">
        <v>-9.4999999999999998E-3</v>
      </c>
      <c r="CG51" s="228">
        <v>0</v>
      </c>
      <c r="CH51" s="228">
        <v>0</v>
      </c>
      <c r="CI51" s="228">
        <v>0</v>
      </c>
      <c r="CJ51" s="229">
        <v>0</v>
      </c>
      <c r="CK51" s="228">
        <v>0</v>
      </c>
      <c r="CL51" s="228">
        <v>0</v>
      </c>
      <c r="CM51" s="228">
        <v>0</v>
      </c>
      <c r="CN51" s="229">
        <v>0</v>
      </c>
      <c r="CO51" s="228">
        <v>169</v>
      </c>
      <c r="CP51" s="228">
        <v>143</v>
      </c>
      <c r="CQ51" s="228">
        <v>26</v>
      </c>
      <c r="CR51" s="229">
        <v>0.18099999999999999</v>
      </c>
      <c r="CS51" s="228">
        <v>115</v>
      </c>
      <c r="CT51" s="228">
        <v>94</v>
      </c>
      <c r="CU51" s="228">
        <v>21</v>
      </c>
      <c r="CV51" s="229">
        <v>0.2248</v>
      </c>
      <c r="CW51" s="228">
        <v>642</v>
      </c>
      <c r="CX51" s="228">
        <v>598</v>
      </c>
      <c r="CY51" s="228">
        <v>43</v>
      </c>
      <c r="CZ51" s="229">
        <v>7.2700000000000001E-2</v>
      </c>
      <c r="DA51" s="228">
        <v>26.27</v>
      </c>
      <c r="DB51" s="228">
        <v>26.02</v>
      </c>
      <c r="DC51" s="228">
        <v>0.25</v>
      </c>
      <c r="DD51" s="228">
        <v>0.25</v>
      </c>
      <c r="DE51" s="228">
        <v>41.84</v>
      </c>
      <c r="DF51" s="228">
        <v>41.93</v>
      </c>
      <c r="DG51" s="228">
        <v>-15.57</v>
      </c>
      <c r="DH51" s="228">
        <v>-0.09</v>
      </c>
      <c r="DI51" s="228">
        <v>27.27</v>
      </c>
      <c r="DJ51" s="228">
        <v>26.18</v>
      </c>
      <c r="DK51" s="228">
        <v>1.0900000000000001</v>
      </c>
      <c r="DL51" s="228">
        <v>1.0900000000000001</v>
      </c>
      <c r="DM51" s="228">
        <v>24.96</v>
      </c>
      <c r="DN51" s="228">
        <v>25.74</v>
      </c>
      <c r="DO51" s="228">
        <v>-0.78</v>
      </c>
      <c r="DP51" s="228">
        <v>-0.78</v>
      </c>
      <c r="DQ51" s="228">
        <v>0.68</v>
      </c>
      <c r="DR51" s="228">
        <v>0.66</v>
      </c>
      <c r="DS51" s="228">
        <v>0.02</v>
      </c>
      <c r="DT51" s="229">
        <v>3.0300000000000001E-2</v>
      </c>
      <c r="DU51" s="231">
        <v>1200</v>
      </c>
      <c r="DV51" s="231">
        <v>1160</v>
      </c>
      <c r="DW51" s="228">
        <v>0.75</v>
      </c>
      <c r="DX51" s="228">
        <v>0.61</v>
      </c>
      <c r="DY51" s="228">
        <v>0.14000000000000001</v>
      </c>
      <c r="DZ51" s="229">
        <v>0.22950000000000001</v>
      </c>
      <c r="EA51" s="229">
        <v>0</v>
      </c>
      <c r="EB51" s="228">
        <v>0</v>
      </c>
      <c r="EC51" s="229">
        <v>0</v>
      </c>
      <c r="ED51" s="229">
        <v>0</v>
      </c>
      <c r="EE51" s="228">
        <v>0</v>
      </c>
      <c r="EF51" s="229">
        <v>0</v>
      </c>
      <c r="EG51" s="230">
        <v>150813</v>
      </c>
      <c r="EH51" s="230">
        <v>163587</v>
      </c>
      <c r="EI51" s="229">
        <v>-7.8100000000000003E-2</v>
      </c>
      <c r="EJ51" s="229">
        <v>0.16370000000000001</v>
      </c>
      <c r="EK51" s="228">
        <v>846.02</v>
      </c>
      <c r="EL51" s="228">
        <v>641.24</v>
      </c>
      <c r="EM51" s="228">
        <v>279.44</v>
      </c>
      <c r="EN51" s="228">
        <v>12.35</v>
      </c>
      <c r="EO51" s="231">
        <v>1766.69</v>
      </c>
      <c r="EP51" s="228">
        <v>155.51</v>
      </c>
      <c r="EQ51" s="231">
        <v>1611.19</v>
      </c>
      <c r="ER51" s="229">
        <v>10.360900000000001</v>
      </c>
      <c r="ES51" s="228">
        <v>175.11</v>
      </c>
      <c r="ET51" s="228">
        <v>113.41</v>
      </c>
      <c r="EU51" s="228">
        <v>358.38</v>
      </c>
      <c r="EV51" s="231">
        <v>12039544</v>
      </c>
      <c r="EW51" s="228">
        <v>646.91</v>
      </c>
      <c r="EX51" s="228">
        <v>606.49</v>
      </c>
      <c r="EY51" s="228">
        <v>40.42</v>
      </c>
      <c r="EZ51" s="229">
        <v>6.6600000000000006E-2</v>
      </c>
      <c r="FA51" s="229">
        <v>0.46679999999999999</v>
      </c>
      <c r="FB51" s="227" t="s">
        <v>568</v>
      </c>
      <c r="FC51">
        <f t="shared" si="0"/>
        <v>0</v>
      </c>
    </row>
    <row r="52" spans="1:159" ht="17.25" thickBot="1" x14ac:dyDescent="0.3">
      <c r="A52" s="226">
        <v>46008</v>
      </c>
      <c r="B52" s="227" t="s">
        <v>168</v>
      </c>
      <c r="C52" s="227" t="s">
        <v>204</v>
      </c>
      <c r="D52" s="228">
        <v>1250</v>
      </c>
      <c r="E52" s="228">
        <v>13</v>
      </c>
      <c r="F52" s="228">
        <v>494.5</v>
      </c>
      <c r="G52" s="228">
        <v>499.15</v>
      </c>
      <c r="H52" s="228">
        <v>-4.6500000000000004</v>
      </c>
      <c r="I52" s="229">
        <v>-9.2999999999999992E-3</v>
      </c>
      <c r="J52" s="228">
        <v>494.15</v>
      </c>
      <c r="K52" s="228">
        <v>497.2</v>
      </c>
      <c r="L52" s="228">
        <v>-3.05</v>
      </c>
      <c r="M52" s="229">
        <v>-6.1000000000000004E-3</v>
      </c>
      <c r="N52" s="228">
        <v>494.5</v>
      </c>
      <c r="O52" s="228">
        <v>499.15</v>
      </c>
      <c r="P52" s="228">
        <v>-4.6500000000000004</v>
      </c>
      <c r="Q52" s="229">
        <v>-9.2999999999999992E-3</v>
      </c>
      <c r="R52" s="228">
        <v>497.45</v>
      </c>
      <c r="S52" s="228">
        <v>502.05</v>
      </c>
      <c r="T52" s="228">
        <v>-4.5999999999999996</v>
      </c>
      <c r="U52" s="229">
        <v>-9.1999999999999998E-3</v>
      </c>
      <c r="V52" s="228">
        <v>500.75</v>
      </c>
      <c r="W52" s="228">
        <v>505.75</v>
      </c>
      <c r="X52" s="228">
        <v>-5</v>
      </c>
      <c r="Y52" s="229">
        <v>-9.9000000000000008E-3</v>
      </c>
      <c r="Z52" s="228">
        <v>0.35</v>
      </c>
      <c r="AA52" s="228">
        <v>1.95</v>
      </c>
      <c r="AB52" s="228">
        <v>-1.6</v>
      </c>
      <c r="AC52" s="229">
        <v>6.9999999999999999E-4</v>
      </c>
      <c r="AD52" s="228">
        <v>0.35</v>
      </c>
      <c r="AE52" s="228">
        <v>1.95</v>
      </c>
      <c r="AF52" s="228">
        <v>-1.6</v>
      </c>
      <c r="AG52" s="229">
        <v>6.9999999999999999E-4</v>
      </c>
      <c r="AH52" s="228">
        <v>3.3</v>
      </c>
      <c r="AI52" s="228">
        <v>4.8499999999999996</v>
      </c>
      <c r="AJ52" s="228">
        <v>-1.55</v>
      </c>
      <c r="AK52" s="229">
        <v>6.7000000000000002E-3</v>
      </c>
      <c r="AL52" s="228">
        <v>6.6</v>
      </c>
      <c r="AM52" s="228">
        <v>8.5500000000000007</v>
      </c>
      <c r="AN52" s="228">
        <v>-1.95</v>
      </c>
      <c r="AO52" s="229">
        <v>1.34E-2</v>
      </c>
      <c r="AP52" s="228">
        <v>496.22</v>
      </c>
      <c r="AQ52" s="228">
        <v>499.29</v>
      </c>
      <c r="AR52" s="228">
        <v>0</v>
      </c>
      <c r="AS52" s="228">
        <v>101</v>
      </c>
      <c r="AT52" s="228">
        <v>174</v>
      </c>
      <c r="AU52" s="228">
        <v>-73</v>
      </c>
      <c r="AV52" s="229">
        <v>-0.42</v>
      </c>
      <c r="AW52" s="228">
        <v>83</v>
      </c>
      <c r="AX52" s="228">
        <v>145</v>
      </c>
      <c r="AY52" s="228">
        <v>-62</v>
      </c>
      <c r="AZ52" s="229">
        <v>-0.4274</v>
      </c>
      <c r="BA52" s="228">
        <v>17</v>
      </c>
      <c r="BB52" s="228">
        <v>27</v>
      </c>
      <c r="BC52" s="228">
        <v>-10</v>
      </c>
      <c r="BD52" s="229">
        <v>-0.37069999999999997</v>
      </c>
      <c r="BE52" s="228">
        <v>1</v>
      </c>
      <c r="BF52" s="228">
        <v>2</v>
      </c>
      <c r="BG52" s="228">
        <v>-1</v>
      </c>
      <c r="BH52" s="229">
        <v>-0.56669999999999998</v>
      </c>
      <c r="BI52" s="228">
        <v>362</v>
      </c>
      <c r="BJ52" s="230">
        <v>1076</v>
      </c>
      <c r="BK52" s="228">
        <v>-715</v>
      </c>
      <c r="BL52" s="229">
        <v>-0.66400000000000003</v>
      </c>
      <c r="BM52" s="228">
        <v>130</v>
      </c>
      <c r="BN52" s="228">
        <v>317</v>
      </c>
      <c r="BO52" s="228">
        <v>-187</v>
      </c>
      <c r="BP52" s="229">
        <v>-0.59019999999999995</v>
      </c>
      <c r="BQ52" s="228">
        <v>592</v>
      </c>
      <c r="BR52" s="230">
        <v>1567</v>
      </c>
      <c r="BS52" s="228">
        <v>-975</v>
      </c>
      <c r="BT52" s="229">
        <v>-0.62209999999999999</v>
      </c>
      <c r="BU52" s="230">
        <v>569561</v>
      </c>
      <c r="BV52" s="230">
        <v>1544690</v>
      </c>
      <c r="BW52" s="230">
        <v>-975129</v>
      </c>
      <c r="BX52" s="229">
        <v>-0.63129999999999997</v>
      </c>
      <c r="BY52" s="228">
        <v>954</v>
      </c>
      <c r="BZ52" s="228">
        <v>938</v>
      </c>
      <c r="CA52" s="228">
        <v>17</v>
      </c>
      <c r="CB52" s="229">
        <v>1.77E-2</v>
      </c>
      <c r="CC52" s="228">
        <v>894</v>
      </c>
      <c r="CD52" s="228">
        <v>883</v>
      </c>
      <c r="CE52" s="228">
        <v>11</v>
      </c>
      <c r="CF52" s="229">
        <v>1.2500000000000001E-2</v>
      </c>
      <c r="CG52" s="228">
        <v>54</v>
      </c>
      <c r="CH52" s="228">
        <v>49</v>
      </c>
      <c r="CI52" s="228">
        <v>5</v>
      </c>
      <c r="CJ52" s="229">
        <v>0.10580000000000001</v>
      </c>
      <c r="CK52" s="228">
        <v>6</v>
      </c>
      <c r="CL52" s="228">
        <v>5</v>
      </c>
      <c r="CM52" s="228">
        <v>0</v>
      </c>
      <c r="CN52" s="229">
        <v>8.14E-2</v>
      </c>
      <c r="CO52" s="228">
        <v>765</v>
      </c>
      <c r="CP52" s="228">
        <v>733</v>
      </c>
      <c r="CQ52" s="228">
        <v>32</v>
      </c>
      <c r="CR52" s="229">
        <v>4.3700000000000003E-2</v>
      </c>
      <c r="CS52" s="228">
        <v>414</v>
      </c>
      <c r="CT52" s="228">
        <v>389</v>
      </c>
      <c r="CU52" s="228">
        <v>24</v>
      </c>
      <c r="CV52" s="229">
        <v>6.2700000000000006E-2</v>
      </c>
      <c r="CW52" s="230">
        <v>2133</v>
      </c>
      <c r="CX52" s="230">
        <v>2060</v>
      </c>
      <c r="CY52" s="228">
        <v>73</v>
      </c>
      <c r="CZ52" s="229">
        <v>3.5499999999999997E-2</v>
      </c>
      <c r="DA52" s="228">
        <v>20.47</v>
      </c>
      <c r="DB52" s="228">
        <v>19.829999999999998</v>
      </c>
      <c r="DC52" s="228">
        <v>0.64</v>
      </c>
      <c r="DD52" s="228">
        <v>0.64</v>
      </c>
      <c r="DE52" s="228">
        <v>24.64</v>
      </c>
      <c r="DF52" s="228">
        <v>24.68</v>
      </c>
      <c r="DG52" s="228">
        <v>-4.17</v>
      </c>
      <c r="DH52" s="228">
        <v>-0.04</v>
      </c>
      <c r="DI52" s="228">
        <v>20.76</v>
      </c>
      <c r="DJ52" s="228">
        <v>19.809999999999999</v>
      </c>
      <c r="DK52" s="228">
        <v>0.95</v>
      </c>
      <c r="DL52" s="228">
        <v>0.95</v>
      </c>
      <c r="DM52" s="228">
        <v>19.68</v>
      </c>
      <c r="DN52" s="228">
        <v>19.89</v>
      </c>
      <c r="DO52" s="228">
        <v>-0.21</v>
      </c>
      <c r="DP52" s="228">
        <v>-0.21</v>
      </c>
      <c r="DQ52" s="228">
        <v>0.54</v>
      </c>
      <c r="DR52" s="228">
        <v>0.53</v>
      </c>
      <c r="DS52" s="228">
        <v>0.01</v>
      </c>
      <c r="DT52" s="229">
        <v>1.89E-2</v>
      </c>
      <c r="DU52" s="228">
        <v>550</v>
      </c>
      <c r="DV52" s="228">
        <v>460</v>
      </c>
      <c r="DW52" s="228">
        <v>0.36</v>
      </c>
      <c r="DX52" s="228">
        <v>0.28999999999999998</v>
      </c>
      <c r="DY52" s="228">
        <v>7.0000000000000007E-2</v>
      </c>
      <c r="DZ52" s="229">
        <v>0.2414</v>
      </c>
      <c r="EA52" s="229">
        <v>6.2899999999999998E-2</v>
      </c>
      <c r="EB52" s="230">
        <v>1100000</v>
      </c>
      <c r="EC52" s="229">
        <v>6.0000000000000001E-3</v>
      </c>
      <c r="ED52" s="229">
        <v>6.2899999999999998E-2</v>
      </c>
      <c r="EE52" s="228">
        <v>3.07</v>
      </c>
      <c r="EF52" s="229">
        <v>6.1999999999999998E-3</v>
      </c>
      <c r="EG52" s="230">
        <v>294672</v>
      </c>
      <c r="EH52" s="230">
        <v>864964</v>
      </c>
      <c r="EI52" s="229">
        <v>-0.6593</v>
      </c>
      <c r="EJ52" s="229">
        <v>0.51739999999999997</v>
      </c>
      <c r="EK52" s="228">
        <v>377.04</v>
      </c>
      <c r="EL52" s="228">
        <v>128.36000000000001</v>
      </c>
      <c r="EM52" s="228">
        <v>101.1</v>
      </c>
      <c r="EN52" s="228">
        <v>21.34</v>
      </c>
      <c r="EO52" s="228">
        <v>606.49</v>
      </c>
      <c r="EP52" s="231">
        <v>1614.03</v>
      </c>
      <c r="EQ52" s="231">
        <v>-1007.54</v>
      </c>
      <c r="ER52" s="229">
        <v>-0.62419999999999998</v>
      </c>
      <c r="ES52" s="228">
        <v>820.47</v>
      </c>
      <c r="ET52" s="228">
        <v>408.85</v>
      </c>
      <c r="EU52" s="228">
        <v>954.6</v>
      </c>
      <c r="EV52" s="231">
        <v>89873278</v>
      </c>
      <c r="EW52" s="231">
        <v>2183.91</v>
      </c>
      <c r="EX52" s="231">
        <v>2120.41</v>
      </c>
      <c r="EY52" s="228">
        <v>63.5</v>
      </c>
      <c r="EZ52" s="229">
        <v>2.9899999999999999E-2</v>
      </c>
      <c r="FA52" s="229">
        <v>0.48</v>
      </c>
      <c r="FB52" s="227" t="s">
        <v>567</v>
      </c>
      <c r="FC52">
        <f t="shared" si="0"/>
        <v>60</v>
      </c>
    </row>
    <row r="53" spans="1:159" ht="17.25" thickBot="1" x14ac:dyDescent="0.3">
      <c r="A53" s="226">
        <v>46008</v>
      </c>
      <c r="B53" s="227" t="s">
        <v>157</v>
      </c>
      <c r="C53" s="227" t="s">
        <v>524</v>
      </c>
      <c r="D53" s="228">
        <v>325</v>
      </c>
      <c r="E53" s="228">
        <v>13</v>
      </c>
      <c r="F53" s="231">
        <v>2077.6</v>
      </c>
      <c r="G53" s="231">
        <v>2070.3000000000002</v>
      </c>
      <c r="H53" s="228">
        <v>7.3</v>
      </c>
      <c r="I53" s="229">
        <v>3.5000000000000001E-3</v>
      </c>
      <c r="J53" s="231">
        <v>2073.9</v>
      </c>
      <c r="K53" s="231">
        <v>2066.5</v>
      </c>
      <c r="L53" s="228">
        <v>7.4</v>
      </c>
      <c r="M53" s="229">
        <v>3.5999999999999999E-3</v>
      </c>
      <c r="N53" s="231">
        <v>2077.6</v>
      </c>
      <c r="O53" s="231">
        <v>2070.3000000000002</v>
      </c>
      <c r="P53" s="228">
        <v>7.3</v>
      </c>
      <c r="Q53" s="229">
        <v>3.5000000000000001E-3</v>
      </c>
      <c r="R53" s="231">
        <v>2091.1999999999998</v>
      </c>
      <c r="S53" s="231">
        <v>2082.6</v>
      </c>
      <c r="T53" s="228">
        <v>8.6</v>
      </c>
      <c r="U53" s="229">
        <v>4.1000000000000003E-3</v>
      </c>
      <c r="V53" s="231">
        <v>2090</v>
      </c>
      <c r="W53" s="231">
        <v>2090</v>
      </c>
      <c r="X53" s="228">
        <v>0</v>
      </c>
      <c r="Y53" s="229">
        <v>0</v>
      </c>
      <c r="Z53" s="228">
        <v>3.7</v>
      </c>
      <c r="AA53" s="228">
        <v>3.8</v>
      </c>
      <c r="AB53" s="228">
        <v>-0.1</v>
      </c>
      <c r="AC53" s="229">
        <v>1.8E-3</v>
      </c>
      <c r="AD53" s="228">
        <v>3.7</v>
      </c>
      <c r="AE53" s="228">
        <v>3.8</v>
      </c>
      <c r="AF53" s="228">
        <v>-0.1</v>
      </c>
      <c r="AG53" s="229">
        <v>1.8E-3</v>
      </c>
      <c r="AH53" s="228">
        <v>17.3</v>
      </c>
      <c r="AI53" s="228">
        <v>16.100000000000001</v>
      </c>
      <c r="AJ53" s="228">
        <v>1.2</v>
      </c>
      <c r="AK53" s="229">
        <v>8.3000000000000001E-3</v>
      </c>
      <c r="AL53" s="228">
        <v>16.100000000000001</v>
      </c>
      <c r="AM53" s="228">
        <v>23.5</v>
      </c>
      <c r="AN53" s="228">
        <v>-7.4</v>
      </c>
      <c r="AO53" s="229">
        <v>7.7999999999999996E-3</v>
      </c>
      <c r="AP53" s="231">
        <v>2070.33</v>
      </c>
      <c r="AQ53" s="231">
        <v>2083.42</v>
      </c>
      <c r="AR53" s="228">
        <v>0</v>
      </c>
      <c r="AS53" s="228">
        <v>127</v>
      </c>
      <c r="AT53" s="228">
        <v>135</v>
      </c>
      <c r="AU53" s="228">
        <v>-8</v>
      </c>
      <c r="AV53" s="229">
        <v>-6.0999999999999999E-2</v>
      </c>
      <c r="AW53" s="228">
        <v>89</v>
      </c>
      <c r="AX53" s="228">
        <v>115</v>
      </c>
      <c r="AY53" s="228">
        <v>-26</v>
      </c>
      <c r="AZ53" s="229">
        <v>-0.2268</v>
      </c>
      <c r="BA53" s="228">
        <v>38</v>
      </c>
      <c r="BB53" s="228">
        <v>20</v>
      </c>
      <c r="BC53" s="228">
        <v>18</v>
      </c>
      <c r="BD53" s="229">
        <v>0.90510000000000002</v>
      </c>
      <c r="BE53" s="228">
        <v>0</v>
      </c>
      <c r="BF53" s="228">
        <v>0</v>
      </c>
      <c r="BG53" s="228">
        <v>0</v>
      </c>
      <c r="BH53" s="229">
        <v>-1</v>
      </c>
      <c r="BI53" s="228">
        <v>250</v>
      </c>
      <c r="BJ53" s="228">
        <v>294</v>
      </c>
      <c r="BK53" s="228">
        <v>-44</v>
      </c>
      <c r="BL53" s="229">
        <v>-0.1507</v>
      </c>
      <c r="BM53" s="228">
        <v>99</v>
      </c>
      <c r="BN53" s="228">
        <v>187</v>
      </c>
      <c r="BO53" s="228">
        <v>-88</v>
      </c>
      <c r="BP53" s="229">
        <v>-0.46970000000000001</v>
      </c>
      <c r="BQ53" s="228">
        <v>476</v>
      </c>
      <c r="BR53" s="228">
        <v>616</v>
      </c>
      <c r="BS53" s="228">
        <v>-141</v>
      </c>
      <c r="BT53" s="229">
        <v>-0.22800000000000001</v>
      </c>
      <c r="BU53" s="230">
        <v>144195</v>
      </c>
      <c r="BV53" s="230">
        <v>266119</v>
      </c>
      <c r="BW53" s="230">
        <v>-121924</v>
      </c>
      <c r="BX53" s="229">
        <v>-0.4582</v>
      </c>
      <c r="BY53" s="228">
        <v>507</v>
      </c>
      <c r="BZ53" s="228">
        <v>488</v>
      </c>
      <c r="CA53" s="228">
        <v>19</v>
      </c>
      <c r="CB53" s="229">
        <v>3.9300000000000002E-2</v>
      </c>
      <c r="CC53" s="228">
        <v>458</v>
      </c>
      <c r="CD53" s="228">
        <v>461</v>
      </c>
      <c r="CE53" s="228">
        <v>-2</v>
      </c>
      <c r="CF53" s="229">
        <v>-5.3E-3</v>
      </c>
      <c r="CG53" s="228">
        <v>47</v>
      </c>
      <c r="CH53" s="228">
        <v>26</v>
      </c>
      <c r="CI53" s="228">
        <v>22</v>
      </c>
      <c r="CJ53" s="229">
        <v>0.84209999999999996</v>
      </c>
      <c r="CK53" s="228">
        <v>2</v>
      </c>
      <c r="CL53" s="228">
        <v>2</v>
      </c>
      <c r="CM53" s="228">
        <v>0</v>
      </c>
      <c r="CN53" s="229">
        <v>0</v>
      </c>
      <c r="CO53" s="228">
        <v>276</v>
      </c>
      <c r="CP53" s="228">
        <v>267</v>
      </c>
      <c r="CQ53" s="228">
        <v>8</v>
      </c>
      <c r="CR53" s="229">
        <v>3.0599999999999999E-2</v>
      </c>
      <c r="CS53" s="228">
        <v>209</v>
      </c>
      <c r="CT53" s="228">
        <v>209</v>
      </c>
      <c r="CU53" s="228">
        <v>0</v>
      </c>
      <c r="CV53" s="229">
        <v>-1.6000000000000001E-3</v>
      </c>
      <c r="CW53" s="228">
        <v>991</v>
      </c>
      <c r="CX53" s="228">
        <v>964</v>
      </c>
      <c r="CY53" s="228">
        <v>27</v>
      </c>
      <c r="CZ53" s="229">
        <v>2.8000000000000001E-2</v>
      </c>
      <c r="DA53" s="228">
        <v>21.57</v>
      </c>
      <c r="DB53" s="228">
        <v>22.53</v>
      </c>
      <c r="DC53" s="228">
        <v>-0.96</v>
      </c>
      <c r="DD53" s="228">
        <v>-0.96</v>
      </c>
      <c r="DE53" s="228">
        <v>29.08</v>
      </c>
      <c r="DF53" s="228">
        <v>29.15</v>
      </c>
      <c r="DG53" s="228">
        <v>-7.51</v>
      </c>
      <c r="DH53" s="228">
        <v>-7.0000000000000007E-2</v>
      </c>
      <c r="DI53" s="228">
        <v>21.42</v>
      </c>
      <c r="DJ53" s="228">
        <v>23.35</v>
      </c>
      <c r="DK53" s="228">
        <v>-1.93</v>
      </c>
      <c r="DL53" s="228">
        <v>-1.93</v>
      </c>
      <c r="DM53" s="228">
        <v>21.95</v>
      </c>
      <c r="DN53" s="228">
        <v>21.24</v>
      </c>
      <c r="DO53" s="228">
        <v>0.71</v>
      </c>
      <c r="DP53" s="228">
        <v>0.71</v>
      </c>
      <c r="DQ53" s="228">
        <v>0.76</v>
      </c>
      <c r="DR53" s="228">
        <v>0.78</v>
      </c>
      <c r="DS53" s="228">
        <v>-0.02</v>
      </c>
      <c r="DT53" s="229">
        <v>-2.5600000000000001E-2</v>
      </c>
      <c r="DU53" s="231">
        <v>2200</v>
      </c>
      <c r="DV53" s="231">
        <v>2000</v>
      </c>
      <c r="DW53" s="228">
        <v>0.4</v>
      </c>
      <c r="DX53" s="228">
        <v>0.64</v>
      </c>
      <c r="DY53" s="228">
        <v>-0.24</v>
      </c>
      <c r="DZ53" s="229">
        <v>-0.375</v>
      </c>
      <c r="EA53" s="229">
        <v>9.6799999999999997E-2</v>
      </c>
      <c r="EB53" s="230">
        <v>132275</v>
      </c>
      <c r="EC53" s="229">
        <v>6.4999999999999997E-3</v>
      </c>
      <c r="ED53" s="229">
        <v>9.6799999999999997E-2</v>
      </c>
      <c r="EE53" s="228">
        <v>13.09</v>
      </c>
      <c r="EF53" s="229">
        <v>6.3E-3</v>
      </c>
      <c r="EG53" s="230">
        <v>67189</v>
      </c>
      <c r="EH53" s="230">
        <v>173603</v>
      </c>
      <c r="EI53" s="229">
        <v>-0.61299999999999999</v>
      </c>
      <c r="EJ53" s="229">
        <v>0.46600000000000003</v>
      </c>
      <c r="EK53" s="228">
        <v>256.69</v>
      </c>
      <c r="EL53" s="228">
        <v>96.49</v>
      </c>
      <c r="EM53" s="228">
        <v>126.6</v>
      </c>
      <c r="EN53" s="228">
        <v>26.9</v>
      </c>
      <c r="EO53" s="228">
        <v>479.79</v>
      </c>
      <c r="EP53" s="228">
        <v>628.79</v>
      </c>
      <c r="EQ53" s="228">
        <v>-149</v>
      </c>
      <c r="ER53" s="229">
        <v>-0.23699999999999999</v>
      </c>
      <c r="ES53" s="228">
        <v>285.14999999999998</v>
      </c>
      <c r="ET53" s="228">
        <v>199.01</v>
      </c>
      <c r="EU53" s="228">
        <v>507.61</v>
      </c>
      <c r="EV53" s="231">
        <v>12425041</v>
      </c>
      <c r="EW53" s="228">
        <v>991.77</v>
      </c>
      <c r="EX53" s="228">
        <v>962.39</v>
      </c>
      <c r="EY53" s="228">
        <v>29.38</v>
      </c>
      <c r="EZ53" s="229">
        <v>3.0499999999999999E-2</v>
      </c>
      <c r="FA53" s="229">
        <v>0.3841</v>
      </c>
      <c r="FB53" s="227" t="s">
        <v>555</v>
      </c>
      <c r="FC53">
        <f t="shared" si="0"/>
        <v>49</v>
      </c>
    </row>
    <row r="54" spans="1:159" ht="17.25" thickBot="1" x14ac:dyDescent="0.3">
      <c r="A54" s="226">
        <v>46008</v>
      </c>
      <c r="B54" s="227" t="s">
        <v>615</v>
      </c>
      <c r="C54" s="227" t="s">
        <v>600</v>
      </c>
      <c r="D54" s="228">
        <v>2075</v>
      </c>
      <c r="E54" s="228">
        <v>13</v>
      </c>
      <c r="F54" s="228">
        <v>400.3</v>
      </c>
      <c r="G54" s="228">
        <v>402.95</v>
      </c>
      <c r="H54" s="228">
        <v>-2.65</v>
      </c>
      <c r="I54" s="229">
        <v>-6.6E-3</v>
      </c>
      <c r="J54" s="228">
        <v>399.8</v>
      </c>
      <c r="K54" s="228">
        <v>401.8</v>
      </c>
      <c r="L54" s="228">
        <v>-2</v>
      </c>
      <c r="M54" s="229">
        <v>-5.0000000000000001E-3</v>
      </c>
      <c r="N54" s="228">
        <v>400.3</v>
      </c>
      <c r="O54" s="228">
        <v>402.95</v>
      </c>
      <c r="P54" s="228">
        <v>-2.65</v>
      </c>
      <c r="Q54" s="229">
        <v>-6.6E-3</v>
      </c>
      <c r="R54" s="228">
        <v>402.75</v>
      </c>
      <c r="S54" s="228">
        <v>405.55</v>
      </c>
      <c r="T54" s="228">
        <v>-2.8</v>
      </c>
      <c r="U54" s="229">
        <v>-6.8999999999999999E-3</v>
      </c>
      <c r="V54" s="228">
        <v>406</v>
      </c>
      <c r="W54" s="228">
        <v>406.6</v>
      </c>
      <c r="X54" s="228">
        <v>-0.6</v>
      </c>
      <c r="Y54" s="229">
        <v>-1.5E-3</v>
      </c>
      <c r="Z54" s="228">
        <v>0.5</v>
      </c>
      <c r="AA54" s="228">
        <v>1.1499999999999999</v>
      </c>
      <c r="AB54" s="228">
        <v>-0.65</v>
      </c>
      <c r="AC54" s="229">
        <v>1.2999999999999999E-3</v>
      </c>
      <c r="AD54" s="228">
        <v>0.5</v>
      </c>
      <c r="AE54" s="228">
        <v>1.1499999999999999</v>
      </c>
      <c r="AF54" s="228">
        <v>-0.65</v>
      </c>
      <c r="AG54" s="229">
        <v>1.2999999999999999E-3</v>
      </c>
      <c r="AH54" s="228">
        <v>2.95</v>
      </c>
      <c r="AI54" s="228">
        <v>3.75</v>
      </c>
      <c r="AJ54" s="228">
        <v>-0.8</v>
      </c>
      <c r="AK54" s="229">
        <v>7.4000000000000003E-3</v>
      </c>
      <c r="AL54" s="228">
        <v>6.2</v>
      </c>
      <c r="AM54" s="228">
        <v>4.8</v>
      </c>
      <c r="AN54" s="228">
        <v>1.4</v>
      </c>
      <c r="AO54" s="229">
        <v>1.55E-2</v>
      </c>
      <c r="AP54" s="228">
        <v>400.72</v>
      </c>
      <c r="AQ54" s="228">
        <v>403.48</v>
      </c>
      <c r="AR54" s="228">
        <v>0</v>
      </c>
      <c r="AS54" s="228">
        <v>95</v>
      </c>
      <c r="AT54" s="228">
        <v>123</v>
      </c>
      <c r="AU54" s="228">
        <v>-28</v>
      </c>
      <c r="AV54" s="229">
        <v>-0.22819999999999999</v>
      </c>
      <c r="AW54" s="228">
        <v>77</v>
      </c>
      <c r="AX54" s="228">
        <v>103</v>
      </c>
      <c r="AY54" s="228">
        <v>-26</v>
      </c>
      <c r="AZ54" s="229">
        <v>-0.25540000000000002</v>
      </c>
      <c r="BA54" s="228">
        <v>17</v>
      </c>
      <c r="BB54" s="228">
        <v>19</v>
      </c>
      <c r="BC54" s="228">
        <v>-1</v>
      </c>
      <c r="BD54" s="229">
        <v>-7.5899999999999995E-2</v>
      </c>
      <c r="BE54" s="228">
        <v>0</v>
      </c>
      <c r="BF54" s="228">
        <v>1</v>
      </c>
      <c r="BG54" s="228">
        <v>0</v>
      </c>
      <c r="BH54" s="229">
        <v>-0.25</v>
      </c>
      <c r="BI54" s="228">
        <v>290</v>
      </c>
      <c r="BJ54" s="228">
        <v>385</v>
      </c>
      <c r="BK54" s="228">
        <v>-96</v>
      </c>
      <c r="BL54" s="229">
        <v>-0.24809999999999999</v>
      </c>
      <c r="BM54" s="228">
        <v>144</v>
      </c>
      <c r="BN54" s="228">
        <v>183</v>
      </c>
      <c r="BO54" s="228">
        <v>-39</v>
      </c>
      <c r="BP54" s="229">
        <v>-0.2132</v>
      </c>
      <c r="BQ54" s="228">
        <v>529</v>
      </c>
      <c r="BR54" s="228">
        <v>691</v>
      </c>
      <c r="BS54" s="228">
        <v>-163</v>
      </c>
      <c r="BT54" s="229">
        <v>-0.23530000000000001</v>
      </c>
      <c r="BU54" s="230">
        <v>1173511</v>
      </c>
      <c r="BV54" s="230">
        <v>1605183</v>
      </c>
      <c r="BW54" s="230">
        <v>-431672</v>
      </c>
      <c r="BX54" s="229">
        <v>-0.26889999999999997</v>
      </c>
      <c r="BY54" s="228">
        <v>659</v>
      </c>
      <c r="BZ54" s="228">
        <v>648</v>
      </c>
      <c r="CA54" s="228">
        <v>11</v>
      </c>
      <c r="CB54" s="229">
        <v>1.6400000000000001E-2</v>
      </c>
      <c r="CC54" s="228">
        <v>616</v>
      </c>
      <c r="CD54" s="228">
        <v>608</v>
      </c>
      <c r="CE54" s="228">
        <v>8</v>
      </c>
      <c r="CF54" s="229">
        <v>1.26E-2</v>
      </c>
      <c r="CG54" s="228">
        <v>39</v>
      </c>
      <c r="CH54" s="228">
        <v>36</v>
      </c>
      <c r="CI54" s="228">
        <v>3</v>
      </c>
      <c r="CJ54" s="229">
        <v>8.14E-2</v>
      </c>
      <c r="CK54" s="228">
        <v>4</v>
      </c>
      <c r="CL54" s="228">
        <v>4</v>
      </c>
      <c r="CM54" s="228">
        <v>0</v>
      </c>
      <c r="CN54" s="229">
        <v>2.1299999999999999E-2</v>
      </c>
      <c r="CO54" s="228">
        <v>553</v>
      </c>
      <c r="CP54" s="228">
        <v>543</v>
      </c>
      <c r="CQ54" s="228">
        <v>9</v>
      </c>
      <c r="CR54" s="229">
        <v>1.6799999999999999E-2</v>
      </c>
      <c r="CS54" s="228">
        <v>359</v>
      </c>
      <c r="CT54" s="228">
        <v>349</v>
      </c>
      <c r="CU54" s="228">
        <v>10</v>
      </c>
      <c r="CV54" s="229">
        <v>2.7300000000000001E-2</v>
      </c>
      <c r="CW54" s="230">
        <v>1570</v>
      </c>
      <c r="CX54" s="230">
        <v>1541</v>
      </c>
      <c r="CY54" s="228">
        <v>29</v>
      </c>
      <c r="CZ54" s="229">
        <v>1.9E-2</v>
      </c>
      <c r="DA54" s="228">
        <v>28.08</v>
      </c>
      <c r="DB54" s="228">
        <v>28.78</v>
      </c>
      <c r="DC54" s="228">
        <v>-0.7</v>
      </c>
      <c r="DD54" s="228">
        <v>-0.7</v>
      </c>
      <c r="DE54" s="228">
        <v>41.02</v>
      </c>
      <c r="DF54" s="228">
        <v>41.11</v>
      </c>
      <c r="DG54" s="228">
        <v>-12.94</v>
      </c>
      <c r="DH54" s="228">
        <v>-0.09</v>
      </c>
      <c r="DI54" s="228">
        <v>28.65</v>
      </c>
      <c r="DJ54" s="228">
        <v>29.01</v>
      </c>
      <c r="DK54" s="228">
        <v>-0.36</v>
      </c>
      <c r="DL54" s="228">
        <v>-0.36</v>
      </c>
      <c r="DM54" s="228">
        <v>26.94</v>
      </c>
      <c r="DN54" s="228">
        <v>28.29</v>
      </c>
      <c r="DO54" s="228">
        <v>-1.35</v>
      </c>
      <c r="DP54" s="228">
        <v>-1.35</v>
      </c>
      <c r="DQ54" s="228">
        <v>0.65</v>
      </c>
      <c r="DR54" s="228">
        <v>0.64</v>
      </c>
      <c r="DS54" s="228">
        <v>0.01</v>
      </c>
      <c r="DT54" s="229">
        <v>1.5599999999999999E-2</v>
      </c>
      <c r="DU54" s="228">
        <v>430</v>
      </c>
      <c r="DV54" s="228">
        <v>380</v>
      </c>
      <c r="DW54" s="228">
        <v>0.5</v>
      </c>
      <c r="DX54" s="228">
        <v>0.48</v>
      </c>
      <c r="DY54" s="228">
        <v>0.02</v>
      </c>
      <c r="DZ54" s="229">
        <v>4.1700000000000001E-2</v>
      </c>
      <c r="EA54" s="229">
        <v>6.4699999999999994E-2</v>
      </c>
      <c r="EB54" s="230">
        <v>989775</v>
      </c>
      <c r="EC54" s="229">
        <v>6.1000000000000004E-3</v>
      </c>
      <c r="ED54" s="229">
        <v>6.4699999999999994E-2</v>
      </c>
      <c r="EE54" s="228">
        <v>2.76</v>
      </c>
      <c r="EF54" s="229">
        <v>6.8999999999999999E-3</v>
      </c>
      <c r="EG54" s="230">
        <v>653606</v>
      </c>
      <c r="EH54" s="230">
        <v>815897</v>
      </c>
      <c r="EI54" s="229">
        <v>-0.19889999999999999</v>
      </c>
      <c r="EJ54" s="229">
        <v>0.55700000000000005</v>
      </c>
      <c r="EK54" s="228">
        <v>306.76</v>
      </c>
      <c r="EL54" s="228">
        <v>142.6</v>
      </c>
      <c r="EM54" s="228">
        <v>94.92</v>
      </c>
      <c r="EN54" s="228">
        <v>14.88</v>
      </c>
      <c r="EO54" s="228">
        <v>544.28</v>
      </c>
      <c r="EP54" s="228">
        <v>718.5</v>
      </c>
      <c r="EQ54" s="228">
        <v>-174.22</v>
      </c>
      <c r="ER54" s="229">
        <v>-0.24249999999999999</v>
      </c>
      <c r="ES54" s="228">
        <v>606.76</v>
      </c>
      <c r="ET54" s="228">
        <v>357.33</v>
      </c>
      <c r="EU54" s="228">
        <v>658.81</v>
      </c>
      <c r="EV54" s="231">
        <v>94196226</v>
      </c>
      <c r="EW54" s="231">
        <v>1622.9</v>
      </c>
      <c r="EX54" s="231">
        <v>1600.79</v>
      </c>
      <c r="EY54" s="228">
        <v>22.11</v>
      </c>
      <c r="EZ54" s="229">
        <v>1.38E-2</v>
      </c>
      <c r="FA54" s="229">
        <v>0.41639999999999999</v>
      </c>
      <c r="FB54" s="227" t="s">
        <v>567</v>
      </c>
      <c r="FC54">
        <f t="shared" si="0"/>
        <v>43</v>
      </c>
    </row>
    <row r="55" spans="1:159" ht="17.25" thickBot="1" x14ac:dyDescent="0.3">
      <c r="A55" s="226">
        <v>46008</v>
      </c>
      <c r="B55" s="227" t="s">
        <v>170</v>
      </c>
      <c r="C55" s="227" t="s">
        <v>205</v>
      </c>
      <c r="D55" s="228">
        <v>100</v>
      </c>
      <c r="E55" s="228">
        <v>13</v>
      </c>
      <c r="F55" s="231">
        <v>6299.5</v>
      </c>
      <c r="G55" s="231">
        <v>6343</v>
      </c>
      <c r="H55" s="228">
        <v>-43.5</v>
      </c>
      <c r="I55" s="229">
        <v>-6.8999999999999999E-3</v>
      </c>
      <c r="J55" s="231">
        <v>6293</v>
      </c>
      <c r="K55" s="231">
        <v>6335.5</v>
      </c>
      <c r="L55" s="228">
        <v>-42.5</v>
      </c>
      <c r="M55" s="229">
        <v>-6.7000000000000002E-3</v>
      </c>
      <c r="N55" s="231">
        <v>6299.5</v>
      </c>
      <c r="O55" s="231">
        <v>6343</v>
      </c>
      <c r="P55" s="228">
        <v>-43.5</v>
      </c>
      <c r="Q55" s="229">
        <v>-6.8999999999999999E-3</v>
      </c>
      <c r="R55" s="231">
        <v>6339</v>
      </c>
      <c r="S55" s="231">
        <v>6375.5</v>
      </c>
      <c r="T55" s="228">
        <v>-36.5</v>
      </c>
      <c r="U55" s="229">
        <v>-5.7000000000000002E-3</v>
      </c>
      <c r="V55" s="231">
        <v>6377</v>
      </c>
      <c r="W55" s="231">
        <v>6380</v>
      </c>
      <c r="X55" s="228">
        <v>-3</v>
      </c>
      <c r="Y55" s="229">
        <v>-5.0000000000000001E-4</v>
      </c>
      <c r="Z55" s="228">
        <v>6.5</v>
      </c>
      <c r="AA55" s="228">
        <v>7.5</v>
      </c>
      <c r="AB55" s="228">
        <v>-1</v>
      </c>
      <c r="AC55" s="229">
        <v>1E-3</v>
      </c>
      <c r="AD55" s="228">
        <v>6.5</v>
      </c>
      <c r="AE55" s="228">
        <v>7.5</v>
      </c>
      <c r="AF55" s="228">
        <v>-1</v>
      </c>
      <c r="AG55" s="229">
        <v>1E-3</v>
      </c>
      <c r="AH55" s="228">
        <v>46</v>
      </c>
      <c r="AI55" s="228">
        <v>40</v>
      </c>
      <c r="AJ55" s="228">
        <v>6</v>
      </c>
      <c r="AK55" s="229">
        <v>7.3000000000000001E-3</v>
      </c>
      <c r="AL55" s="228">
        <v>84</v>
      </c>
      <c r="AM55" s="228">
        <v>44.5</v>
      </c>
      <c r="AN55" s="228">
        <v>39.5</v>
      </c>
      <c r="AO55" s="229">
        <v>1.3299999999999999E-2</v>
      </c>
      <c r="AP55" s="231">
        <v>6329.1</v>
      </c>
      <c r="AQ55" s="231">
        <v>6355.04</v>
      </c>
      <c r="AR55" s="228">
        <v>0</v>
      </c>
      <c r="AS55" s="228">
        <v>109</v>
      </c>
      <c r="AT55" s="228">
        <v>151</v>
      </c>
      <c r="AU55" s="228">
        <v>-43</v>
      </c>
      <c r="AV55" s="229">
        <v>-0.28299999999999997</v>
      </c>
      <c r="AW55" s="228">
        <v>92</v>
      </c>
      <c r="AX55" s="228">
        <v>142</v>
      </c>
      <c r="AY55" s="228">
        <v>-50</v>
      </c>
      <c r="AZ55" s="229">
        <v>-0.35489999999999999</v>
      </c>
      <c r="BA55" s="228">
        <v>17</v>
      </c>
      <c r="BB55" s="228">
        <v>9</v>
      </c>
      <c r="BC55" s="228">
        <v>8</v>
      </c>
      <c r="BD55" s="229">
        <v>0.89859999999999995</v>
      </c>
      <c r="BE55" s="228">
        <v>0</v>
      </c>
      <c r="BF55" s="228">
        <v>1</v>
      </c>
      <c r="BG55" s="228">
        <v>0</v>
      </c>
      <c r="BH55" s="229">
        <v>-0.36359999999999998</v>
      </c>
      <c r="BI55" s="228">
        <v>334</v>
      </c>
      <c r="BJ55" s="228">
        <v>308</v>
      </c>
      <c r="BK55" s="228">
        <v>25</v>
      </c>
      <c r="BL55" s="229">
        <v>8.1500000000000003E-2</v>
      </c>
      <c r="BM55" s="228">
        <v>149</v>
      </c>
      <c r="BN55" s="228">
        <v>155</v>
      </c>
      <c r="BO55" s="228">
        <v>-7</v>
      </c>
      <c r="BP55" s="229">
        <v>-4.2999999999999997E-2</v>
      </c>
      <c r="BQ55" s="228">
        <v>591</v>
      </c>
      <c r="BR55" s="228">
        <v>615</v>
      </c>
      <c r="BS55" s="228">
        <v>-24</v>
      </c>
      <c r="BT55" s="229">
        <v>-3.9600000000000003E-2</v>
      </c>
      <c r="BU55" s="230">
        <v>198427</v>
      </c>
      <c r="BV55" s="230">
        <v>177454</v>
      </c>
      <c r="BW55" s="230">
        <v>20973</v>
      </c>
      <c r="BX55" s="229">
        <v>0.1182</v>
      </c>
      <c r="BY55" s="230">
        <v>1910</v>
      </c>
      <c r="BZ55" s="230">
        <v>1895</v>
      </c>
      <c r="CA55" s="228">
        <v>14</v>
      </c>
      <c r="CB55" s="229">
        <v>7.4999999999999997E-3</v>
      </c>
      <c r="CC55" s="230">
        <v>1846</v>
      </c>
      <c r="CD55" s="230">
        <v>1842</v>
      </c>
      <c r="CE55" s="228">
        <v>4</v>
      </c>
      <c r="CF55" s="229">
        <v>1.9E-3</v>
      </c>
      <c r="CG55" s="228">
        <v>60</v>
      </c>
      <c r="CH55" s="228">
        <v>50</v>
      </c>
      <c r="CI55" s="228">
        <v>11</v>
      </c>
      <c r="CJ55" s="229">
        <v>0.2155</v>
      </c>
      <c r="CK55" s="228">
        <v>3</v>
      </c>
      <c r="CL55" s="228">
        <v>3</v>
      </c>
      <c r="CM55" s="228">
        <v>0</v>
      </c>
      <c r="CN55" s="229">
        <v>1.8499999999999999E-2</v>
      </c>
      <c r="CO55" s="228">
        <v>601</v>
      </c>
      <c r="CP55" s="228">
        <v>578</v>
      </c>
      <c r="CQ55" s="228">
        <v>23</v>
      </c>
      <c r="CR55" s="229">
        <v>0.04</v>
      </c>
      <c r="CS55" s="228">
        <v>423</v>
      </c>
      <c r="CT55" s="228">
        <v>420</v>
      </c>
      <c r="CU55" s="228">
        <v>3</v>
      </c>
      <c r="CV55" s="229">
        <v>6.8999999999999999E-3</v>
      </c>
      <c r="CW55" s="230">
        <v>2934</v>
      </c>
      <c r="CX55" s="230">
        <v>2894</v>
      </c>
      <c r="CY55" s="228">
        <v>40</v>
      </c>
      <c r="CZ55" s="229">
        <v>1.3899999999999999E-2</v>
      </c>
      <c r="DA55" s="228">
        <v>20.46</v>
      </c>
      <c r="DB55" s="228">
        <v>21.38</v>
      </c>
      <c r="DC55" s="228">
        <v>-0.92</v>
      </c>
      <c r="DD55" s="228">
        <v>-0.92</v>
      </c>
      <c r="DE55" s="228">
        <v>30.39</v>
      </c>
      <c r="DF55" s="228">
        <v>30.46</v>
      </c>
      <c r="DG55" s="228">
        <v>-9.93</v>
      </c>
      <c r="DH55" s="228">
        <v>-7.0000000000000007E-2</v>
      </c>
      <c r="DI55" s="228">
        <v>20.97</v>
      </c>
      <c r="DJ55" s="228">
        <v>21.84</v>
      </c>
      <c r="DK55" s="228">
        <v>-0.87</v>
      </c>
      <c r="DL55" s="228">
        <v>-0.87</v>
      </c>
      <c r="DM55" s="228">
        <v>19.32</v>
      </c>
      <c r="DN55" s="228">
        <v>20.48</v>
      </c>
      <c r="DO55" s="228">
        <v>-1.1599999999999999</v>
      </c>
      <c r="DP55" s="228">
        <v>-1.1599999999999999</v>
      </c>
      <c r="DQ55" s="228">
        <v>0.7</v>
      </c>
      <c r="DR55" s="228">
        <v>0.73</v>
      </c>
      <c r="DS55" s="228">
        <v>-0.03</v>
      </c>
      <c r="DT55" s="229">
        <v>-4.1099999999999998E-2</v>
      </c>
      <c r="DU55" s="231">
        <v>6500</v>
      </c>
      <c r="DV55" s="231">
        <v>5800</v>
      </c>
      <c r="DW55" s="228">
        <v>0.45</v>
      </c>
      <c r="DX55" s="228">
        <v>0.5</v>
      </c>
      <c r="DY55" s="228">
        <v>-0.05</v>
      </c>
      <c r="DZ55" s="229">
        <v>-0.1</v>
      </c>
      <c r="EA55" s="229">
        <v>3.3500000000000002E-2</v>
      </c>
      <c r="EB55" s="230">
        <v>84300</v>
      </c>
      <c r="EC55" s="229">
        <v>6.3E-3</v>
      </c>
      <c r="ED55" s="229">
        <v>3.3500000000000002E-2</v>
      </c>
      <c r="EE55" s="228">
        <v>25.94</v>
      </c>
      <c r="EF55" s="229">
        <v>4.1000000000000003E-3</v>
      </c>
      <c r="EG55" s="230">
        <v>133845</v>
      </c>
      <c r="EH55" s="230">
        <v>127081</v>
      </c>
      <c r="EI55" s="229">
        <v>5.3199999999999997E-2</v>
      </c>
      <c r="EJ55" s="229">
        <v>0.67449999999999999</v>
      </c>
      <c r="EK55" s="228">
        <v>346.44</v>
      </c>
      <c r="EL55" s="228">
        <v>149.19</v>
      </c>
      <c r="EM55" s="228">
        <v>109.12</v>
      </c>
      <c r="EN55" s="228">
        <v>30.29</v>
      </c>
      <c r="EO55" s="228">
        <v>604.74</v>
      </c>
      <c r="EP55" s="228">
        <v>630.83000000000004</v>
      </c>
      <c r="EQ55" s="228">
        <v>-26.09</v>
      </c>
      <c r="ER55" s="229">
        <v>-4.1399999999999999E-2</v>
      </c>
      <c r="ES55" s="228">
        <v>641.78</v>
      </c>
      <c r="ET55" s="228">
        <v>414.25</v>
      </c>
      <c r="EU55" s="231">
        <v>1909.93</v>
      </c>
      <c r="EV55" s="231">
        <v>16353614</v>
      </c>
      <c r="EW55" s="231">
        <v>2965.95</v>
      </c>
      <c r="EX55" s="231">
        <v>2938.29</v>
      </c>
      <c r="EY55" s="228">
        <v>27.66</v>
      </c>
      <c r="EZ55" s="229">
        <v>9.4000000000000004E-3</v>
      </c>
      <c r="FA55" s="229">
        <v>0.2848</v>
      </c>
      <c r="FB55" s="227" t="s">
        <v>567</v>
      </c>
      <c r="FC55">
        <f t="shared" si="0"/>
        <v>64</v>
      </c>
    </row>
    <row r="56" spans="1:159" ht="17.25" thickBot="1" x14ac:dyDescent="0.3">
      <c r="A56" s="226">
        <v>46008</v>
      </c>
      <c r="B56" s="227" t="s">
        <v>184</v>
      </c>
      <c r="C56" s="227" t="s">
        <v>512</v>
      </c>
      <c r="D56" s="228">
        <v>50</v>
      </c>
      <c r="E56" s="228">
        <v>13</v>
      </c>
      <c r="F56" s="231">
        <v>13263</v>
      </c>
      <c r="G56" s="231">
        <v>13633</v>
      </c>
      <c r="H56" s="228">
        <v>-370</v>
      </c>
      <c r="I56" s="229">
        <v>-2.7099999999999999E-2</v>
      </c>
      <c r="J56" s="231">
        <v>13274</v>
      </c>
      <c r="K56" s="231">
        <v>13628</v>
      </c>
      <c r="L56" s="228">
        <v>-354</v>
      </c>
      <c r="M56" s="229">
        <v>-2.5999999999999999E-2</v>
      </c>
      <c r="N56" s="231">
        <v>13263</v>
      </c>
      <c r="O56" s="231">
        <v>13633</v>
      </c>
      <c r="P56" s="228">
        <v>-370</v>
      </c>
      <c r="Q56" s="229">
        <v>-2.7099999999999999E-2</v>
      </c>
      <c r="R56" s="231">
        <v>13342</v>
      </c>
      <c r="S56" s="231">
        <v>13698</v>
      </c>
      <c r="T56" s="228">
        <v>-356</v>
      </c>
      <c r="U56" s="229">
        <v>-2.5999999999999999E-2</v>
      </c>
      <c r="V56" s="231">
        <v>13434</v>
      </c>
      <c r="W56" s="231">
        <v>13778</v>
      </c>
      <c r="X56" s="228">
        <v>-344</v>
      </c>
      <c r="Y56" s="229">
        <v>-2.5000000000000001E-2</v>
      </c>
      <c r="Z56" s="228">
        <v>-11</v>
      </c>
      <c r="AA56" s="228">
        <v>5</v>
      </c>
      <c r="AB56" s="228">
        <v>-16</v>
      </c>
      <c r="AC56" s="229">
        <v>-8.0000000000000004E-4</v>
      </c>
      <c r="AD56" s="228">
        <v>-11</v>
      </c>
      <c r="AE56" s="228">
        <v>5</v>
      </c>
      <c r="AF56" s="228">
        <v>-16</v>
      </c>
      <c r="AG56" s="229">
        <v>-8.0000000000000004E-4</v>
      </c>
      <c r="AH56" s="228">
        <v>68</v>
      </c>
      <c r="AI56" s="228">
        <v>70</v>
      </c>
      <c r="AJ56" s="228">
        <v>-2</v>
      </c>
      <c r="AK56" s="229">
        <v>5.1000000000000004E-3</v>
      </c>
      <c r="AL56" s="228">
        <v>160</v>
      </c>
      <c r="AM56" s="228">
        <v>150</v>
      </c>
      <c r="AN56" s="228">
        <v>10</v>
      </c>
      <c r="AO56" s="229">
        <v>1.21E-2</v>
      </c>
      <c r="AP56" s="231">
        <v>13361.81</v>
      </c>
      <c r="AQ56" s="231">
        <v>13448.88</v>
      </c>
      <c r="AR56" s="228">
        <v>0</v>
      </c>
      <c r="AS56" s="228">
        <v>926</v>
      </c>
      <c r="AT56" s="228">
        <v>666</v>
      </c>
      <c r="AU56" s="228">
        <v>260</v>
      </c>
      <c r="AV56" s="229">
        <v>0.39050000000000001</v>
      </c>
      <c r="AW56" s="228">
        <v>770</v>
      </c>
      <c r="AX56" s="228">
        <v>572</v>
      </c>
      <c r="AY56" s="228">
        <v>198</v>
      </c>
      <c r="AZ56" s="229">
        <v>0.34620000000000001</v>
      </c>
      <c r="BA56" s="228">
        <v>135</v>
      </c>
      <c r="BB56" s="228">
        <v>83</v>
      </c>
      <c r="BC56" s="228">
        <v>52</v>
      </c>
      <c r="BD56" s="229">
        <v>0.61970000000000003</v>
      </c>
      <c r="BE56" s="228">
        <v>21</v>
      </c>
      <c r="BF56" s="228">
        <v>10</v>
      </c>
      <c r="BG56" s="228">
        <v>10</v>
      </c>
      <c r="BH56" s="229">
        <v>0.98729999999999996</v>
      </c>
      <c r="BI56" s="230">
        <v>7555</v>
      </c>
      <c r="BJ56" s="230">
        <v>6325</v>
      </c>
      <c r="BK56" s="230">
        <v>1230</v>
      </c>
      <c r="BL56" s="229">
        <v>0.19439999999999999</v>
      </c>
      <c r="BM56" s="230">
        <v>8212</v>
      </c>
      <c r="BN56" s="230">
        <v>4710</v>
      </c>
      <c r="BO56" s="230">
        <v>3502</v>
      </c>
      <c r="BP56" s="229">
        <v>0.74339999999999995</v>
      </c>
      <c r="BQ56" s="230">
        <v>16693</v>
      </c>
      <c r="BR56" s="230">
        <v>11701</v>
      </c>
      <c r="BS56" s="230">
        <v>4992</v>
      </c>
      <c r="BT56" s="229">
        <v>0.42659999999999998</v>
      </c>
      <c r="BU56" s="230">
        <v>371954</v>
      </c>
      <c r="BV56" s="230">
        <v>336729</v>
      </c>
      <c r="BW56" s="230">
        <v>35225</v>
      </c>
      <c r="BX56" s="229">
        <v>0.1046</v>
      </c>
      <c r="BY56" s="230">
        <v>2942</v>
      </c>
      <c r="BZ56" s="230">
        <v>2843</v>
      </c>
      <c r="CA56" s="228">
        <v>99</v>
      </c>
      <c r="CB56" s="229">
        <v>3.5000000000000003E-2</v>
      </c>
      <c r="CC56" s="230">
        <v>2582</v>
      </c>
      <c r="CD56" s="230">
        <v>2511</v>
      </c>
      <c r="CE56" s="228">
        <v>71</v>
      </c>
      <c r="CF56" s="229">
        <v>2.8199999999999999E-2</v>
      </c>
      <c r="CG56" s="228">
        <v>299</v>
      </c>
      <c r="CH56" s="228">
        <v>274</v>
      </c>
      <c r="CI56" s="228">
        <v>25</v>
      </c>
      <c r="CJ56" s="229">
        <v>9.0200000000000002E-2</v>
      </c>
      <c r="CK56" s="228">
        <v>61</v>
      </c>
      <c r="CL56" s="228">
        <v>57</v>
      </c>
      <c r="CM56" s="228">
        <v>4</v>
      </c>
      <c r="CN56" s="229">
        <v>6.93E-2</v>
      </c>
      <c r="CO56" s="230">
        <v>4792</v>
      </c>
      <c r="CP56" s="230">
        <v>4372</v>
      </c>
      <c r="CQ56" s="228">
        <v>420</v>
      </c>
      <c r="CR56" s="229">
        <v>9.5899999999999999E-2</v>
      </c>
      <c r="CS56" s="230">
        <v>2494</v>
      </c>
      <c r="CT56" s="230">
        <v>2491</v>
      </c>
      <c r="CU56" s="228">
        <v>3</v>
      </c>
      <c r="CV56" s="229">
        <v>1.2999999999999999E-3</v>
      </c>
      <c r="CW56" s="230">
        <v>10228</v>
      </c>
      <c r="CX56" s="230">
        <v>9706</v>
      </c>
      <c r="CY56" s="228">
        <v>522</v>
      </c>
      <c r="CZ56" s="229">
        <v>5.3800000000000001E-2</v>
      </c>
      <c r="DA56" s="228">
        <v>35.229999999999997</v>
      </c>
      <c r="DB56" s="228">
        <v>31.88</v>
      </c>
      <c r="DC56" s="228">
        <v>3.35</v>
      </c>
      <c r="DD56" s="228">
        <v>3.35</v>
      </c>
      <c r="DE56" s="228">
        <v>44.97</v>
      </c>
      <c r="DF56" s="228">
        <v>44.93</v>
      </c>
      <c r="DG56" s="228">
        <v>-9.74</v>
      </c>
      <c r="DH56" s="228">
        <v>0.04</v>
      </c>
      <c r="DI56" s="228">
        <v>35.28</v>
      </c>
      <c r="DJ56" s="228">
        <v>31.8</v>
      </c>
      <c r="DK56" s="228">
        <v>3.48</v>
      </c>
      <c r="DL56" s="228">
        <v>3.48</v>
      </c>
      <c r="DM56" s="228">
        <v>35.18</v>
      </c>
      <c r="DN56" s="228">
        <v>31.99</v>
      </c>
      <c r="DO56" s="228">
        <v>3.19</v>
      </c>
      <c r="DP56" s="228">
        <v>3.19</v>
      </c>
      <c r="DQ56" s="228">
        <v>0.52</v>
      </c>
      <c r="DR56" s="228">
        <v>0.56999999999999995</v>
      </c>
      <c r="DS56" s="228">
        <v>-0.05</v>
      </c>
      <c r="DT56" s="229">
        <v>-8.77E-2</v>
      </c>
      <c r="DU56" s="231">
        <v>15000</v>
      </c>
      <c r="DV56" s="231">
        <v>12000</v>
      </c>
      <c r="DW56" s="228">
        <v>1.0900000000000001</v>
      </c>
      <c r="DX56" s="228">
        <v>0.74</v>
      </c>
      <c r="DY56" s="228">
        <v>0.35</v>
      </c>
      <c r="DZ56" s="229">
        <v>0.47299999999999998</v>
      </c>
      <c r="EA56" s="229">
        <v>0.1225</v>
      </c>
      <c r="EB56" s="230">
        <v>250050</v>
      </c>
      <c r="EC56" s="229">
        <v>6.0000000000000001E-3</v>
      </c>
      <c r="ED56" s="229">
        <v>0.1225</v>
      </c>
      <c r="EE56" s="228">
        <v>87.07</v>
      </c>
      <c r="EF56" s="229">
        <v>6.4999999999999997E-3</v>
      </c>
      <c r="EG56" s="230">
        <v>104013</v>
      </c>
      <c r="EH56" s="230">
        <v>83757</v>
      </c>
      <c r="EI56" s="229">
        <v>0.24179999999999999</v>
      </c>
      <c r="EJ56" s="229">
        <v>0.27960000000000002</v>
      </c>
      <c r="EK56" s="231">
        <v>8171.24</v>
      </c>
      <c r="EL56" s="231">
        <v>7972.92</v>
      </c>
      <c r="EM56" s="228">
        <v>933.87</v>
      </c>
      <c r="EN56" s="228">
        <v>219.41</v>
      </c>
      <c r="EO56" s="231">
        <v>17078.03</v>
      </c>
      <c r="EP56" s="231">
        <v>12277.02</v>
      </c>
      <c r="EQ56" s="231">
        <v>4801</v>
      </c>
      <c r="ER56" s="229">
        <v>0.3911</v>
      </c>
      <c r="ES56" s="231">
        <v>5341.29</v>
      </c>
      <c r="ET56" s="231">
        <v>2450.4899999999998</v>
      </c>
      <c r="EU56" s="231">
        <v>2944.84</v>
      </c>
      <c r="EV56" s="231">
        <v>6445442</v>
      </c>
      <c r="EW56" s="231">
        <v>10736.62</v>
      </c>
      <c r="EX56" s="231">
        <v>10275.41</v>
      </c>
      <c r="EY56" s="228">
        <v>461.21</v>
      </c>
      <c r="EZ56" s="229">
        <v>4.4900000000000002E-2</v>
      </c>
      <c r="FA56" s="229">
        <v>1.1964999999999999</v>
      </c>
      <c r="FB56" s="227" t="s">
        <v>567</v>
      </c>
      <c r="FC56">
        <f t="shared" si="0"/>
        <v>360</v>
      </c>
    </row>
    <row r="57" spans="1:159" ht="17.25" thickBot="1" x14ac:dyDescent="0.3">
      <c r="A57" s="226">
        <v>46008</v>
      </c>
      <c r="B57" s="227" t="s">
        <v>206</v>
      </c>
      <c r="C57" s="227" t="s">
        <v>207</v>
      </c>
      <c r="D57" s="228">
        <v>825</v>
      </c>
      <c r="E57" s="228">
        <v>13</v>
      </c>
      <c r="F57" s="228">
        <v>683.8</v>
      </c>
      <c r="G57" s="228">
        <v>692.6</v>
      </c>
      <c r="H57" s="228">
        <v>-8.8000000000000007</v>
      </c>
      <c r="I57" s="229">
        <v>-1.2699999999999999E-2</v>
      </c>
      <c r="J57" s="228">
        <v>683.1</v>
      </c>
      <c r="K57" s="228">
        <v>691.95</v>
      </c>
      <c r="L57" s="228">
        <v>-8.85</v>
      </c>
      <c r="M57" s="229">
        <v>-1.2800000000000001E-2</v>
      </c>
      <c r="N57" s="228">
        <v>683.8</v>
      </c>
      <c r="O57" s="228">
        <v>692.6</v>
      </c>
      <c r="P57" s="228">
        <v>-8.8000000000000007</v>
      </c>
      <c r="Q57" s="229">
        <v>-1.2699999999999999E-2</v>
      </c>
      <c r="R57" s="228">
        <v>687.75</v>
      </c>
      <c r="S57" s="228">
        <v>697.3</v>
      </c>
      <c r="T57" s="228">
        <v>-9.5500000000000007</v>
      </c>
      <c r="U57" s="229">
        <v>-1.37E-2</v>
      </c>
      <c r="V57" s="228">
        <v>691.85</v>
      </c>
      <c r="W57" s="228">
        <v>700.3</v>
      </c>
      <c r="X57" s="228">
        <v>-8.4499999999999993</v>
      </c>
      <c r="Y57" s="229">
        <v>-1.21E-2</v>
      </c>
      <c r="Z57" s="228">
        <v>0.7</v>
      </c>
      <c r="AA57" s="228">
        <v>0.65</v>
      </c>
      <c r="AB57" s="228">
        <v>0.05</v>
      </c>
      <c r="AC57" s="229">
        <v>1E-3</v>
      </c>
      <c r="AD57" s="228">
        <v>0.7</v>
      </c>
      <c r="AE57" s="228">
        <v>0.65</v>
      </c>
      <c r="AF57" s="228">
        <v>0.05</v>
      </c>
      <c r="AG57" s="229">
        <v>1E-3</v>
      </c>
      <c r="AH57" s="228">
        <v>4.6500000000000004</v>
      </c>
      <c r="AI57" s="228">
        <v>5.35</v>
      </c>
      <c r="AJ57" s="228">
        <v>-0.7</v>
      </c>
      <c r="AK57" s="229">
        <v>6.7999999999999996E-3</v>
      </c>
      <c r="AL57" s="228">
        <v>8.75</v>
      </c>
      <c r="AM57" s="228">
        <v>8.35</v>
      </c>
      <c r="AN57" s="228">
        <v>0.4</v>
      </c>
      <c r="AO57" s="229">
        <v>1.2800000000000001E-2</v>
      </c>
      <c r="AP57" s="228">
        <v>685.71</v>
      </c>
      <c r="AQ57" s="228">
        <v>690.41</v>
      </c>
      <c r="AR57" s="228">
        <v>0</v>
      </c>
      <c r="AS57" s="228">
        <v>324</v>
      </c>
      <c r="AT57" s="228">
        <v>218</v>
      </c>
      <c r="AU57" s="228">
        <v>105</v>
      </c>
      <c r="AV57" s="229">
        <v>0.48230000000000001</v>
      </c>
      <c r="AW57" s="228">
        <v>269</v>
      </c>
      <c r="AX57" s="228">
        <v>196</v>
      </c>
      <c r="AY57" s="228">
        <v>74</v>
      </c>
      <c r="AZ57" s="229">
        <v>0.3765</v>
      </c>
      <c r="BA57" s="228">
        <v>51</v>
      </c>
      <c r="BB57" s="228">
        <v>21</v>
      </c>
      <c r="BC57" s="228">
        <v>31</v>
      </c>
      <c r="BD57" s="229">
        <v>1.4809000000000001</v>
      </c>
      <c r="BE57" s="228">
        <v>3</v>
      </c>
      <c r="BF57" s="228">
        <v>2</v>
      </c>
      <c r="BG57" s="228">
        <v>1</v>
      </c>
      <c r="BH57" s="229">
        <v>0.51280000000000003</v>
      </c>
      <c r="BI57" s="230">
        <v>1232</v>
      </c>
      <c r="BJ57" s="228">
        <v>871</v>
      </c>
      <c r="BK57" s="228">
        <v>360</v>
      </c>
      <c r="BL57" s="229">
        <v>0.4138</v>
      </c>
      <c r="BM57" s="228">
        <v>478</v>
      </c>
      <c r="BN57" s="228">
        <v>245</v>
      </c>
      <c r="BO57" s="228">
        <v>234</v>
      </c>
      <c r="BP57" s="229">
        <v>0.95640000000000003</v>
      </c>
      <c r="BQ57" s="230">
        <v>2034</v>
      </c>
      <c r="BR57" s="230">
        <v>1334</v>
      </c>
      <c r="BS57" s="228">
        <v>700</v>
      </c>
      <c r="BT57" s="229">
        <v>0.52439999999999998</v>
      </c>
      <c r="BU57" s="230">
        <v>1793008</v>
      </c>
      <c r="BV57" s="230">
        <v>1335962</v>
      </c>
      <c r="BW57" s="230">
        <v>457046</v>
      </c>
      <c r="BX57" s="229">
        <v>0.34210000000000002</v>
      </c>
      <c r="BY57" s="230">
        <v>3491</v>
      </c>
      <c r="BZ57" s="230">
        <v>3444</v>
      </c>
      <c r="CA57" s="228">
        <v>47</v>
      </c>
      <c r="CB57" s="229">
        <v>1.35E-2</v>
      </c>
      <c r="CC57" s="230">
        <v>3286</v>
      </c>
      <c r="CD57" s="230">
        <v>3270</v>
      </c>
      <c r="CE57" s="228">
        <v>16</v>
      </c>
      <c r="CF57" s="229">
        <v>4.7999999999999996E-3</v>
      </c>
      <c r="CG57" s="228">
        <v>174</v>
      </c>
      <c r="CH57" s="228">
        <v>143</v>
      </c>
      <c r="CI57" s="228">
        <v>31</v>
      </c>
      <c r="CJ57" s="229">
        <v>0.21909999999999999</v>
      </c>
      <c r="CK57" s="228">
        <v>31</v>
      </c>
      <c r="CL57" s="228">
        <v>31</v>
      </c>
      <c r="CM57" s="228">
        <v>-1</v>
      </c>
      <c r="CN57" s="229">
        <v>-1.6299999999999999E-2</v>
      </c>
      <c r="CO57" s="230">
        <v>1566</v>
      </c>
      <c r="CP57" s="230">
        <v>1540</v>
      </c>
      <c r="CQ57" s="228">
        <v>26</v>
      </c>
      <c r="CR57" s="229">
        <v>1.72E-2</v>
      </c>
      <c r="CS57" s="228">
        <v>974</v>
      </c>
      <c r="CT57" s="228">
        <v>962</v>
      </c>
      <c r="CU57" s="228">
        <v>12</v>
      </c>
      <c r="CV57" s="229">
        <v>1.2200000000000001E-2</v>
      </c>
      <c r="CW57" s="230">
        <v>6030</v>
      </c>
      <c r="CX57" s="230">
        <v>5945</v>
      </c>
      <c r="CY57" s="228">
        <v>85</v>
      </c>
      <c r="CZ57" s="229">
        <v>1.43E-2</v>
      </c>
      <c r="DA57" s="228">
        <v>24.27</v>
      </c>
      <c r="DB57" s="228">
        <v>23.75</v>
      </c>
      <c r="DC57" s="228">
        <v>0.52</v>
      </c>
      <c r="DD57" s="228">
        <v>0.52</v>
      </c>
      <c r="DE57" s="228">
        <v>35.049999999999997</v>
      </c>
      <c r="DF57" s="228">
        <v>35.1</v>
      </c>
      <c r="DG57" s="228">
        <v>-10.78</v>
      </c>
      <c r="DH57" s="228">
        <v>-0.05</v>
      </c>
      <c r="DI57" s="228">
        <v>24.67</v>
      </c>
      <c r="DJ57" s="228">
        <v>23.95</v>
      </c>
      <c r="DK57" s="228">
        <v>0.72</v>
      </c>
      <c r="DL57" s="228">
        <v>0.72</v>
      </c>
      <c r="DM57" s="228">
        <v>23.23</v>
      </c>
      <c r="DN57" s="228">
        <v>23.06</v>
      </c>
      <c r="DO57" s="228">
        <v>0.17</v>
      </c>
      <c r="DP57" s="228">
        <v>0.17</v>
      </c>
      <c r="DQ57" s="228">
        <v>0.62</v>
      </c>
      <c r="DR57" s="228">
        <v>0.62</v>
      </c>
      <c r="DS57" s="228">
        <v>0</v>
      </c>
      <c r="DT57" s="229">
        <v>0</v>
      </c>
      <c r="DU57" s="228">
        <v>730</v>
      </c>
      <c r="DV57" s="228">
        <v>700</v>
      </c>
      <c r="DW57" s="228">
        <v>0.39</v>
      </c>
      <c r="DX57" s="228">
        <v>0.28000000000000003</v>
      </c>
      <c r="DY57" s="228">
        <v>0.11</v>
      </c>
      <c r="DZ57" s="229">
        <v>0.39290000000000003</v>
      </c>
      <c r="EA57" s="229">
        <v>5.8599999999999999E-2</v>
      </c>
      <c r="EB57" s="230">
        <v>2541000</v>
      </c>
      <c r="EC57" s="229">
        <v>5.7999999999999996E-3</v>
      </c>
      <c r="ED57" s="229">
        <v>5.8599999999999999E-2</v>
      </c>
      <c r="EE57" s="228">
        <v>4.7</v>
      </c>
      <c r="EF57" s="229">
        <v>6.8999999999999999E-3</v>
      </c>
      <c r="EG57" s="230">
        <v>864985</v>
      </c>
      <c r="EH57" s="230">
        <v>731601</v>
      </c>
      <c r="EI57" s="229">
        <v>0.18229999999999999</v>
      </c>
      <c r="EJ57" s="229">
        <v>0.4824</v>
      </c>
      <c r="EK57" s="231">
        <v>1295.3599999999999</v>
      </c>
      <c r="EL57" s="228">
        <v>482.23</v>
      </c>
      <c r="EM57" s="228">
        <v>325</v>
      </c>
      <c r="EN57" s="228">
        <v>47.67</v>
      </c>
      <c r="EO57" s="231">
        <v>2102.59</v>
      </c>
      <c r="EP57" s="231">
        <v>1390.14</v>
      </c>
      <c r="EQ57" s="228">
        <v>712.45</v>
      </c>
      <c r="ER57" s="229">
        <v>0.51249999999999996</v>
      </c>
      <c r="ES57" s="231">
        <v>1686.59</v>
      </c>
      <c r="ET57" s="231">
        <v>1011.56</v>
      </c>
      <c r="EU57" s="231">
        <v>3491.89</v>
      </c>
      <c r="EV57" s="231">
        <v>83667734</v>
      </c>
      <c r="EW57" s="231">
        <v>6190.04</v>
      </c>
      <c r="EX57" s="231">
        <v>6154.13</v>
      </c>
      <c r="EY57" s="228">
        <v>35.909999999999997</v>
      </c>
      <c r="EZ57" s="229">
        <v>5.7999999999999996E-3</v>
      </c>
      <c r="FA57" s="229">
        <v>1.054</v>
      </c>
      <c r="FB57" s="227" t="s">
        <v>567</v>
      </c>
      <c r="FC57">
        <f t="shared" si="0"/>
        <v>205</v>
      </c>
    </row>
    <row r="58" spans="1:159" ht="17.25" thickBot="1" x14ac:dyDescent="0.3">
      <c r="A58" s="226">
        <v>46008</v>
      </c>
      <c r="B58" s="227" t="s">
        <v>615</v>
      </c>
      <c r="C58" s="227" t="s">
        <v>583</v>
      </c>
      <c r="D58" s="228">
        <v>150</v>
      </c>
      <c r="E58" s="228">
        <v>13</v>
      </c>
      <c r="F58" s="231">
        <v>3825.1</v>
      </c>
      <c r="G58" s="231">
        <v>3860.5</v>
      </c>
      <c r="H58" s="228">
        <v>-35.4</v>
      </c>
      <c r="I58" s="229">
        <v>-9.1999999999999998E-3</v>
      </c>
      <c r="J58" s="231">
        <v>3826.2</v>
      </c>
      <c r="K58" s="231">
        <v>3856.8</v>
      </c>
      <c r="L58" s="228">
        <v>-30.6</v>
      </c>
      <c r="M58" s="229">
        <v>-7.9000000000000008E-3</v>
      </c>
      <c r="N58" s="231">
        <v>3825.1</v>
      </c>
      <c r="O58" s="231">
        <v>3860.5</v>
      </c>
      <c r="P58" s="228">
        <v>-35.4</v>
      </c>
      <c r="Q58" s="229">
        <v>-9.1999999999999998E-3</v>
      </c>
      <c r="R58" s="231">
        <v>3833.7</v>
      </c>
      <c r="S58" s="231">
        <v>3873.7</v>
      </c>
      <c r="T58" s="228">
        <v>-40</v>
      </c>
      <c r="U58" s="229">
        <v>-1.03E-2</v>
      </c>
      <c r="V58" s="231">
        <v>3847.8</v>
      </c>
      <c r="W58" s="231">
        <v>3891</v>
      </c>
      <c r="X58" s="228">
        <v>-43.2</v>
      </c>
      <c r="Y58" s="229">
        <v>-1.11E-2</v>
      </c>
      <c r="Z58" s="228">
        <v>-1.1000000000000001</v>
      </c>
      <c r="AA58" s="228">
        <v>3.7</v>
      </c>
      <c r="AB58" s="228">
        <v>-4.8</v>
      </c>
      <c r="AC58" s="229">
        <v>-2.9999999999999997E-4</v>
      </c>
      <c r="AD58" s="228">
        <v>-1.1000000000000001</v>
      </c>
      <c r="AE58" s="228">
        <v>3.7</v>
      </c>
      <c r="AF58" s="228">
        <v>-4.8</v>
      </c>
      <c r="AG58" s="229">
        <v>-2.9999999999999997E-4</v>
      </c>
      <c r="AH58" s="228">
        <v>7.5</v>
      </c>
      <c r="AI58" s="228">
        <v>16.899999999999999</v>
      </c>
      <c r="AJ58" s="228">
        <v>-9.4</v>
      </c>
      <c r="AK58" s="229">
        <v>2E-3</v>
      </c>
      <c r="AL58" s="228">
        <v>21.6</v>
      </c>
      <c r="AM58" s="228">
        <v>34.200000000000003</v>
      </c>
      <c r="AN58" s="228">
        <v>-12.6</v>
      </c>
      <c r="AO58" s="229">
        <v>5.5999999999999999E-3</v>
      </c>
      <c r="AP58" s="231">
        <v>3830.97</v>
      </c>
      <c r="AQ58" s="231">
        <v>3840.12</v>
      </c>
      <c r="AR58" s="228">
        <v>0</v>
      </c>
      <c r="AS58" s="228">
        <v>249</v>
      </c>
      <c r="AT58" s="228">
        <v>370</v>
      </c>
      <c r="AU58" s="228">
        <v>-121</v>
      </c>
      <c r="AV58" s="229">
        <v>-0.32600000000000001</v>
      </c>
      <c r="AW58" s="228">
        <v>183</v>
      </c>
      <c r="AX58" s="228">
        <v>307</v>
      </c>
      <c r="AY58" s="228">
        <v>-125</v>
      </c>
      <c r="AZ58" s="229">
        <v>-0.40550000000000003</v>
      </c>
      <c r="BA58" s="228">
        <v>63</v>
      </c>
      <c r="BB58" s="228">
        <v>57</v>
      </c>
      <c r="BC58" s="228">
        <v>6</v>
      </c>
      <c r="BD58" s="229">
        <v>0.1084</v>
      </c>
      <c r="BE58" s="228">
        <v>4</v>
      </c>
      <c r="BF58" s="228">
        <v>6</v>
      </c>
      <c r="BG58" s="228">
        <v>-2</v>
      </c>
      <c r="BH58" s="229">
        <v>-0.35580000000000001</v>
      </c>
      <c r="BI58" s="228">
        <v>726</v>
      </c>
      <c r="BJ58" s="230">
        <v>3289</v>
      </c>
      <c r="BK58" s="230">
        <v>-2563</v>
      </c>
      <c r="BL58" s="229">
        <v>-0.77929999999999999</v>
      </c>
      <c r="BM58" s="228">
        <v>294</v>
      </c>
      <c r="BN58" s="228">
        <v>967</v>
      </c>
      <c r="BO58" s="228">
        <v>-673</v>
      </c>
      <c r="BP58" s="229">
        <v>-0.69630000000000003</v>
      </c>
      <c r="BQ58" s="230">
        <v>1269</v>
      </c>
      <c r="BR58" s="230">
        <v>4626</v>
      </c>
      <c r="BS58" s="230">
        <v>-3357</v>
      </c>
      <c r="BT58" s="229">
        <v>-0.72570000000000001</v>
      </c>
      <c r="BU58" s="230">
        <v>410186</v>
      </c>
      <c r="BV58" s="230">
        <v>691787</v>
      </c>
      <c r="BW58" s="230">
        <v>-281601</v>
      </c>
      <c r="BX58" s="229">
        <v>-0.40710000000000002</v>
      </c>
      <c r="BY58" s="230">
        <v>2236</v>
      </c>
      <c r="BZ58" s="230">
        <v>2183</v>
      </c>
      <c r="CA58" s="228">
        <v>52</v>
      </c>
      <c r="CB58" s="229">
        <v>2.3900000000000001E-2</v>
      </c>
      <c r="CC58" s="230">
        <v>2066</v>
      </c>
      <c r="CD58" s="230">
        <v>2048</v>
      </c>
      <c r="CE58" s="228">
        <v>19</v>
      </c>
      <c r="CF58" s="229">
        <v>9.1000000000000004E-3</v>
      </c>
      <c r="CG58" s="228">
        <v>154</v>
      </c>
      <c r="CH58" s="228">
        <v>121</v>
      </c>
      <c r="CI58" s="228">
        <v>32</v>
      </c>
      <c r="CJ58" s="229">
        <v>0.2641</v>
      </c>
      <c r="CK58" s="228">
        <v>16</v>
      </c>
      <c r="CL58" s="228">
        <v>14</v>
      </c>
      <c r="CM58" s="228">
        <v>2</v>
      </c>
      <c r="CN58" s="229">
        <v>0.108</v>
      </c>
      <c r="CO58" s="228">
        <v>930</v>
      </c>
      <c r="CP58" s="228">
        <v>936</v>
      </c>
      <c r="CQ58" s="228">
        <v>-5</v>
      </c>
      <c r="CR58" s="229">
        <v>-5.4999999999999997E-3</v>
      </c>
      <c r="CS58" s="228">
        <v>443</v>
      </c>
      <c r="CT58" s="228">
        <v>448</v>
      </c>
      <c r="CU58" s="228">
        <v>-5</v>
      </c>
      <c r="CV58" s="229">
        <v>-1.04E-2</v>
      </c>
      <c r="CW58" s="230">
        <v>3609</v>
      </c>
      <c r="CX58" s="230">
        <v>3567</v>
      </c>
      <c r="CY58" s="228">
        <v>42</v>
      </c>
      <c r="CZ58" s="229">
        <v>1.1900000000000001E-2</v>
      </c>
      <c r="DA58" s="228">
        <v>22.57</v>
      </c>
      <c r="DB58" s="228">
        <v>21.98</v>
      </c>
      <c r="DC58" s="228">
        <v>0.59</v>
      </c>
      <c r="DD58" s="228">
        <v>0.59</v>
      </c>
      <c r="DE58" s="228">
        <v>30.73</v>
      </c>
      <c r="DF58" s="228">
        <v>30.79</v>
      </c>
      <c r="DG58" s="228">
        <v>-8.16</v>
      </c>
      <c r="DH58" s="228">
        <v>-0.06</v>
      </c>
      <c r="DI58" s="228">
        <v>22.89</v>
      </c>
      <c r="DJ58" s="228">
        <v>22.12</v>
      </c>
      <c r="DK58" s="228">
        <v>0.77</v>
      </c>
      <c r="DL58" s="228">
        <v>0.77</v>
      </c>
      <c r="DM58" s="228">
        <v>21.76</v>
      </c>
      <c r="DN58" s="228">
        <v>21.52</v>
      </c>
      <c r="DO58" s="228">
        <v>0.24</v>
      </c>
      <c r="DP58" s="228">
        <v>0.24</v>
      </c>
      <c r="DQ58" s="228">
        <v>0.48</v>
      </c>
      <c r="DR58" s="228">
        <v>0.48</v>
      </c>
      <c r="DS58" s="228">
        <v>0</v>
      </c>
      <c r="DT58" s="229">
        <v>0</v>
      </c>
      <c r="DU58" s="231">
        <v>4000</v>
      </c>
      <c r="DV58" s="231">
        <v>4000</v>
      </c>
      <c r="DW58" s="228">
        <v>0.4</v>
      </c>
      <c r="DX58" s="228">
        <v>0.28999999999999998</v>
      </c>
      <c r="DY58" s="228">
        <v>0.11</v>
      </c>
      <c r="DZ58" s="229">
        <v>0.37930000000000003</v>
      </c>
      <c r="EA58" s="229">
        <v>7.5800000000000006E-2</v>
      </c>
      <c r="EB58" s="230">
        <v>355050</v>
      </c>
      <c r="EC58" s="229">
        <v>2.2000000000000001E-3</v>
      </c>
      <c r="ED58" s="229">
        <v>7.5800000000000006E-2</v>
      </c>
      <c r="EE58" s="228">
        <v>9.15</v>
      </c>
      <c r="EF58" s="229">
        <v>2.3999999999999998E-3</v>
      </c>
      <c r="EG58" s="230">
        <v>274582</v>
      </c>
      <c r="EH58" s="230">
        <v>189972</v>
      </c>
      <c r="EI58" s="229">
        <v>0.44540000000000002</v>
      </c>
      <c r="EJ58" s="229">
        <v>0.6694</v>
      </c>
      <c r="EK58" s="228">
        <v>761.41</v>
      </c>
      <c r="EL58" s="228">
        <v>291.10000000000002</v>
      </c>
      <c r="EM58" s="228">
        <v>249.86</v>
      </c>
      <c r="EN58" s="228">
        <v>42.5</v>
      </c>
      <c r="EO58" s="231">
        <v>1302.3599999999999</v>
      </c>
      <c r="EP58" s="231">
        <v>4795.84</v>
      </c>
      <c r="EQ58" s="231">
        <v>-3493.48</v>
      </c>
      <c r="ER58" s="229">
        <v>-0.72840000000000005</v>
      </c>
      <c r="ES58" s="228">
        <v>987.39</v>
      </c>
      <c r="ET58" s="228">
        <v>443.52</v>
      </c>
      <c r="EU58" s="231">
        <v>2236.06</v>
      </c>
      <c r="EV58" s="231">
        <v>22136392</v>
      </c>
      <c r="EW58" s="231">
        <v>3666.97</v>
      </c>
      <c r="EX58" s="231">
        <v>3645.92</v>
      </c>
      <c r="EY58" s="228">
        <v>21.05</v>
      </c>
      <c r="EZ58" s="229">
        <v>5.7999999999999996E-3</v>
      </c>
      <c r="FA58" s="229">
        <v>0.42620000000000002</v>
      </c>
      <c r="FB58" s="227" t="s">
        <v>567</v>
      </c>
      <c r="FC58">
        <f t="shared" si="0"/>
        <v>170</v>
      </c>
    </row>
    <row r="59" spans="1:159" ht="17.25" thickBot="1" x14ac:dyDescent="0.3">
      <c r="A59" s="226">
        <v>46008</v>
      </c>
      <c r="B59" s="227" t="s">
        <v>170</v>
      </c>
      <c r="C59" s="227" t="s">
        <v>208</v>
      </c>
      <c r="D59" s="228">
        <v>625</v>
      </c>
      <c r="E59" s="228">
        <v>13</v>
      </c>
      <c r="F59" s="231">
        <v>1273.2</v>
      </c>
      <c r="G59" s="231">
        <v>1277.9000000000001</v>
      </c>
      <c r="H59" s="228">
        <v>-4.7</v>
      </c>
      <c r="I59" s="229">
        <v>-3.7000000000000002E-3</v>
      </c>
      <c r="J59" s="231">
        <v>1272</v>
      </c>
      <c r="K59" s="231">
        <v>1276.9000000000001</v>
      </c>
      <c r="L59" s="228">
        <v>-4.9000000000000004</v>
      </c>
      <c r="M59" s="229">
        <v>-3.8E-3</v>
      </c>
      <c r="N59" s="231">
        <v>1273.2</v>
      </c>
      <c r="O59" s="231">
        <v>1277.9000000000001</v>
      </c>
      <c r="P59" s="228">
        <v>-4.7</v>
      </c>
      <c r="Q59" s="229">
        <v>-3.7000000000000002E-3</v>
      </c>
      <c r="R59" s="231">
        <v>1279.4000000000001</v>
      </c>
      <c r="S59" s="231">
        <v>1285.2</v>
      </c>
      <c r="T59" s="228">
        <v>-5.8</v>
      </c>
      <c r="U59" s="229">
        <v>-4.4999999999999997E-3</v>
      </c>
      <c r="V59" s="231">
        <v>1291</v>
      </c>
      <c r="W59" s="231">
        <v>1291</v>
      </c>
      <c r="X59" s="228">
        <v>0</v>
      </c>
      <c r="Y59" s="229">
        <v>0</v>
      </c>
      <c r="Z59" s="228">
        <v>1.2</v>
      </c>
      <c r="AA59" s="228">
        <v>1</v>
      </c>
      <c r="AB59" s="228">
        <v>0.2</v>
      </c>
      <c r="AC59" s="229">
        <v>8.9999999999999998E-4</v>
      </c>
      <c r="AD59" s="228">
        <v>1.2</v>
      </c>
      <c r="AE59" s="228">
        <v>1</v>
      </c>
      <c r="AF59" s="228">
        <v>0.2</v>
      </c>
      <c r="AG59" s="229">
        <v>8.9999999999999998E-4</v>
      </c>
      <c r="AH59" s="228">
        <v>7.4</v>
      </c>
      <c r="AI59" s="228">
        <v>8.3000000000000007</v>
      </c>
      <c r="AJ59" s="228">
        <v>-0.9</v>
      </c>
      <c r="AK59" s="229">
        <v>5.7999999999999996E-3</v>
      </c>
      <c r="AL59" s="228">
        <v>19</v>
      </c>
      <c r="AM59" s="228">
        <v>14.1</v>
      </c>
      <c r="AN59" s="228">
        <v>4.9000000000000004</v>
      </c>
      <c r="AO59" s="229">
        <v>1.49E-2</v>
      </c>
      <c r="AP59" s="231">
        <v>1275.02</v>
      </c>
      <c r="AQ59" s="231">
        <v>1280.18</v>
      </c>
      <c r="AR59" s="228">
        <v>0</v>
      </c>
      <c r="AS59" s="228">
        <v>167</v>
      </c>
      <c r="AT59" s="228">
        <v>141</v>
      </c>
      <c r="AU59" s="228">
        <v>25</v>
      </c>
      <c r="AV59" s="229">
        <v>0.17780000000000001</v>
      </c>
      <c r="AW59" s="228">
        <v>135</v>
      </c>
      <c r="AX59" s="228">
        <v>124</v>
      </c>
      <c r="AY59" s="228">
        <v>12</v>
      </c>
      <c r="AZ59" s="229">
        <v>9.3299999999999994E-2</v>
      </c>
      <c r="BA59" s="228">
        <v>31</v>
      </c>
      <c r="BB59" s="228">
        <v>18</v>
      </c>
      <c r="BC59" s="228">
        <v>14</v>
      </c>
      <c r="BD59" s="229">
        <v>0.77270000000000005</v>
      </c>
      <c r="BE59" s="228">
        <v>0</v>
      </c>
      <c r="BF59" s="228">
        <v>0</v>
      </c>
      <c r="BG59" s="228">
        <v>0</v>
      </c>
      <c r="BH59" s="229">
        <v>0.33329999999999999</v>
      </c>
      <c r="BI59" s="228">
        <v>433</v>
      </c>
      <c r="BJ59" s="228">
        <v>393</v>
      </c>
      <c r="BK59" s="228">
        <v>40</v>
      </c>
      <c r="BL59" s="229">
        <v>0.10100000000000001</v>
      </c>
      <c r="BM59" s="228">
        <v>229</v>
      </c>
      <c r="BN59" s="228">
        <v>206</v>
      </c>
      <c r="BO59" s="228">
        <v>23</v>
      </c>
      <c r="BP59" s="229">
        <v>0.1105</v>
      </c>
      <c r="BQ59" s="228">
        <v>828</v>
      </c>
      <c r="BR59" s="228">
        <v>741</v>
      </c>
      <c r="BS59" s="228">
        <v>88</v>
      </c>
      <c r="BT59" s="229">
        <v>0.1183</v>
      </c>
      <c r="BU59" s="230">
        <v>916042</v>
      </c>
      <c r="BV59" s="230">
        <v>1088423</v>
      </c>
      <c r="BW59" s="230">
        <v>-172381</v>
      </c>
      <c r="BX59" s="229">
        <v>-0.15840000000000001</v>
      </c>
      <c r="BY59" s="230">
        <v>1735</v>
      </c>
      <c r="BZ59" s="230">
        <v>1718</v>
      </c>
      <c r="CA59" s="228">
        <v>16</v>
      </c>
      <c r="CB59" s="229">
        <v>9.5999999999999992E-3</v>
      </c>
      <c r="CC59" s="230">
        <v>1594</v>
      </c>
      <c r="CD59" s="230">
        <v>1596</v>
      </c>
      <c r="CE59" s="228">
        <v>-3</v>
      </c>
      <c r="CF59" s="229">
        <v>-1.6000000000000001E-3</v>
      </c>
      <c r="CG59" s="228">
        <v>136</v>
      </c>
      <c r="CH59" s="228">
        <v>117</v>
      </c>
      <c r="CI59" s="228">
        <v>19</v>
      </c>
      <c r="CJ59" s="229">
        <v>0.16209999999999999</v>
      </c>
      <c r="CK59" s="228">
        <v>5</v>
      </c>
      <c r="CL59" s="228">
        <v>5</v>
      </c>
      <c r="CM59" s="228">
        <v>0</v>
      </c>
      <c r="CN59" s="229">
        <v>3.0800000000000001E-2</v>
      </c>
      <c r="CO59" s="228">
        <v>865</v>
      </c>
      <c r="CP59" s="228">
        <v>880</v>
      </c>
      <c r="CQ59" s="228">
        <v>-15</v>
      </c>
      <c r="CR59" s="229">
        <v>-1.6899999999999998E-2</v>
      </c>
      <c r="CS59" s="228">
        <v>423</v>
      </c>
      <c r="CT59" s="228">
        <v>439</v>
      </c>
      <c r="CU59" s="228">
        <v>-16</v>
      </c>
      <c r="CV59" s="229">
        <v>-3.7100000000000001E-2</v>
      </c>
      <c r="CW59" s="230">
        <v>3023</v>
      </c>
      <c r="CX59" s="230">
        <v>3037</v>
      </c>
      <c r="CY59" s="228">
        <v>-15</v>
      </c>
      <c r="CZ59" s="229">
        <v>-4.7999999999999996E-3</v>
      </c>
      <c r="DA59" s="228">
        <v>14.89</v>
      </c>
      <c r="DB59" s="228">
        <v>15.03</v>
      </c>
      <c r="DC59" s="228">
        <v>-0.14000000000000001</v>
      </c>
      <c r="DD59" s="228">
        <v>-0.14000000000000001</v>
      </c>
      <c r="DE59" s="228">
        <v>24.02</v>
      </c>
      <c r="DF59" s="228">
        <v>24.08</v>
      </c>
      <c r="DG59" s="228">
        <v>-9.1300000000000008</v>
      </c>
      <c r="DH59" s="228">
        <v>-0.06</v>
      </c>
      <c r="DI59" s="228">
        <v>14.74</v>
      </c>
      <c r="DJ59" s="228">
        <v>14.72</v>
      </c>
      <c r="DK59" s="228">
        <v>0.02</v>
      </c>
      <c r="DL59" s="228">
        <v>0.02</v>
      </c>
      <c r="DM59" s="228">
        <v>15.17</v>
      </c>
      <c r="DN59" s="228">
        <v>15.63</v>
      </c>
      <c r="DO59" s="228">
        <v>-0.46</v>
      </c>
      <c r="DP59" s="228">
        <v>-0.46</v>
      </c>
      <c r="DQ59" s="228">
        <v>0.49</v>
      </c>
      <c r="DR59" s="228">
        <v>0.5</v>
      </c>
      <c r="DS59" s="228">
        <v>-0.01</v>
      </c>
      <c r="DT59" s="229">
        <v>-0.02</v>
      </c>
      <c r="DU59" s="231">
        <v>1300</v>
      </c>
      <c r="DV59" s="231">
        <v>1140</v>
      </c>
      <c r="DW59" s="228">
        <v>0.53</v>
      </c>
      <c r="DX59" s="228">
        <v>0.52</v>
      </c>
      <c r="DY59" s="228">
        <v>0.01</v>
      </c>
      <c r="DZ59" s="229">
        <v>1.9199999999999998E-2</v>
      </c>
      <c r="EA59" s="229">
        <v>8.1299999999999997E-2</v>
      </c>
      <c r="EB59" s="230">
        <v>958125</v>
      </c>
      <c r="EC59" s="229">
        <v>4.8999999999999998E-3</v>
      </c>
      <c r="ED59" s="229">
        <v>8.1299999999999997E-2</v>
      </c>
      <c r="EE59" s="228">
        <v>5.16</v>
      </c>
      <c r="EF59" s="229">
        <v>4.0000000000000001E-3</v>
      </c>
      <c r="EG59" s="230">
        <v>533813</v>
      </c>
      <c r="EH59" s="230">
        <v>759331</v>
      </c>
      <c r="EI59" s="229">
        <v>-0.29699999999999999</v>
      </c>
      <c r="EJ59" s="229">
        <v>0.5827</v>
      </c>
      <c r="EK59" s="228">
        <v>442.94</v>
      </c>
      <c r="EL59" s="228">
        <v>227.3</v>
      </c>
      <c r="EM59" s="228">
        <v>166.92</v>
      </c>
      <c r="EN59" s="228">
        <v>21.73</v>
      </c>
      <c r="EO59" s="228">
        <v>837.16</v>
      </c>
      <c r="EP59" s="228">
        <v>750.02</v>
      </c>
      <c r="EQ59" s="228">
        <v>87.15</v>
      </c>
      <c r="ER59" s="229">
        <v>0.1162</v>
      </c>
      <c r="ES59" s="228">
        <v>889.71</v>
      </c>
      <c r="ET59" s="228">
        <v>401.91</v>
      </c>
      <c r="EU59" s="231">
        <v>1735.47</v>
      </c>
      <c r="EV59" s="231">
        <v>61006521</v>
      </c>
      <c r="EW59" s="231">
        <v>3027.1</v>
      </c>
      <c r="EX59" s="231">
        <v>3048.1</v>
      </c>
      <c r="EY59" s="228">
        <v>-21</v>
      </c>
      <c r="EZ59" s="229">
        <v>-6.8999999999999999E-3</v>
      </c>
      <c r="FA59" s="229">
        <v>0.3891</v>
      </c>
      <c r="FB59" s="227" t="s">
        <v>567</v>
      </c>
      <c r="FC59">
        <f t="shared" si="0"/>
        <v>141</v>
      </c>
    </row>
    <row r="60" spans="1:159" ht="17.25" thickBot="1" x14ac:dyDescent="0.3">
      <c r="A60" s="226">
        <v>46008</v>
      </c>
      <c r="B60" s="227" t="s">
        <v>162</v>
      </c>
      <c r="C60" s="227" t="s">
        <v>209</v>
      </c>
      <c r="D60" s="228">
        <v>175</v>
      </c>
      <c r="E60" s="228">
        <v>13</v>
      </c>
      <c r="F60" s="231">
        <v>7144</v>
      </c>
      <c r="G60" s="231">
        <v>7077</v>
      </c>
      <c r="H60" s="228">
        <v>67</v>
      </c>
      <c r="I60" s="229">
        <v>9.4999999999999998E-3</v>
      </c>
      <c r="J60" s="231">
        <v>7134.5</v>
      </c>
      <c r="K60" s="231">
        <v>7061.5</v>
      </c>
      <c r="L60" s="228">
        <v>73</v>
      </c>
      <c r="M60" s="229">
        <v>1.03E-2</v>
      </c>
      <c r="N60" s="231">
        <v>7144</v>
      </c>
      <c r="O60" s="231">
        <v>7077</v>
      </c>
      <c r="P60" s="228">
        <v>67</v>
      </c>
      <c r="Q60" s="229">
        <v>9.4999999999999998E-3</v>
      </c>
      <c r="R60" s="231">
        <v>7192</v>
      </c>
      <c r="S60" s="231">
        <v>7129</v>
      </c>
      <c r="T60" s="228">
        <v>63</v>
      </c>
      <c r="U60" s="229">
        <v>8.8000000000000005E-3</v>
      </c>
      <c r="V60" s="231">
        <v>7238</v>
      </c>
      <c r="W60" s="231">
        <v>7172</v>
      </c>
      <c r="X60" s="228">
        <v>66</v>
      </c>
      <c r="Y60" s="229">
        <v>9.1999999999999998E-3</v>
      </c>
      <c r="Z60" s="228">
        <v>9.5</v>
      </c>
      <c r="AA60" s="228">
        <v>15.5</v>
      </c>
      <c r="AB60" s="228">
        <v>-6</v>
      </c>
      <c r="AC60" s="229">
        <v>1.2999999999999999E-3</v>
      </c>
      <c r="AD60" s="228">
        <v>9.5</v>
      </c>
      <c r="AE60" s="228">
        <v>15.5</v>
      </c>
      <c r="AF60" s="228">
        <v>-6</v>
      </c>
      <c r="AG60" s="229">
        <v>1.2999999999999999E-3</v>
      </c>
      <c r="AH60" s="228">
        <v>57.5</v>
      </c>
      <c r="AI60" s="228">
        <v>67.5</v>
      </c>
      <c r="AJ60" s="228">
        <v>-10</v>
      </c>
      <c r="AK60" s="229">
        <v>8.0999999999999996E-3</v>
      </c>
      <c r="AL60" s="228">
        <v>103.5</v>
      </c>
      <c r="AM60" s="228">
        <v>110.5</v>
      </c>
      <c r="AN60" s="228">
        <v>-7</v>
      </c>
      <c r="AO60" s="229">
        <v>1.4500000000000001E-2</v>
      </c>
      <c r="AP60" s="231">
        <v>7149.69</v>
      </c>
      <c r="AQ60" s="231">
        <v>7195.33</v>
      </c>
      <c r="AR60" s="228">
        <v>0</v>
      </c>
      <c r="AS60" s="228">
        <v>721</v>
      </c>
      <c r="AT60" s="228">
        <v>438</v>
      </c>
      <c r="AU60" s="228">
        <v>283</v>
      </c>
      <c r="AV60" s="229">
        <v>0.64570000000000005</v>
      </c>
      <c r="AW60" s="228">
        <v>557</v>
      </c>
      <c r="AX60" s="228">
        <v>396</v>
      </c>
      <c r="AY60" s="228">
        <v>161</v>
      </c>
      <c r="AZ60" s="229">
        <v>0.40489999999999998</v>
      </c>
      <c r="BA60" s="228">
        <v>159</v>
      </c>
      <c r="BB60" s="228">
        <v>40</v>
      </c>
      <c r="BC60" s="228">
        <v>119</v>
      </c>
      <c r="BD60" s="229">
        <v>2.9906000000000001</v>
      </c>
      <c r="BE60" s="228">
        <v>5</v>
      </c>
      <c r="BF60" s="228">
        <v>2</v>
      </c>
      <c r="BG60" s="228">
        <v>3</v>
      </c>
      <c r="BH60" s="229">
        <v>1.8462000000000001</v>
      </c>
      <c r="BI60" s="230">
        <v>3394</v>
      </c>
      <c r="BJ60" s="230">
        <v>1919</v>
      </c>
      <c r="BK60" s="230">
        <v>1475</v>
      </c>
      <c r="BL60" s="229">
        <v>0.76890000000000003</v>
      </c>
      <c r="BM60" s="230">
        <v>1796</v>
      </c>
      <c r="BN60" s="230">
        <v>1630</v>
      </c>
      <c r="BO60" s="228">
        <v>166</v>
      </c>
      <c r="BP60" s="229">
        <v>0.1017</v>
      </c>
      <c r="BQ60" s="230">
        <v>5911</v>
      </c>
      <c r="BR60" s="230">
        <v>3987</v>
      </c>
      <c r="BS60" s="230">
        <v>1924</v>
      </c>
      <c r="BT60" s="229">
        <v>0.48249999999999998</v>
      </c>
      <c r="BU60" s="230">
        <v>910440</v>
      </c>
      <c r="BV60" s="230">
        <v>509202</v>
      </c>
      <c r="BW60" s="230">
        <v>401238</v>
      </c>
      <c r="BX60" s="229">
        <v>0.78800000000000003</v>
      </c>
      <c r="BY60" s="230">
        <v>2274</v>
      </c>
      <c r="BZ60" s="230">
        <v>2241</v>
      </c>
      <c r="CA60" s="228">
        <v>33</v>
      </c>
      <c r="CB60" s="229">
        <v>1.49E-2</v>
      </c>
      <c r="CC60" s="230">
        <v>2077</v>
      </c>
      <c r="CD60" s="230">
        <v>2112</v>
      </c>
      <c r="CE60" s="228">
        <v>-36</v>
      </c>
      <c r="CF60" s="229">
        <v>-1.6799999999999999E-2</v>
      </c>
      <c r="CG60" s="228">
        <v>184</v>
      </c>
      <c r="CH60" s="228">
        <v>116</v>
      </c>
      <c r="CI60" s="228">
        <v>68</v>
      </c>
      <c r="CJ60" s="229">
        <v>0.58609999999999995</v>
      </c>
      <c r="CK60" s="228">
        <v>13</v>
      </c>
      <c r="CL60" s="228">
        <v>12</v>
      </c>
      <c r="CM60" s="228">
        <v>1</v>
      </c>
      <c r="CN60" s="229">
        <v>6.9800000000000001E-2</v>
      </c>
      <c r="CO60" s="230">
        <v>1963</v>
      </c>
      <c r="CP60" s="230">
        <v>2037</v>
      </c>
      <c r="CQ60" s="228">
        <v>-74</v>
      </c>
      <c r="CR60" s="229">
        <v>-3.61E-2</v>
      </c>
      <c r="CS60" s="230">
        <v>1458</v>
      </c>
      <c r="CT60" s="230">
        <v>1408</v>
      </c>
      <c r="CU60" s="228">
        <v>50</v>
      </c>
      <c r="CV60" s="229">
        <v>3.56E-2</v>
      </c>
      <c r="CW60" s="230">
        <v>5695</v>
      </c>
      <c r="CX60" s="230">
        <v>5685</v>
      </c>
      <c r="CY60" s="228">
        <v>10</v>
      </c>
      <c r="CZ60" s="229">
        <v>1.6999999999999999E-3</v>
      </c>
      <c r="DA60" s="228">
        <v>20.09</v>
      </c>
      <c r="DB60" s="228">
        <v>20.23</v>
      </c>
      <c r="DC60" s="228">
        <v>-0.14000000000000001</v>
      </c>
      <c r="DD60" s="228">
        <v>-0.14000000000000001</v>
      </c>
      <c r="DE60" s="228">
        <v>27.15</v>
      </c>
      <c r="DF60" s="228">
        <v>27.19</v>
      </c>
      <c r="DG60" s="228">
        <v>-7.06</v>
      </c>
      <c r="DH60" s="228">
        <v>-0.04</v>
      </c>
      <c r="DI60" s="228">
        <v>20.12</v>
      </c>
      <c r="DJ60" s="228">
        <v>20.61</v>
      </c>
      <c r="DK60" s="228">
        <v>-0.49</v>
      </c>
      <c r="DL60" s="228">
        <v>-0.49</v>
      </c>
      <c r="DM60" s="228">
        <v>20.05</v>
      </c>
      <c r="DN60" s="228">
        <v>19.78</v>
      </c>
      <c r="DO60" s="228">
        <v>0.27</v>
      </c>
      <c r="DP60" s="228">
        <v>0.27</v>
      </c>
      <c r="DQ60" s="228">
        <v>0.74</v>
      </c>
      <c r="DR60" s="228">
        <v>0.69</v>
      </c>
      <c r="DS60" s="228">
        <v>0.05</v>
      </c>
      <c r="DT60" s="229">
        <v>7.2499999999999995E-2</v>
      </c>
      <c r="DU60" s="231">
        <v>7300</v>
      </c>
      <c r="DV60" s="231">
        <v>6300</v>
      </c>
      <c r="DW60" s="228">
        <v>0.53</v>
      </c>
      <c r="DX60" s="228">
        <v>0.85</v>
      </c>
      <c r="DY60" s="228">
        <v>-0.32</v>
      </c>
      <c r="DZ60" s="229">
        <v>-0.3765</v>
      </c>
      <c r="EA60" s="229">
        <v>8.6800000000000002E-2</v>
      </c>
      <c r="EB60" s="230">
        <v>179800</v>
      </c>
      <c r="EC60" s="229">
        <v>6.7000000000000002E-3</v>
      </c>
      <c r="ED60" s="229">
        <v>8.6800000000000002E-2</v>
      </c>
      <c r="EE60" s="228">
        <v>45.64</v>
      </c>
      <c r="EF60" s="229">
        <v>6.4000000000000003E-3</v>
      </c>
      <c r="EG60" s="230">
        <v>676193</v>
      </c>
      <c r="EH60" s="230">
        <v>388550</v>
      </c>
      <c r="EI60" s="229">
        <v>0.74029999999999996</v>
      </c>
      <c r="EJ60" s="229">
        <v>0.74270000000000003</v>
      </c>
      <c r="EK60" s="231">
        <v>3486.06</v>
      </c>
      <c r="EL60" s="231">
        <v>1765.26</v>
      </c>
      <c r="EM60" s="228">
        <v>651.67999999999995</v>
      </c>
      <c r="EN60" s="228">
        <v>43.53</v>
      </c>
      <c r="EO60" s="231">
        <v>5903</v>
      </c>
      <c r="EP60" s="231">
        <v>3989.09</v>
      </c>
      <c r="EQ60" s="231">
        <v>1913.91</v>
      </c>
      <c r="ER60" s="229">
        <v>0.4798</v>
      </c>
      <c r="ES60" s="231">
        <v>2045.72</v>
      </c>
      <c r="ET60" s="231">
        <v>1381.79</v>
      </c>
      <c r="EU60" s="231">
        <v>2275.5100000000002</v>
      </c>
      <c r="EV60" s="231">
        <v>20353850</v>
      </c>
      <c r="EW60" s="231">
        <v>5703.02</v>
      </c>
      <c r="EX60" s="231">
        <v>5672.74</v>
      </c>
      <c r="EY60" s="228">
        <v>30.28</v>
      </c>
      <c r="EZ60" s="229">
        <v>5.3E-3</v>
      </c>
      <c r="FA60" s="229">
        <v>0.3916</v>
      </c>
      <c r="FB60" s="227" t="s">
        <v>555</v>
      </c>
      <c r="FC60">
        <f t="shared" si="0"/>
        <v>197</v>
      </c>
    </row>
    <row r="61" spans="1:159" ht="17.25" thickBot="1" x14ac:dyDescent="0.3">
      <c r="A61" s="226">
        <v>46008</v>
      </c>
      <c r="B61" s="227" t="s">
        <v>615</v>
      </c>
      <c r="C61" s="227" t="s">
        <v>668</v>
      </c>
      <c r="D61" s="228">
        <v>2425</v>
      </c>
      <c r="E61" s="228">
        <v>13</v>
      </c>
      <c r="F61" s="228">
        <v>285</v>
      </c>
      <c r="G61" s="228">
        <v>284.95</v>
      </c>
      <c r="H61" s="228">
        <v>0.05</v>
      </c>
      <c r="I61" s="229">
        <v>2.0000000000000001E-4</v>
      </c>
      <c r="J61" s="228">
        <v>284.45</v>
      </c>
      <c r="K61" s="228">
        <v>284.45</v>
      </c>
      <c r="L61" s="228">
        <v>0</v>
      </c>
      <c r="M61" s="229">
        <v>0</v>
      </c>
      <c r="N61" s="228">
        <v>285</v>
      </c>
      <c r="O61" s="228">
        <v>284.95</v>
      </c>
      <c r="P61" s="228">
        <v>0.05</v>
      </c>
      <c r="Q61" s="229">
        <v>2.0000000000000001E-4</v>
      </c>
      <c r="R61" s="228">
        <v>286.95</v>
      </c>
      <c r="S61" s="228">
        <v>286.64999999999998</v>
      </c>
      <c r="T61" s="228">
        <v>0.3</v>
      </c>
      <c r="U61" s="229">
        <v>1E-3</v>
      </c>
      <c r="V61" s="228">
        <v>288.5</v>
      </c>
      <c r="W61" s="228">
        <v>288.3</v>
      </c>
      <c r="X61" s="228">
        <v>0.2</v>
      </c>
      <c r="Y61" s="229">
        <v>6.9999999999999999E-4</v>
      </c>
      <c r="Z61" s="228">
        <v>0.55000000000000004</v>
      </c>
      <c r="AA61" s="228">
        <v>0.5</v>
      </c>
      <c r="AB61" s="228">
        <v>0.05</v>
      </c>
      <c r="AC61" s="229">
        <v>1.9E-3</v>
      </c>
      <c r="AD61" s="228">
        <v>0.55000000000000004</v>
      </c>
      <c r="AE61" s="228">
        <v>0.5</v>
      </c>
      <c r="AF61" s="228">
        <v>0.05</v>
      </c>
      <c r="AG61" s="229">
        <v>1.9E-3</v>
      </c>
      <c r="AH61" s="228">
        <v>2.5</v>
      </c>
      <c r="AI61" s="228">
        <v>2.2000000000000002</v>
      </c>
      <c r="AJ61" s="228">
        <v>0.3</v>
      </c>
      <c r="AK61" s="229">
        <v>8.8000000000000005E-3</v>
      </c>
      <c r="AL61" s="228">
        <v>4.05</v>
      </c>
      <c r="AM61" s="228">
        <v>3.85</v>
      </c>
      <c r="AN61" s="228">
        <v>0.2</v>
      </c>
      <c r="AO61" s="229">
        <v>1.4200000000000001E-2</v>
      </c>
      <c r="AP61" s="228">
        <v>286.7</v>
      </c>
      <c r="AQ61" s="228">
        <v>288.35000000000002</v>
      </c>
      <c r="AR61" s="228">
        <v>0</v>
      </c>
      <c r="AS61" s="228">
        <v>752</v>
      </c>
      <c r="AT61" s="230">
        <v>1827</v>
      </c>
      <c r="AU61" s="230">
        <v>-1075</v>
      </c>
      <c r="AV61" s="229">
        <v>-0.58850000000000002</v>
      </c>
      <c r="AW61" s="228">
        <v>628</v>
      </c>
      <c r="AX61" s="230">
        <v>1575</v>
      </c>
      <c r="AY61" s="228">
        <v>-948</v>
      </c>
      <c r="AZ61" s="229">
        <v>-0.60160000000000002</v>
      </c>
      <c r="BA61" s="228">
        <v>117</v>
      </c>
      <c r="BB61" s="228">
        <v>233</v>
      </c>
      <c r="BC61" s="228">
        <v>-116</v>
      </c>
      <c r="BD61" s="229">
        <v>-0.49640000000000001</v>
      </c>
      <c r="BE61" s="228">
        <v>7</v>
      </c>
      <c r="BF61" s="228">
        <v>19</v>
      </c>
      <c r="BG61" s="228">
        <v>-12</v>
      </c>
      <c r="BH61" s="229">
        <v>-0.63060000000000005</v>
      </c>
      <c r="BI61" s="230">
        <v>2917</v>
      </c>
      <c r="BJ61" s="230">
        <v>7749</v>
      </c>
      <c r="BK61" s="230">
        <v>-4832</v>
      </c>
      <c r="BL61" s="229">
        <v>-0.62360000000000004</v>
      </c>
      <c r="BM61" s="230">
        <v>1742</v>
      </c>
      <c r="BN61" s="230">
        <v>5822</v>
      </c>
      <c r="BO61" s="230">
        <v>-4080</v>
      </c>
      <c r="BP61" s="229">
        <v>-0.70079999999999998</v>
      </c>
      <c r="BQ61" s="230">
        <v>5411</v>
      </c>
      <c r="BR61" s="230">
        <v>15398</v>
      </c>
      <c r="BS61" s="230">
        <v>-9987</v>
      </c>
      <c r="BT61" s="229">
        <v>-0.64859999999999995</v>
      </c>
      <c r="BU61" s="230">
        <v>28795494</v>
      </c>
      <c r="BV61" s="230">
        <v>61442156</v>
      </c>
      <c r="BW61" s="230">
        <v>-32646662</v>
      </c>
      <c r="BX61" s="229">
        <v>-0.53129999999999999</v>
      </c>
      <c r="BY61" s="230">
        <v>8699</v>
      </c>
      <c r="BZ61" s="230">
        <v>8707</v>
      </c>
      <c r="CA61" s="228">
        <v>-8</v>
      </c>
      <c r="CB61" s="229">
        <v>-8.9999999999999998E-4</v>
      </c>
      <c r="CC61" s="230">
        <v>8169</v>
      </c>
      <c r="CD61" s="230">
        <v>8240</v>
      </c>
      <c r="CE61" s="228">
        <v>-70</v>
      </c>
      <c r="CF61" s="229">
        <v>-8.5000000000000006E-3</v>
      </c>
      <c r="CG61" s="228">
        <v>480</v>
      </c>
      <c r="CH61" s="228">
        <v>420</v>
      </c>
      <c r="CI61" s="228">
        <v>60</v>
      </c>
      <c r="CJ61" s="229">
        <v>0.14319999999999999</v>
      </c>
      <c r="CK61" s="228">
        <v>49</v>
      </c>
      <c r="CL61" s="228">
        <v>48</v>
      </c>
      <c r="CM61" s="228">
        <v>2</v>
      </c>
      <c r="CN61" s="229">
        <v>3.4799999999999998E-2</v>
      </c>
      <c r="CO61" s="230">
        <v>2766</v>
      </c>
      <c r="CP61" s="230">
        <v>2678</v>
      </c>
      <c r="CQ61" s="228">
        <v>88</v>
      </c>
      <c r="CR61" s="229">
        <v>3.2800000000000003E-2</v>
      </c>
      <c r="CS61" s="230">
        <v>1468</v>
      </c>
      <c r="CT61" s="230">
        <v>1469</v>
      </c>
      <c r="CU61" s="228">
        <v>-1</v>
      </c>
      <c r="CV61" s="229">
        <v>-5.0000000000000001E-4</v>
      </c>
      <c r="CW61" s="230">
        <v>12933</v>
      </c>
      <c r="CX61" s="230">
        <v>12854</v>
      </c>
      <c r="CY61" s="228">
        <v>79</v>
      </c>
      <c r="CZ61" s="229">
        <v>6.1000000000000004E-3</v>
      </c>
      <c r="DA61" s="228">
        <v>29.47</v>
      </c>
      <c r="DB61" s="228">
        <v>29.93</v>
      </c>
      <c r="DC61" s="228">
        <v>-0.46</v>
      </c>
      <c r="DD61" s="228">
        <v>-0.46</v>
      </c>
      <c r="DE61" s="228">
        <v>43.94</v>
      </c>
      <c r="DF61" s="228">
        <v>44.05</v>
      </c>
      <c r="DG61" s="228">
        <v>-14.47</v>
      </c>
      <c r="DH61" s="228">
        <v>-0.11</v>
      </c>
      <c r="DI61" s="228">
        <v>30.08</v>
      </c>
      <c r="DJ61" s="228">
        <v>30.74</v>
      </c>
      <c r="DK61" s="228">
        <v>-0.66</v>
      </c>
      <c r="DL61" s="228">
        <v>-0.66</v>
      </c>
      <c r="DM61" s="228">
        <v>28.43</v>
      </c>
      <c r="DN61" s="228">
        <v>28.86</v>
      </c>
      <c r="DO61" s="228">
        <v>-0.43</v>
      </c>
      <c r="DP61" s="228">
        <v>-0.43</v>
      </c>
      <c r="DQ61" s="228">
        <v>0.53</v>
      </c>
      <c r="DR61" s="228">
        <v>0.55000000000000004</v>
      </c>
      <c r="DS61" s="228">
        <v>-0.02</v>
      </c>
      <c r="DT61" s="229">
        <v>-3.6400000000000002E-2</v>
      </c>
      <c r="DU61" s="228">
        <v>310</v>
      </c>
      <c r="DV61" s="228">
        <v>290</v>
      </c>
      <c r="DW61" s="228">
        <v>0.6</v>
      </c>
      <c r="DX61" s="228">
        <v>0.75</v>
      </c>
      <c r="DY61" s="228">
        <v>-0.15</v>
      </c>
      <c r="DZ61" s="229">
        <v>-0.2</v>
      </c>
      <c r="EA61" s="229">
        <v>6.0900000000000003E-2</v>
      </c>
      <c r="EB61" s="230">
        <v>16419675</v>
      </c>
      <c r="EC61" s="229">
        <v>6.7999999999999996E-3</v>
      </c>
      <c r="ED61" s="229">
        <v>6.0900000000000003E-2</v>
      </c>
      <c r="EE61" s="228">
        <v>1.65</v>
      </c>
      <c r="EF61" s="229">
        <v>5.7999999999999996E-3</v>
      </c>
      <c r="EG61" s="230">
        <v>17217413</v>
      </c>
      <c r="EH61" s="230">
        <v>31494680</v>
      </c>
      <c r="EI61" s="229">
        <v>-0.45329999999999998</v>
      </c>
      <c r="EJ61" s="229">
        <v>0.59789999999999999</v>
      </c>
      <c r="EK61" s="231">
        <v>3094.83</v>
      </c>
      <c r="EL61" s="231">
        <v>1723.68</v>
      </c>
      <c r="EM61" s="228">
        <v>757.12</v>
      </c>
      <c r="EN61" s="228">
        <v>127.38</v>
      </c>
      <c r="EO61" s="231">
        <v>5575.63</v>
      </c>
      <c r="EP61" s="231">
        <v>15944.9</v>
      </c>
      <c r="EQ61" s="231">
        <v>-10369.27</v>
      </c>
      <c r="ER61" s="229">
        <v>-0.65029999999999999</v>
      </c>
      <c r="ES61" s="231">
        <v>2996.94</v>
      </c>
      <c r="ET61" s="231">
        <v>1478.57</v>
      </c>
      <c r="EU61" s="231">
        <v>8703.15</v>
      </c>
      <c r="EV61" s="231">
        <v>1361988292</v>
      </c>
      <c r="EW61" s="231">
        <v>13178.66</v>
      </c>
      <c r="EX61" s="231">
        <v>13097.57</v>
      </c>
      <c r="EY61" s="228">
        <v>81.09</v>
      </c>
      <c r="EZ61" s="229">
        <v>6.1999999999999998E-3</v>
      </c>
      <c r="FA61" s="229">
        <v>0.3332</v>
      </c>
      <c r="FB61" s="227" t="s">
        <v>556</v>
      </c>
      <c r="FC61">
        <f t="shared" si="0"/>
        <v>530</v>
      </c>
    </row>
    <row r="62" spans="1:159" ht="17.25" thickBot="1" x14ac:dyDescent="0.3">
      <c r="A62" s="226">
        <v>46008</v>
      </c>
      <c r="B62" s="227" t="s">
        <v>162</v>
      </c>
      <c r="C62" s="227" t="s">
        <v>211</v>
      </c>
      <c r="D62" s="228">
        <v>1800</v>
      </c>
      <c r="E62" s="228">
        <v>13</v>
      </c>
      <c r="F62" s="228">
        <v>364.1</v>
      </c>
      <c r="G62" s="228">
        <v>366.45</v>
      </c>
      <c r="H62" s="228">
        <v>-2.35</v>
      </c>
      <c r="I62" s="229">
        <v>-6.4000000000000003E-3</v>
      </c>
      <c r="J62" s="228">
        <v>363.8</v>
      </c>
      <c r="K62" s="228">
        <v>366.25</v>
      </c>
      <c r="L62" s="228">
        <v>-2.4500000000000002</v>
      </c>
      <c r="M62" s="229">
        <v>-6.7000000000000002E-3</v>
      </c>
      <c r="N62" s="228">
        <v>364.1</v>
      </c>
      <c r="O62" s="228">
        <v>366.45</v>
      </c>
      <c r="P62" s="228">
        <v>-2.35</v>
      </c>
      <c r="Q62" s="229">
        <v>-6.4000000000000003E-3</v>
      </c>
      <c r="R62" s="228">
        <v>366.25</v>
      </c>
      <c r="S62" s="228">
        <v>368.55</v>
      </c>
      <c r="T62" s="228">
        <v>-2.2999999999999998</v>
      </c>
      <c r="U62" s="229">
        <v>-6.1999999999999998E-3</v>
      </c>
      <c r="V62" s="228">
        <v>368.75</v>
      </c>
      <c r="W62" s="228">
        <v>370.05</v>
      </c>
      <c r="X62" s="228">
        <v>-1.3</v>
      </c>
      <c r="Y62" s="229">
        <v>-3.5000000000000001E-3</v>
      </c>
      <c r="Z62" s="228">
        <v>0.3</v>
      </c>
      <c r="AA62" s="228">
        <v>0.2</v>
      </c>
      <c r="AB62" s="228">
        <v>0.1</v>
      </c>
      <c r="AC62" s="229">
        <v>8.0000000000000004E-4</v>
      </c>
      <c r="AD62" s="228">
        <v>0.3</v>
      </c>
      <c r="AE62" s="228">
        <v>0.2</v>
      </c>
      <c r="AF62" s="228">
        <v>0.1</v>
      </c>
      <c r="AG62" s="229">
        <v>8.0000000000000004E-4</v>
      </c>
      <c r="AH62" s="228">
        <v>2.4500000000000002</v>
      </c>
      <c r="AI62" s="228">
        <v>2.2999999999999998</v>
      </c>
      <c r="AJ62" s="228">
        <v>0.15</v>
      </c>
      <c r="AK62" s="229">
        <v>6.7000000000000002E-3</v>
      </c>
      <c r="AL62" s="228">
        <v>4.95</v>
      </c>
      <c r="AM62" s="228">
        <v>3.8</v>
      </c>
      <c r="AN62" s="228">
        <v>1.1499999999999999</v>
      </c>
      <c r="AO62" s="229">
        <v>1.3599999999999999E-2</v>
      </c>
      <c r="AP62" s="228">
        <v>363.88</v>
      </c>
      <c r="AQ62" s="228">
        <v>366.1</v>
      </c>
      <c r="AR62" s="228">
        <v>0</v>
      </c>
      <c r="AS62" s="228">
        <v>75</v>
      </c>
      <c r="AT62" s="228">
        <v>119</v>
      </c>
      <c r="AU62" s="228">
        <v>-44</v>
      </c>
      <c r="AV62" s="229">
        <v>-0.36599999999999999</v>
      </c>
      <c r="AW62" s="228">
        <v>59</v>
      </c>
      <c r="AX62" s="228">
        <v>97</v>
      </c>
      <c r="AY62" s="228">
        <v>-38</v>
      </c>
      <c r="AZ62" s="229">
        <v>-0.38979999999999998</v>
      </c>
      <c r="BA62" s="228">
        <v>15</v>
      </c>
      <c r="BB62" s="228">
        <v>20</v>
      </c>
      <c r="BC62" s="228">
        <v>-5</v>
      </c>
      <c r="BD62" s="229">
        <v>-0.2475</v>
      </c>
      <c r="BE62" s="228">
        <v>1</v>
      </c>
      <c r="BF62" s="228">
        <v>2</v>
      </c>
      <c r="BG62" s="228">
        <v>-1</v>
      </c>
      <c r="BH62" s="229">
        <v>-0.39290000000000003</v>
      </c>
      <c r="BI62" s="228">
        <v>373</v>
      </c>
      <c r="BJ62" s="228">
        <v>431</v>
      </c>
      <c r="BK62" s="228">
        <v>-58</v>
      </c>
      <c r="BL62" s="229">
        <v>-0.13389999999999999</v>
      </c>
      <c r="BM62" s="228">
        <v>154</v>
      </c>
      <c r="BN62" s="228">
        <v>172</v>
      </c>
      <c r="BO62" s="228">
        <v>-18</v>
      </c>
      <c r="BP62" s="229">
        <v>-0.106</v>
      </c>
      <c r="BQ62" s="228">
        <v>603</v>
      </c>
      <c r="BR62" s="228">
        <v>722</v>
      </c>
      <c r="BS62" s="228">
        <v>-119</v>
      </c>
      <c r="BT62" s="229">
        <v>-0.16550000000000001</v>
      </c>
      <c r="BU62" s="230">
        <v>990424</v>
      </c>
      <c r="BV62" s="230">
        <v>1450168</v>
      </c>
      <c r="BW62" s="230">
        <v>-459744</v>
      </c>
      <c r="BX62" s="229">
        <v>-0.317</v>
      </c>
      <c r="BY62" s="230">
        <v>1131</v>
      </c>
      <c r="BZ62" s="230">
        <v>1125</v>
      </c>
      <c r="CA62" s="228">
        <v>6</v>
      </c>
      <c r="CB62" s="229">
        <v>4.8999999999999998E-3</v>
      </c>
      <c r="CC62" s="230">
        <v>1051</v>
      </c>
      <c r="CD62" s="230">
        <v>1053</v>
      </c>
      <c r="CE62" s="228">
        <v>-2</v>
      </c>
      <c r="CF62" s="229">
        <v>-1.6999999999999999E-3</v>
      </c>
      <c r="CG62" s="228">
        <v>71</v>
      </c>
      <c r="CH62" s="228">
        <v>64</v>
      </c>
      <c r="CI62" s="228">
        <v>6</v>
      </c>
      <c r="CJ62" s="229">
        <v>0.1007</v>
      </c>
      <c r="CK62" s="228">
        <v>9</v>
      </c>
      <c r="CL62" s="228">
        <v>8</v>
      </c>
      <c r="CM62" s="228">
        <v>1</v>
      </c>
      <c r="CN62" s="229">
        <v>9.6799999999999997E-2</v>
      </c>
      <c r="CO62" s="228">
        <v>411</v>
      </c>
      <c r="CP62" s="228">
        <v>391</v>
      </c>
      <c r="CQ62" s="228">
        <v>20</v>
      </c>
      <c r="CR62" s="229">
        <v>5.16E-2</v>
      </c>
      <c r="CS62" s="228">
        <v>290</v>
      </c>
      <c r="CT62" s="228">
        <v>278</v>
      </c>
      <c r="CU62" s="228">
        <v>12</v>
      </c>
      <c r="CV62" s="229">
        <v>4.4600000000000001E-2</v>
      </c>
      <c r="CW62" s="230">
        <v>1832</v>
      </c>
      <c r="CX62" s="230">
        <v>1794</v>
      </c>
      <c r="CY62" s="228">
        <v>38</v>
      </c>
      <c r="CZ62" s="229">
        <v>2.12E-2</v>
      </c>
      <c r="DA62" s="228">
        <v>22.73</v>
      </c>
      <c r="DB62" s="228">
        <v>21.83</v>
      </c>
      <c r="DC62" s="228">
        <v>0.9</v>
      </c>
      <c r="DD62" s="228">
        <v>0.9</v>
      </c>
      <c r="DE62" s="228">
        <v>33.479999999999997</v>
      </c>
      <c r="DF62" s="228">
        <v>33.549999999999997</v>
      </c>
      <c r="DG62" s="228">
        <v>-10.75</v>
      </c>
      <c r="DH62" s="228">
        <v>-7.0000000000000007E-2</v>
      </c>
      <c r="DI62" s="228">
        <v>22.9</v>
      </c>
      <c r="DJ62" s="228">
        <v>22.7</v>
      </c>
      <c r="DK62" s="228">
        <v>0.2</v>
      </c>
      <c r="DL62" s="228">
        <v>0.2</v>
      </c>
      <c r="DM62" s="228">
        <v>22.3</v>
      </c>
      <c r="DN62" s="228">
        <v>19.649999999999999</v>
      </c>
      <c r="DO62" s="228">
        <v>2.65</v>
      </c>
      <c r="DP62" s="228">
        <v>2.65</v>
      </c>
      <c r="DQ62" s="228">
        <v>0.71</v>
      </c>
      <c r="DR62" s="228">
        <v>0.71</v>
      </c>
      <c r="DS62" s="228">
        <v>0</v>
      </c>
      <c r="DT62" s="229">
        <v>0</v>
      </c>
      <c r="DU62" s="228">
        <v>380</v>
      </c>
      <c r="DV62" s="228">
        <v>370</v>
      </c>
      <c r="DW62" s="228">
        <v>0.41</v>
      </c>
      <c r="DX62" s="228">
        <v>0.4</v>
      </c>
      <c r="DY62" s="228">
        <v>0.01</v>
      </c>
      <c r="DZ62" s="229">
        <v>2.5000000000000001E-2</v>
      </c>
      <c r="EA62" s="229">
        <v>7.0599999999999996E-2</v>
      </c>
      <c r="EB62" s="230">
        <v>1992600</v>
      </c>
      <c r="EC62" s="229">
        <v>5.8999999999999999E-3</v>
      </c>
      <c r="ED62" s="229">
        <v>7.0599999999999996E-2</v>
      </c>
      <c r="EE62" s="228">
        <v>2.2200000000000002</v>
      </c>
      <c r="EF62" s="229">
        <v>6.1000000000000004E-3</v>
      </c>
      <c r="EG62" s="230">
        <v>447994</v>
      </c>
      <c r="EH62" s="230">
        <v>686565</v>
      </c>
      <c r="EI62" s="229">
        <v>-0.34749999999999998</v>
      </c>
      <c r="EJ62" s="229">
        <v>0.45229999999999998</v>
      </c>
      <c r="EK62" s="228">
        <v>388.41</v>
      </c>
      <c r="EL62" s="228">
        <v>152.4</v>
      </c>
      <c r="EM62" s="228">
        <v>75.430000000000007</v>
      </c>
      <c r="EN62" s="228">
        <v>12.28</v>
      </c>
      <c r="EO62" s="228">
        <v>616.24</v>
      </c>
      <c r="EP62" s="228">
        <v>748.26</v>
      </c>
      <c r="EQ62" s="228">
        <v>-132.02000000000001</v>
      </c>
      <c r="ER62" s="229">
        <v>-0.1764</v>
      </c>
      <c r="ES62" s="228">
        <v>436.52</v>
      </c>
      <c r="ET62" s="228">
        <v>296.36</v>
      </c>
      <c r="EU62" s="231">
        <v>1131.26</v>
      </c>
      <c r="EV62" s="231">
        <v>68856800</v>
      </c>
      <c r="EW62" s="231">
        <v>1864.15</v>
      </c>
      <c r="EX62" s="231">
        <v>1834.54</v>
      </c>
      <c r="EY62" s="228">
        <v>29.61</v>
      </c>
      <c r="EZ62" s="229">
        <v>1.61E-2</v>
      </c>
      <c r="FA62" s="229">
        <v>0.73060000000000003</v>
      </c>
      <c r="FB62" s="227" t="s">
        <v>567</v>
      </c>
      <c r="FC62">
        <f t="shared" si="0"/>
        <v>80</v>
      </c>
    </row>
    <row r="63" spans="1:159" ht="17.25" thickBot="1" x14ac:dyDescent="0.3">
      <c r="A63" s="226">
        <v>46008</v>
      </c>
      <c r="B63" s="227" t="s">
        <v>172</v>
      </c>
      <c r="C63" s="227" t="s">
        <v>212</v>
      </c>
      <c r="D63" s="228">
        <v>5000</v>
      </c>
      <c r="E63" s="228">
        <v>13</v>
      </c>
      <c r="F63" s="228">
        <v>264.3</v>
      </c>
      <c r="G63" s="228">
        <v>263.10000000000002</v>
      </c>
      <c r="H63" s="228">
        <v>1.2</v>
      </c>
      <c r="I63" s="229">
        <v>4.5999999999999999E-3</v>
      </c>
      <c r="J63" s="228">
        <v>263.60000000000002</v>
      </c>
      <c r="K63" s="228">
        <v>262.2</v>
      </c>
      <c r="L63" s="228">
        <v>1.4</v>
      </c>
      <c r="M63" s="229">
        <v>5.3E-3</v>
      </c>
      <c r="N63" s="228">
        <v>264.3</v>
      </c>
      <c r="O63" s="228">
        <v>263.10000000000002</v>
      </c>
      <c r="P63" s="228">
        <v>1.2</v>
      </c>
      <c r="Q63" s="229">
        <v>4.5999999999999999E-3</v>
      </c>
      <c r="R63" s="228">
        <v>265.75</v>
      </c>
      <c r="S63" s="228">
        <v>264.5</v>
      </c>
      <c r="T63" s="228">
        <v>1.25</v>
      </c>
      <c r="U63" s="229">
        <v>4.7000000000000002E-3</v>
      </c>
      <c r="V63" s="228">
        <v>266.60000000000002</v>
      </c>
      <c r="W63" s="228">
        <v>265.14999999999998</v>
      </c>
      <c r="X63" s="228">
        <v>1.45</v>
      </c>
      <c r="Y63" s="229">
        <v>5.4999999999999997E-3</v>
      </c>
      <c r="Z63" s="228">
        <v>0.7</v>
      </c>
      <c r="AA63" s="228">
        <v>0.9</v>
      </c>
      <c r="AB63" s="228">
        <v>-0.2</v>
      </c>
      <c r="AC63" s="229">
        <v>2.7000000000000001E-3</v>
      </c>
      <c r="AD63" s="228">
        <v>0.7</v>
      </c>
      <c r="AE63" s="228">
        <v>0.9</v>
      </c>
      <c r="AF63" s="228">
        <v>-0.2</v>
      </c>
      <c r="AG63" s="229">
        <v>2.7000000000000001E-3</v>
      </c>
      <c r="AH63" s="228">
        <v>2.15</v>
      </c>
      <c r="AI63" s="228">
        <v>2.2999999999999998</v>
      </c>
      <c r="AJ63" s="228">
        <v>-0.15</v>
      </c>
      <c r="AK63" s="229">
        <v>8.2000000000000007E-3</v>
      </c>
      <c r="AL63" s="228">
        <v>3</v>
      </c>
      <c r="AM63" s="228">
        <v>2.95</v>
      </c>
      <c r="AN63" s="228">
        <v>0.05</v>
      </c>
      <c r="AO63" s="229">
        <v>1.14E-2</v>
      </c>
      <c r="AP63" s="228">
        <v>264.05</v>
      </c>
      <c r="AQ63" s="228">
        <v>265.44</v>
      </c>
      <c r="AR63" s="228">
        <v>0</v>
      </c>
      <c r="AS63" s="228">
        <v>309</v>
      </c>
      <c r="AT63" s="228">
        <v>415</v>
      </c>
      <c r="AU63" s="228">
        <v>-107</v>
      </c>
      <c r="AV63" s="229">
        <v>-0.25669999999999998</v>
      </c>
      <c r="AW63" s="228">
        <v>241</v>
      </c>
      <c r="AX63" s="228">
        <v>332</v>
      </c>
      <c r="AY63" s="228">
        <v>-91</v>
      </c>
      <c r="AZ63" s="229">
        <v>-0.2742</v>
      </c>
      <c r="BA63" s="228">
        <v>64</v>
      </c>
      <c r="BB63" s="228">
        <v>79</v>
      </c>
      <c r="BC63" s="228">
        <v>-16</v>
      </c>
      <c r="BD63" s="229">
        <v>-0.19670000000000001</v>
      </c>
      <c r="BE63" s="228">
        <v>4</v>
      </c>
      <c r="BF63" s="228">
        <v>4</v>
      </c>
      <c r="BG63" s="228">
        <v>0</v>
      </c>
      <c r="BH63" s="229">
        <v>0</v>
      </c>
      <c r="BI63" s="230">
        <v>1261</v>
      </c>
      <c r="BJ63" s="230">
        <v>1380</v>
      </c>
      <c r="BK63" s="228">
        <v>-119</v>
      </c>
      <c r="BL63" s="229">
        <v>-8.6099999999999996E-2</v>
      </c>
      <c r="BM63" s="228">
        <v>739</v>
      </c>
      <c r="BN63" s="228">
        <v>756</v>
      </c>
      <c r="BO63" s="228">
        <v>-17</v>
      </c>
      <c r="BP63" s="229">
        <v>-2.2700000000000001E-2</v>
      </c>
      <c r="BQ63" s="230">
        <v>2309</v>
      </c>
      <c r="BR63" s="230">
        <v>2551</v>
      </c>
      <c r="BS63" s="228">
        <v>-243</v>
      </c>
      <c r="BT63" s="229">
        <v>-9.5100000000000004E-2</v>
      </c>
      <c r="BU63" s="230">
        <v>3883202</v>
      </c>
      <c r="BV63" s="230">
        <v>6964244</v>
      </c>
      <c r="BW63" s="230">
        <v>-3081042</v>
      </c>
      <c r="BX63" s="229">
        <v>-0.44240000000000002</v>
      </c>
      <c r="BY63" s="230">
        <v>1777</v>
      </c>
      <c r="BZ63" s="230">
        <v>1759</v>
      </c>
      <c r="CA63" s="228">
        <v>17</v>
      </c>
      <c r="CB63" s="229">
        <v>9.7999999999999997E-3</v>
      </c>
      <c r="CC63" s="230">
        <v>1552</v>
      </c>
      <c r="CD63" s="230">
        <v>1562</v>
      </c>
      <c r="CE63" s="228">
        <v>-10</v>
      </c>
      <c r="CF63" s="229">
        <v>-6.3E-3</v>
      </c>
      <c r="CG63" s="228">
        <v>208</v>
      </c>
      <c r="CH63" s="228">
        <v>182</v>
      </c>
      <c r="CI63" s="228">
        <v>26</v>
      </c>
      <c r="CJ63" s="229">
        <v>0.14449999999999999</v>
      </c>
      <c r="CK63" s="228">
        <v>16</v>
      </c>
      <c r="CL63" s="228">
        <v>15</v>
      </c>
      <c r="CM63" s="228">
        <v>1</v>
      </c>
      <c r="CN63" s="229">
        <v>6.0299999999999999E-2</v>
      </c>
      <c r="CO63" s="230">
        <v>1168</v>
      </c>
      <c r="CP63" s="230">
        <v>1128</v>
      </c>
      <c r="CQ63" s="228">
        <v>41</v>
      </c>
      <c r="CR63" s="229">
        <v>3.6299999999999999E-2</v>
      </c>
      <c r="CS63" s="230">
        <v>1151</v>
      </c>
      <c r="CT63" s="230">
        <v>1126</v>
      </c>
      <c r="CU63" s="228">
        <v>25</v>
      </c>
      <c r="CV63" s="229">
        <v>2.2499999999999999E-2</v>
      </c>
      <c r="CW63" s="230">
        <v>4096</v>
      </c>
      <c r="CX63" s="230">
        <v>4013</v>
      </c>
      <c r="CY63" s="228">
        <v>84</v>
      </c>
      <c r="CZ63" s="229">
        <v>2.0799999999999999E-2</v>
      </c>
      <c r="DA63" s="228">
        <v>19.47</v>
      </c>
      <c r="DB63" s="228">
        <v>20.11</v>
      </c>
      <c r="DC63" s="228">
        <v>-0.64</v>
      </c>
      <c r="DD63" s="228">
        <v>-0.64</v>
      </c>
      <c r="DE63" s="228">
        <v>28.37</v>
      </c>
      <c r="DF63" s="228">
        <v>28.43</v>
      </c>
      <c r="DG63" s="228">
        <v>-8.9</v>
      </c>
      <c r="DH63" s="228">
        <v>-0.06</v>
      </c>
      <c r="DI63" s="228">
        <v>19.079999999999998</v>
      </c>
      <c r="DJ63" s="228">
        <v>20.14</v>
      </c>
      <c r="DK63" s="228">
        <v>-1.06</v>
      </c>
      <c r="DL63" s="228">
        <v>-1.06</v>
      </c>
      <c r="DM63" s="228">
        <v>20.13</v>
      </c>
      <c r="DN63" s="228">
        <v>20.04</v>
      </c>
      <c r="DO63" s="228">
        <v>0.09</v>
      </c>
      <c r="DP63" s="228">
        <v>0.09</v>
      </c>
      <c r="DQ63" s="228">
        <v>0.99</v>
      </c>
      <c r="DR63" s="228">
        <v>1</v>
      </c>
      <c r="DS63" s="228">
        <v>-0.01</v>
      </c>
      <c r="DT63" s="229">
        <v>-0.01</v>
      </c>
      <c r="DU63" s="228">
        <v>265</v>
      </c>
      <c r="DV63" s="228">
        <v>250</v>
      </c>
      <c r="DW63" s="228">
        <v>0.59</v>
      </c>
      <c r="DX63" s="228">
        <v>0.55000000000000004</v>
      </c>
      <c r="DY63" s="228">
        <v>0.04</v>
      </c>
      <c r="DZ63" s="229">
        <v>7.2700000000000001E-2</v>
      </c>
      <c r="EA63" s="229">
        <v>0.12640000000000001</v>
      </c>
      <c r="EB63" s="230">
        <v>7465000</v>
      </c>
      <c r="EC63" s="229">
        <v>5.4999999999999997E-3</v>
      </c>
      <c r="ED63" s="229">
        <v>0.12640000000000001</v>
      </c>
      <c r="EE63" s="228">
        <v>1.39</v>
      </c>
      <c r="EF63" s="229">
        <v>5.3E-3</v>
      </c>
      <c r="EG63" s="230">
        <v>2247034</v>
      </c>
      <c r="EH63" s="230">
        <v>4826241</v>
      </c>
      <c r="EI63" s="229">
        <v>-0.53439999999999999</v>
      </c>
      <c r="EJ63" s="229">
        <v>0.57869999999999999</v>
      </c>
      <c r="EK63" s="231">
        <v>1296.48</v>
      </c>
      <c r="EL63" s="228">
        <v>727.62</v>
      </c>
      <c r="EM63" s="228">
        <v>308.91000000000003</v>
      </c>
      <c r="EN63" s="228">
        <v>28.26</v>
      </c>
      <c r="EO63" s="231">
        <v>2333.02</v>
      </c>
      <c r="EP63" s="231">
        <v>2584.8000000000002</v>
      </c>
      <c r="EQ63" s="228">
        <v>-251.79</v>
      </c>
      <c r="ER63" s="229">
        <v>-9.74E-2</v>
      </c>
      <c r="ES63" s="231">
        <v>1177.05</v>
      </c>
      <c r="ET63" s="231">
        <v>1087.54</v>
      </c>
      <c r="EU63" s="231">
        <v>1777.91</v>
      </c>
      <c r="EV63" s="231">
        <v>338654719</v>
      </c>
      <c r="EW63" s="231">
        <v>4042.49</v>
      </c>
      <c r="EX63" s="231">
        <v>3949.54</v>
      </c>
      <c r="EY63" s="228">
        <v>92.95</v>
      </c>
      <c r="EZ63" s="229">
        <v>2.35E-2</v>
      </c>
      <c r="FA63" s="229">
        <v>0.45760000000000001</v>
      </c>
      <c r="FB63" s="227" t="s">
        <v>555</v>
      </c>
      <c r="FC63">
        <f t="shared" si="0"/>
        <v>225</v>
      </c>
    </row>
    <row r="64" spans="1:159" ht="17.25" thickBot="1" x14ac:dyDescent="0.3">
      <c r="A64" s="226">
        <v>46008</v>
      </c>
      <c r="B64" s="227" t="s">
        <v>181</v>
      </c>
      <c r="C64" s="227" t="s">
        <v>480</v>
      </c>
      <c r="D64" s="228">
        <v>65</v>
      </c>
      <c r="E64" s="228">
        <v>13</v>
      </c>
      <c r="F64" s="231">
        <v>27375.7</v>
      </c>
      <c r="G64" s="231">
        <v>27505.1</v>
      </c>
      <c r="H64" s="228">
        <v>-129.4</v>
      </c>
      <c r="I64" s="229">
        <v>-4.7000000000000002E-3</v>
      </c>
      <c r="J64" s="231">
        <v>27251.95</v>
      </c>
      <c r="K64" s="231">
        <v>27385.55</v>
      </c>
      <c r="L64" s="228">
        <v>-133.6</v>
      </c>
      <c r="M64" s="229">
        <v>-4.8999999999999998E-3</v>
      </c>
      <c r="N64" s="231">
        <v>27375.7</v>
      </c>
      <c r="O64" s="231">
        <v>27505.1</v>
      </c>
      <c r="P64" s="228">
        <v>-129.4</v>
      </c>
      <c r="Q64" s="229">
        <v>-4.7000000000000002E-3</v>
      </c>
      <c r="R64" s="231">
        <v>27554</v>
      </c>
      <c r="S64" s="231">
        <v>27699.8</v>
      </c>
      <c r="T64" s="228">
        <v>-145.80000000000001</v>
      </c>
      <c r="U64" s="229">
        <v>-5.3E-3</v>
      </c>
      <c r="V64" s="228">
        <v>0</v>
      </c>
      <c r="W64" s="228">
        <v>0</v>
      </c>
      <c r="X64" s="228">
        <v>0</v>
      </c>
      <c r="Y64" s="229">
        <v>0</v>
      </c>
      <c r="Z64" s="228">
        <v>123.75</v>
      </c>
      <c r="AA64" s="228">
        <v>119.55</v>
      </c>
      <c r="AB64" s="228">
        <v>4.2</v>
      </c>
      <c r="AC64" s="229">
        <v>4.4999999999999997E-3</v>
      </c>
      <c r="AD64" s="228">
        <v>123.75</v>
      </c>
      <c r="AE64" s="228">
        <v>119.55</v>
      </c>
      <c r="AF64" s="228">
        <v>4.2</v>
      </c>
      <c r="AG64" s="229">
        <v>4.4999999999999997E-3</v>
      </c>
      <c r="AH64" s="228">
        <v>302.05</v>
      </c>
      <c r="AI64" s="228">
        <v>314.25</v>
      </c>
      <c r="AJ64" s="228">
        <v>-12.2</v>
      </c>
      <c r="AK64" s="229">
        <v>1.11E-2</v>
      </c>
      <c r="AL64" s="228">
        <v>0</v>
      </c>
      <c r="AM64" s="228">
        <v>0</v>
      </c>
      <c r="AN64" s="228">
        <v>0</v>
      </c>
      <c r="AO64" s="229">
        <v>0</v>
      </c>
      <c r="AP64" s="231">
        <v>27380.63</v>
      </c>
      <c r="AQ64" s="231">
        <v>27526.92</v>
      </c>
      <c r="AR64" s="228">
        <v>0</v>
      </c>
      <c r="AS64" s="228">
        <v>76</v>
      </c>
      <c r="AT64" s="228">
        <v>66</v>
      </c>
      <c r="AU64" s="228">
        <v>10</v>
      </c>
      <c r="AV64" s="229">
        <v>0.1482</v>
      </c>
      <c r="AW64" s="228">
        <v>67</v>
      </c>
      <c r="AX64" s="228">
        <v>65</v>
      </c>
      <c r="AY64" s="228">
        <v>2</v>
      </c>
      <c r="AZ64" s="229">
        <v>3.0300000000000001E-2</v>
      </c>
      <c r="BA64" s="228">
        <v>9</v>
      </c>
      <c r="BB64" s="228">
        <v>1</v>
      </c>
      <c r="BC64" s="228">
        <v>8</v>
      </c>
      <c r="BD64" s="229">
        <v>5.5</v>
      </c>
      <c r="BE64" s="228">
        <v>0</v>
      </c>
      <c r="BF64" s="228">
        <v>0</v>
      </c>
      <c r="BG64" s="228">
        <v>0</v>
      </c>
      <c r="BH64" s="229">
        <v>0</v>
      </c>
      <c r="BI64" s="230">
        <v>4898</v>
      </c>
      <c r="BJ64" s="230">
        <v>3637</v>
      </c>
      <c r="BK64" s="230">
        <v>1261</v>
      </c>
      <c r="BL64" s="229">
        <v>0.34670000000000001</v>
      </c>
      <c r="BM64" s="230">
        <v>3228</v>
      </c>
      <c r="BN64" s="230">
        <v>2538</v>
      </c>
      <c r="BO64" s="228">
        <v>689</v>
      </c>
      <c r="BP64" s="229">
        <v>0.27160000000000001</v>
      </c>
      <c r="BQ64" s="230">
        <v>8201</v>
      </c>
      <c r="BR64" s="230">
        <v>6241</v>
      </c>
      <c r="BS64" s="230">
        <v>1960</v>
      </c>
      <c r="BT64" s="229">
        <v>0.31409999999999999</v>
      </c>
      <c r="BU64" s="228">
        <v>0</v>
      </c>
      <c r="BV64" s="228">
        <v>0</v>
      </c>
      <c r="BW64" s="228">
        <v>0</v>
      </c>
      <c r="BX64" s="229">
        <v>0</v>
      </c>
      <c r="BY64" s="228">
        <v>119</v>
      </c>
      <c r="BZ64" s="228">
        <v>103</v>
      </c>
      <c r="CA64" s="228">
        <v>16</v>
      </c>
      <c r="CB64" s="229">
        <v>0.158</v>
      </c>
      <c r="CC64" s="228">
        <v>108</v>
      </c>
      <c r="CD64" s="228">
        <v>99</v>
      </c>
      <c r="CE64" s="228">
        <v>9</v>
      </c>
      <c r="CF64" s="229">
        <v>8.9599999999999999E-2</v>
      </c>
      <c r="CG64" s="228">
        <v>11</v>
      </c>
      <c r="CH64" s="228">
        <v>4</v>
      </c>
      <c r="CI64" s="228">
        <v>7</v>
      </c>
      <c r="CJ64" s="229">
        <v>1.9564999999999999</v>
      </c>
      <c r="CK64" s="228">
        <v>0</v>
      </c>
      <c r="CL64" s="228">
        <v>0</v>
      </c>
      <c r="CM64" s="228">
        <v>0</v>
      </c>
      <c r="CN64" s="229">
        <v>0</v>
      </c>
      <c r="CO64" s="230">
        <v>2592</v>
      </c>
      <c r="CP64" s="230">
        <v>2243</v>
      </c>
      <c r="CQ64" s="228">
        <v>349</v>
      </c>
      <c r="CR64" s="229">
        <v>0.15579999999999999</v>
      </c>
      <c r="CS64" s="230">
        <v>1480</v>
      </c>
      <c r="CT64" s="230">
        <v>1409</v>
      </c>
      <c r="CU64" s="228">
        <v>71</v>
      </c>
      <c r="CV64" s="229">
        <v>5.0299999999999997E-2</v>
      </c>
      <c r="CW64" s="230">
        <v>4192</v>
      </c>
      <c r="CX64" s="230">
        <v>3755</v>
      </c>
      <c r="CY64" s="228">
        <v>437</v>
      </c>
      <c r="CZ64" s="229">
        <v>0.1163</v>
      </c>
      <c r="DA64" s="228">
        <v>10.71</v>
      </c>
      <c r="DB64" s="228">
        <v>11.06</v>
      </c>
      <c r="DC64" s="228">
        <v>-0.35</v>
      </c>
      <c r="DD64" s="228">
        <v>-0.35</v>
      </c>
      <c r="DE64" s="228">
        <v>16.63</v>
      </c>
      <c r="DF64" s="228">
        <v>16.66</v>
      </c>
      <c r="DG64" s="228">
        <v>-5.92</v>
      </c>
      <c r="DH64" s="228">
        <v>-0.03</v>
      </c>
      <c r="DI64" s="228">
        <v>10.62</v>
      </c>
      <c r="DJ64" s="228">
        <v>11.09</v>
      </c>
      <c r="DK64" s="228">
        <v>-0.47</v>
      </c>
      <c r="DL64" s="228">
        <v>-0.47</v>
      </c>
      <c r="DM64" s="228">
        <v>10.85</v>
      </c>
      <c r="DN64" s="228">
        <v>11.01</v>
      </c>
      <c r="DO64" s="228">
        <v>-0.16</v>
      </c>
      <c r="DP64" s="228">
        <v>-0.16</v>
      </c>
      <c r="DQ64" s="228">
        <v>0.56999999999999995</v>
      </c>
      <c r="DR64" s="228">
        <v>0.63</v>
      </c>
      <c r="DS64" s="228">
        <v>-0.06</v>
      </c>
      <c r="DT64" s="229">
        <v>-9.5200000000000007E-2</v>
      </c>
      <c r="DU64" s="231">
        <v>27500</v>
      </c>
      <c r="DV64" s="231">
        <v>27500</v>
      </c>
      <c r="DW64" s="228">
        <v>0.66</v>
      </c>
      <c r="DX64" s="228">
        <v>0.7</v>
      </c>
      <c r="DY64" s="228">
        <v>-0.04</v>
      </c>
      <c r="DZ64" s="229">
        <v>-5.7099999999999998E-2</v>
      </c>
      <c r="EA64" s="229">
        <v>9.3600000000000003E-2</v>
      </c>
      <c r="EB64" s="230">
        <v>1380</v>
      </c>
      <c r="EC64" s="229">
        <v>6.4999999999999997E-3</v>
      </c>
      <c r="ED64" s="229">
        <v>9.3600000000000003E-2</v>
      </c>
      <c r="EE64" s="228">
        <v>146.29</v>
      </c>
      <c r="EF64" s="229">
        <v>5.3E-3</v>
      </c>
      <c r="EG64" s="228">
        <v>0</v>
      </c>
      <c r="EH64" s="228">
        <v>0</v>
      </c>
      <c r="EI64" s="229">
        <v>0</v>
      </c>
      <c r="EJ64" s="229">
        <v>0</v>
      </c>
      <c r="EK64" s="231">
        <v>4987.3999999999996</v>
      </c>
      <c r="EL64" s="231">
        <v>3221.19</v>
      </c>
      <c r="EM64" s="228">
        <v>75.150000000000006</v>
      </c>
      <c r="EN64" s="228">
        <v>0</v>
      </c>
      <c r="EO64" s="231">
        <v>8283.74</v>
      </c>
      <c r="EP64" s="231">
        <v>6338.44</v>
      </c>
      <c r="EQ64" s="231">
        <v>1945.3</v>
      </c>
      <c r="ER64" s="229">
        <v>0.30690000000000001</v>
      </c>
      <c r="ES64" s="231">
        <v>2653.56</v>
      </c>
      <c r="ET64" s="231">
        <v>1477.52</v>
      </c>
      <c r="EU64" s="228">
        <v>119.43</v>
      </c>
      <c r="EV64" s="228">
        <v>0</v>
      </c>
      <c r="EW64" s="231">
        <v>4250.51</v>
      </c>
      <c r="EX64" s="231">
        <v>3814.25</v>
      </c>
      <c r="EY64" s="228">
        <v>436.26</v>
      </c>
      <c r="EZ64" s="229">
        <v>0.1144</v>
      </c>
      <c r="FA64" s="229">
        <v>0</v>
      </c>
      <c r="FB64" s="227" t="s">
        <v>567</v>
      </c>
      <c r="FC64">
        <f t="shared" si="0"/>
        <v>11</v>
      </c>
    </row>
    <row r="65" spans="1:159" ht="17.25" thickBot="1" x14ac:dyDescent="0.3">
      <c r="A65" s="226">
        <v>46008</v>
      </c>
      <c r="B65" s="227" t="s">
        <v>170</v>
      </c>
      <c r="C65" s="227" t="s">
        <v>678</v>
      </c>
      <c r="D65" s="228">
        <v>775</v>
      </c>
      <c r="E65" s="228">
        <v>13</v>
      </c>
      <c r="F65" s="228">
        <v>871.65</v>
      </c>
      <c r="G65" s="228">
        <v>876.25</v>
      </c>
      <c r="H65" s="228">
        <v>-4.5999999999999996</v>
      </c>
      <c r="I65" s="229">
        <v>-5.1999999999999998E-3</v>
      </c>
      <c r="J65" s="228">
        <v>870.95</v>
      </c>
      <c r="K65" s="228">
        <v>875</v>
      </c>
      <c r="L65" s="228">
        <v>-4.05</v>
      </c>
      <c r="M65" s="229">
        <v>-4.5999999999999999E-3</v>
      </c>
      <c r="N65" s="228">
        <v>871.65</v>
      </c>
      <c r="O65" s="228">
        <v>876.25</v>
      </c>
      <c r="P65" s="228">
        <v>-4.5999999999999996</v>
      </c>
      <c r="Q65" s="229">
        <v>-5.1999999999999998E-3</v>
      </c>
      <c r="R65" s="228">
        <v>876.2</v>
      </c>
      <c r="S65" s="228">
        <v>880.6</v>
      </c>
      <c r="T65" s="228">
        <v>-4.4000000000000004</v>
      </c>
      <c r="U65" s="229">
        <v>-5.0000000000000001E-3</v>
      </c>
      <c r="V65" s="228">
        <v>879</v>
      </c>
      <c r="W65" s="228">
        <v>884.5</v>
      </c>
      <c r="X65" s="228">
        <v>-5.5</v>
      </c>
      <c r="Y65" s="229">
        <v>-6.1999999999999998E-3</v>
      </c>
      <c r="Z65" s="228">
        <v>0.7</v>
      </c>
      <c r="AA65" s="228">
        <v>1.25</v>
      </c>
      <c r="AB65" s="228">
        <v>-0.55000000000000004</v>
      </c>
      <c r="AC65" s="229">
        <v>8.0000000000000004E-4</v>
      </c>
      <c r="AD65" s="228">
        <v>0.7</v>
      </c>
      <c r="AE65" s="228">
        <v>1.25</v>
      </c>
      <c r="AF65" s="228">
        <v>-0.55000000000000004</v>
      </c>
      <c r="AG65" s="229">
        <v>8.0000000000000004E-4</v>
      </c>
      <c r="AH65" s="228">
        <v>5.25</v>
      </c>
      <c r="AI65" s="228">
        <v>5.6</v>
      </c>
      <c r="AJ65" s="228">
        <v>-0.35</v>
      </c>
      <c r="AK65" s="229">
        <v>6.0000000000000001E-3</v>
      </c>
      <c r="AL65" s="228">
        <v>8.0500000000000007</v>
      </c>
      <c r="AM65" s="228">
        <v>9.5</v>
      </c>
      <c r="AN65" s="228">
        <v>-1.45</v>
      </c>
      <c r="AO65" s="229">
        <v>9.1999999999999998E-3</v>
      </c>
      <c r="AP65" s="228">
        <v>873.04</v>
      </c>
      <c r="AQ65" s="228">
        <v>876.76</v>
      </c>
      <c r="AR65" s="228">
        <v>0</v>
      </c>
      <c r="AS65" s="228">
        <v>184</v>
      </c>
      <c r="AT65" s="228">
        <v>192</v>
      </c>
      <c r="AU65" s="228">
        <v>-7</v>
      </c>
      <c r="AV65" s="229">
        <v>-3.7699999999999997E-2</v>
      </c>
      <c r="AW65" s="228">
        <v>151</v>
      </c>
      <c r="AX65" s="228">
        <v>176</v>
      </c>
      <c r="AY65" s="228">
        <v>-25</v>
      </c>
      <c r="AZ65" s="229">
        <v>-0.14199999999999999</v>
      </c>
      <c r="BA65" s="228">
        <v>33</v>
      </c>
      <c r="BB65" s="228">
        <v>15</v>
      </c>
      <c r="BC65" s="228">
        <v>18</v>
      </c>
      <c r="BD65" s="229">
        <v>1.1778</v>
      </c>
      <c r="BE65" s="228">
        <v>0</v>
      </c>
      <c r="BF65" s="228">
        <v>1</v>
      </c>
      <c r="BG65" s="228">
        <v>0</v>
      </c>
      <c r="BH65" s="229">
        <v>-0.25</v>
      </c>
      <c r="BI65" s="228">
        <v>255</v>
      </c>
      <c r="BJ65" s="228">
        <v>714</v>
      </c>
      <c r="BK65" s="228">
        <v>-458</v>
      </c>
      <c r="BL65" s="229">
        <v>-0.64239999999999997</v>
      </c>
      <c r="BM65" s="228">
        <v>103</v>
      </c>
      <c r="BN65" s="228">
        <v>180</v>
      </c>
      <c r="BO65" s="228">
        <v>-77</v>
      </c>
      <c r="BP65" s="229">
        <v>-0.42920000000000003</v>
      </c>
      <c r="BQ65" s="228">
        <v>542</v>
      </c>
      <c r="BR65" s="230">
        <v>1085</v>
      </c>
      <c r="BS65" s="228">
        <v>-543</v>
      </c>
      <c r="BT65" s="229">
        <v>-0.50019999999999998</v>
      </c>
      <c r="BU65" s="230">
        <v>1641590</v>
      </c>
      <c r="BV65" s="230">
        <v>2158940</v>
      </c>
      <c r="BW65" s="230">
        <v>-517350</v>
      </c>
      <c r="BX65" s="229">
        <v>-0.23960000000000001</v>
      </c>
      <c r="BY65" s="230">
        <v>1262</v>
      </c>
      <c r="BZ65" s="230">
        <v>1262</v>
      </c>
      <c r="CA65" s="228">
        <v>-1</v>
      </c>
      <c r="CB65" s="229">
        <v>-4.0000000000000002E-4</v>
      </c>
      <c r="CC65" s="230">
        <v>1187</v>
      </c>
      <c r="CD65" s="230">
        <v>1192</v>
      </c>
      <c r="CE65" s="228">
        <v>-5</v>
      </c>
      <c r="CF65" s="229">
        <v>-4.3E-3</v>
      </c>
      <c r="CG65" s="228">
        <v>72</v>
      </c>
      <c r="CH65" s="228">
        <v>67</v>
      </c>
      <c r="CI65" s="228">
        <v>5</v>
      </c>
      <c r="CJ65" s="229">
        <v>6.9400000000000003E-2</v>
      </c>
      <c r="CK65" s="228">
        <v>3</v>
      </c>
      <c r="CL65" s="228">
        <v>3</v>
      </c>
      <c r="CM65" s="228">
        <v>0</v>
      </c>
      <c r="CN65" s="229">
        <v>-2.3300000000000001E-2</v>
      </c>
      <c r="CO65" s="228">
        <v>580</v>
      </c>
      <c r="CP65" s="228">
        <v>597</v>
      </c>
      <c r="CQ65" s="228">
        <v>-17</v>
      </c>
      <c r="CR65" s="229">
        <v>-2.8799999999999999E-2</v>
      </c>
      <c r="CS65" s="228">
        <v>258</v>
      </c>
      <c r="CT65" s="228">
        <v>252</v>
      </c>
      <c r="CU65" s="228">
        <v>6</v>
      </c>
      <c r="CV65" s="229">
        <v>2.41E-2</v>
      </c>
      <c r="CW65" s="230">
        <v>2100</v>
      </c>
      <c r="CX65" s="230">
        <v>2112</v>
      </c>
      <c r="CY65" s="228">
        <v>-12</v>
      </c>
      <c r="CZ65" s="229">
        <v>-5.4999999999999997E-3</v>
      </c>
      <c r="DA65" s="228">
        <v>23.33</v>
      </c>
      <c r="DB65" s="228">
        <v>23.53</v>
      </c>
      <c r="DC65" s="228">
        <v>-0.2</v>
      </c>
      <c r="DD65" s="228">
        <v>-0.2</v>
      </c>
      <c r="DE65" s="228">
        <v>35.270000000000003</v>
      </c>
      <c r="DF65" s="228">
        <v>35.35</v>
      </c>
      <c r="DG65" s="228">
        <v>-11.94</v>
      </c>
      <c r="DH65" s="228">
        <v>-0.08</v>
      </c>
      <c r="DI65" s="228">
        <v>23.52</v>
      </c>
      <c r="DJ65" s="228">
        <v>23.62</v>
      </c>
      <c r="DK65" s="228">
        <v>-0.1</v>
      </c>
      <c r="DL65" s="228">
        <v>-0.1</v>
      </c>
      <c r="DM65" s="228">
        <v>22.86</v>
      </c>
      <c r="DN65" s="228">
        <v>23.16</v>
      </c>
      <c r="DO65" s="228">
        <v>-0.3</v>
      </c>
      <c r="DP65" s="228">
        <v>-0.3</v>
      </c>
      <c r="DQ65" s="228">
        <v>0.44</v>
      </c>
      <c r="DR65" s="228">
        <v>0.42</v>
      </c>
      <c r="DS65" s="228">
        <v>0.02</v>
      </c>
      <c r="DT65" s="229">
        <v>4.7600000000000003E-2</v>
      </c>
      <c r="DU65" s="231">
        <v>1000</v>
      </c>
      <c r="DV65" s="228">
        <v>850</v>
      </c>
      <c r="DW65" s="228">
        <v>0.4</v>
      </c>
      <c r="DX65" s="228">
        <v>0.25</v>
      </c>
      <c r="DY65" s="228">
        <v>0.15</v>
      </c>
      <c r="DZ65" s="229">
        <v>0.6</v>
      </c>
      <c r="EA65" s="229">
        <v>5.9200000000000003E-2</v>
      </c>
      <c r="EB65" s="230">
        <v>803675</v>
      </c>
      <c r="EC65" s="229">
        <v>5.1999999999999998E-3</v>
      </c>
      <c r="ED65" s="229">
        <v>5.9200000000000003E-2</v>
      </c>
      <c r="EE65" s="228">
        <v>3.72</v>
      </c>
      <c r="EF65" s="229">
        <v>4.3E-3</v>
      </c>
      <c r="EG65" s="230">
        <v>1118962</v>
      </c>
      <c r="EH65" s="230">
        <v>1227639</v>
      </c>
      <c r="EI65" s="229">
        <v>-8.8499999999999995E-2</v>
      </c>
      <c r="EJ65" s="229">
        <v>0.68159999999999998</v>
      </c>
      <c r="EK65" s="228">
        <v>267.33999999999997</v>
      </c>
      <c r="EL65" s="228">
        <v>101.71</v>
      </c>
      <c r="EM65" s="228">
        <v>184.93</v>
      </c>
      <c r="EN65" s="228">
        <v>27.77</v>
      </c>
      <c r="EO65" s="228">
        <v>553.97</v>
      </c>
      <c r="EP65" s="231">
        <v>1122.1099999999999</v>
      </c>
      <c r="EQ65" s="228">
        <v>-568.15</v>
      </c>
      <c r="ER65" s="229">
        <v>-0.50629999999999997</v>
      </c>
      <c r="ES65" s="228">
        <v>626.9</v>
      </c>
      <c r="ET65" s="228">
        <v>261.69</v>
      </c>
      <c r="EU65" s="231">
        <v>1262.22</v>
      </c>
      <c r="EV65" s="231">
        <v>62490435</v>
      </c>
      <c r="EW65" s="231">
        <v>2150.81</v>
      </c>
      <c r="EX65" s="231">
        <v>2171.17</v>
      </c>
      <c r="EY65" s="228">
        <v>-20.36</v>
      </c>
      <c r="EZ65" s="229">
        <v>-9.4000000000000004E-3</v>
      </c>
      <c r="FA65" s="229">
        <v>0.38550000000000001</v>
      </c>
      <c r="FB65" s="227" t="s">
        <v>568</v>
      </c>
      <c r="FC65">
        <f t="shared" si="0"/>
        <v>75</v>
      </c>
    </row>
    <row r="66" spans="1:159" ht="17.25" thickBot="1" x14ac:dyDescent="0.3">
      <c r="A66" s="226">
        <v>46008</v>
      </c>
      <c r="B66" s="227" t="s">
        <v>193</v>
      </c>
      <c r="C66" s="227" t="s">
        <v>213</v>
      </c>
      <c r="D66" s="228">
        <v>3150</v>
      </c>
      <c r="E66" s="228">
        <v>13</v>
      </c>
      <c r="F66" s="228">
        <v>169.34</v>
      </c>
      <c r="G66" s="228">
        <v>168.97</v>
      </c>
      <c r="H66" s="228">
        <v>0.37</v>
      </c>
      <c r="I66" s="229">
        <v>2.2000000000000001E-3</v>
      </c>
      <c r="J66" s="228">
        <v>169.07</v>
      </c>
      <c r="K66" s="228">
        <v>168.32</v>
      </c>
      <c r="L66" s="228">
        <v>0.75</v>
      </c>
      <c r="M66" s="229">
        <v>4.4999999999999997E-3</v>
      </c>
      <c r="N66" s="228">
        <v>169.34</v>
      </c>
      <c r="O66" s="228">
        <v>168.97</v>
      </c>
      <c r="P66" s="228">
        <v>0.37</v>
      </c>
      <c r="Q66" s="229">
        <v>2.2000000000000001E-3</v>
      </c>
      <c r="R66" s="228">
        <v>170.31</v>
      </c>
      <c r="S66" s="228">
        <v>169.98</v>
      </c>
      <c r="T66" s="228">
        <v>0.33</v>
      </c>
      <c r="U66" s="229">
        <v>1.9E-3</v>
      </c>
      <c r="V66" s="228">
        <v>170.9</v>
      </c>
      <c r="W66" s="228">
        <v>170.88</v>
      </c>
      <c r="X66" s="228">
        <v>0.02</v>
      </c>
      <c r="Y66" s="229">
        <v>1E-4</v>
      </c>
      <c r="Z66" s="228">
        <v>0.27</v>
      </c>
      <c r="AA66" s="228">
        <v>0.65</v>
      </c>
      <c r="AB66" s="228">
        <v>-0.38</v>
      </c>
      <c r="AC66" s="229">
        <v>1.6000000000000001E-3</v>
      </c>
      <c r="AD66" s="228">
        <v>0.27</v>
      </c>
      <c r="AE66" s="228">
        <v>0.65</v>
      </c>
      <c r="AF66" s="228">
        <v>-0.38</v>
      </c>
      <c r="AG66" s="229">
        <v>1.6000000000000001E-3</v>
      </c>
      <c r="AH66" s="228">
        <v>1.24</v>
      </c>
      <c r="AI66" s="228">
        <v>1.66</v>
      </c>
      <c r="AJ66" s="228">
        <v>-0.42</v>
      </c>
      <c r="AK66" s="229">
        <v>7.3000000000000001E-3</v>
      </c>
      <c r="AL66" s="228">
        <v>1.83</v>
      </c>
      <c r="AM66" s="228">
        <v>2.56</v>
      </c>
      <c r="AN66" s="228">
        <v>-0.73</v>
      </c>
      <c r="AO66" s="229">
        <v>1.0800000000000001E-2</v>
      </c>
      <c r="AP66" s="228">
        <v>169.63</v>
      </c>
      <c r="AQ66" s="228">
        <v>170.57</v>
      </c>
      <c r="AR66" s="228">
        <v>0</v>
      </c>
      <c r="AS66" s="228">
        <v>126</v>
      </c>
      <c r="AT66" s="228">
        <v>205</v>
      </c>
      <c r="AU66" s="228">
        <v>-79</v>
      </c>
      <c r="AV66" s="229">
        <v>-0.38590000000000002</v>
      </c>
      <c r="AW66" s="228">
        <v>110</v>
      </c>
      <c r="AX66" s="228">
        <v>153</v>
      </c>
      <c r="AY66" s="228">
        <v>-43</v>
      </c>
      <c r="AZ66" s="229">
        <v>-0.28089999999999998</v>
      </c>
      <c r="BA66" s="228">
        <v>14</v>
      </c>
      <c r="BB66" s="228">
        <v>48</v>
      </c>
      <c r="BC66" s="228">
        <v>-35</v>
      </c>
      <c r="BD66" s="229">
        <v>-0.7157</v>
      </c>
      <c r="BE66" s="228">
        <v>2</v>
      </c>
      <c r="BF66" s="228">
        <v>4</v>
      </c>
      <c r="BG66" s="228">
        <v>-2</v>
      </c>
      <c r="BH66" s="229">
        <v>-0.42109999999999997</v>
      </c>
      <c r="BI66" s="228">
        <v>414</v>
      </c>
      <c r="BJ66" s="228">
        <v>383</v>
      </c>
      <c r="BK66" s="228">
        <v>31</v>
      </c>
      <c r="BL66" s="229">
        <v>0.08</v>
      </c>
      <c r="BM66" s="228">
        <v>159</v>
      </c>
      <c r="BN66" s="228">
        <v>226</v>
      </c>
      <c r="BO66" s="228">
        <v>-67</v>
      </c>
      <c r="BP66" s="229">
        <v>-0.29580000000000001</v>
      </c>
      <c r="BQ66" s="228">
        <v>700</v>
      </c>
      <c r="BR66" s="228">
        <v>815</v>
      </c>
      <c r="BS66" s="228">
        <v>-115</v>
      </c>
      <c r="BT66" s="229">
        <v>-0.14169999999999999</v>
      </c>
      <c r="BU66" s="230">
        <v>3466200</v>
      </c>
      <c r="BV66" s="230">
        <v>7737597</v>
      </c>
      <c r="BW66" s="230">
        <v>-4271397</v>
      </c>
      <c r="BX66" s="229">
        <v>-0.55200000000000005</v>
      </c>
      <c r="BY66" s="230">
        <v>1684</v>
      </c>
      <c r="BZ66" s="230">
        <v>1697</v>
      </c>
      <c r="CA66" s="228">
        <v>-12</v>
      </c>
      <c r="CB66" s="229">
        <v>-7.3000000000000001E-3</v>
      </c>
      <c r="CC66" s="230">
        <v>1509</v>
      </c>
      <c r="CD66" s="230">
        <v>1524</v>
      </c>
      <c r="CE66" s="228">
        <v>-15</v>
      </c>
      <c r="CF66" s="229">
        <v>-9.7999999999999997E-3</v>
      </c>
      <c r="CG66" s="228">
        <v>154</v>
      </c>
      <c r="CH66" s="228">
        <v>152</v>
      </c>
      <c r="CI66" s="228">
        <v>3</v>
      </c>
      <c r="CJ66" s="229">
        <v>1.8599999999999998E-2</v>
      </c>
      <c r="CK66" s="228">
        <v>21</v>
      </c>
      <c r="CL66" s="228">
        <v>21</v>
      </c>
      <c r="CM66" s="228">
        <v>0</v>
      </c>
      <c r="CN66" s="229">
        <v>-1.24E-2</v>
      </c>
      <c r="CO66" s="230">
        <v>1158</v>
      </c>
      <c r="CP66" s="230">
        <v>1180</v>
      </c>
      <c r="CQ66" s="228">
        <v>-21</v>
      </c>
      <c r="CR66" s="229">
        <v>-1.8100000000000002E-2</v>
      </c>
      <c r="CS66" s="228">
        <v>769</v>
      </c>
      <c r="CT66" s="228">
        <v>768</v>
      </c>
      <c r="CU66" s="228">
        <v>1</v>
      </c>
      <c r="CV66" s="229">
        <v>8.0000000000000004E-4</v>
      </c>
      <c r="CW66" s="230">
        <v>3612</v>
      </c>
      <c r="CX66" s="230">
        <v>3645</v>
      </c>
      <c r="CY66" s="228">
        <v>-33</v>
      </c>
      <c r="CZ66" s="229">
        <v>-9.1000000000000004E-3</v>
      </c>
      <c r="DA66" s="228">
        <v>23.5</v>
      </c>
      <c r="DB66" s="228">
        <v>23.1</v>
      </c>
      <c r="DC66" s="228">
        <v>0.4</v>
      </c>
      <c r="DD66" s="228">
        <v>0.4</v>
      </c>
      <c r="DE66" s="228">
        <v>34.51</v>
      </c>
      <c r="DF66" s="228">
        <v>34.6</v>
      </c>
      <c r="DG66" s="228">
        <v>-11.01</v>
      </c>
      <c r="DH66" s="228">
        <v>-0.09</v>
      </c>
      <c r="DI66" s="228">
        <v>23.98</v>
      </c>
      <c r="DJ66" s="228">
        <v>23.69</v>
      </c>
      <c r="DK66" s="228">
        <v>0.28999999999999998</v>
      </c>
      <c r="DL66" s="228">
        <v>0.28999999999999998</v>
      </c>
      <c r="DM66" s="228">
        <v>22.26</v>
      </c>
      <c r="DN66" s="228">
        <v>22.11</v>
      </c>
      <c r="DO66" s="228">
        <v>0.15</v>
      </c>
      <c r="DP66" s="228">
        <v>0.15</v>
      </c>
      <c r="DQ66" s="228">
        <v>0.66</v>
      </c>
      <c r="DR66" s="228">
        <v>0.65</v>
      </c>
      <c r="DS66" s="228">
        <v>0.01</v>
      </c>
      <c r="DT66" s="229">
        <v>1.54E-2</v>
      </c>
      <c r="DU66" s="228">
        <v>180</v>
      </c>
      <c r="DV66" s="228">
        <v>170</v>
      </c>
      <c r="DW66" s="228">
        <v>0.39</v>
      </c>
      <c r="DX66" s="228">
        <v>0.59</v>
      </c>
      <c r="DY66" s="228">
        <v>-0.2</v>
      </c>
      <c r="DZ66" s="229">
        <v>-0.33900000000000002</v>
      </c>
      <c r="EA66" s="229">
        <v>0.1043</v>
      </c>
      <c r="EB66" s="230">
        <v>10221750</v>
      </c>
      <c r="EC66" s="229">
        <v>5.7000000000000002E-3</v>
      </c>
      <c r="ED66" s="229">
        <v>0.1043</v>
      </c>
      <c r="EE66" s="228">
        <v>0.94</v>
      </c>
      <c r="EF66" s="229">
        <v>5.4999999999999997E-3</v>
      </c>
      <c r="EG66" s="230">
        <v>1720862</v>
      </c>
      <c r="EH66" s="230">
        <v>5333955</v>
      </c>
      <c r="EI66" s="229">
        <v>-0.6774</v>
      </c>
      <c r="EJ66" s="229">
        <v>0.4965</v>
      </c>
      <c r="EK66" s="228">
        <v>435.09</v>
      </c>
      <c r="EL66" s="228">
        <v>158.47</v>
      </c>
      <c r="EM66" s="228">
        <v>126.32</v>
      </c>
      <c r="EN66" s="228">
        <v>42.94</v>
      </c>
      <c r="EO66" s="228">
        <v>719.87</v>
      </c>
      <c r="EP66" s="228">
        <v>829.9</v>
      </c>
      <c r="EQ66" s="228">
        <v>-110.03</v>
      </c>
      <c r="ER66" s="229">
        <v>-0.1326</v>
      </c>
      <c r="ES66" s="231">
        <v>1238.54</v>
      </c>
      <c r="ET66" s="228">
        <v>790.06</v>
      </c>
      <c r="EU66" s="231">
        <v>1685.52</v>
      </c>
      <c r="EV66" s="231">
        <v>402429848</v>
      </c>
      <c r="EW66" s="231">
        <v>3714.12</v>
      </c>
      <c r="EX66" s="231">
        <v>3747.38</v>
      </c>
      <c r="EY66" s="228">
        <v>-33.26</v>
      </c>
      <c r="EZ66" s="229">
        <v>-8.8999999999999999E-3</v>
      </c>
      <c r="FA66" s="229">
        <v>0.53</v>
      </c>
      <c r="FB66" s="227" t="s">
        <v>556</v>
      </c>
      <c r="FC66">
        <f t="shared" si="0"/>
        <v>175</v>
      </c>
    </row>
    <row r="67" spans="1:159" ht="17.25" thickBot="1" x14ac:dyDescent="0.3">
      <c r="A67" s="226">
        <v>46008</v>
      </c>
      <c r="B67" s="227" t="s">
        <v>170</v>
      </c>
      <c r="C67" s="227" t="s">
        <v>214</v>
      </c>
      <c r="D67" s="228">
        <v>375</v>
      </c>
      <c r="E67" s="228">
        <v>13</v>
      </c>
      <c r="F67" s="231">
        <v>1951.9</v>
      </c>
      <c r="G67" s="231">
        <v>1968</v>
      </c>
      <c r="H67" s="228">
        <v>-16.100000000000001</v>
      </c>
      <c r="I67" s="229">
        <v>-8.2000000000000007E-3</v>
      </c>
      <c r="J67" s="231">
        <v>1948.4</v>
      </c>
      <c r="K67" s="231">
        <v>1966.5</v>
      </c>
      <c r="L67" s="228">
        <v>-18.100000000000001</v>
      </c>
      <c r="M67" s="229">
        <v>-9.1999999999999998E-3</v>
      </c>
      <c r="N67" s="231">
        <v>1951.9</v>
      </c>
      <c r="O67" s="231">
        <v>1968</v>
      </c>
      <c r="P67" s="228">
        <v>-16.100000000000001</v>
      </c>
      <c r="Q67" s="229">
        <v>-8.2000000000000007E-3</v>
      </c>
      <c r="R67" s="231">
        <v>1964.3</v>
      </c>
      <c r="S67" s="231">
        <v>1980.1</v>
      </c>
      <c r="T67" s="228">
        <v>-15.8</v>
      </c>
      <c r="U67" s="229">
        <v>-8.0000000000000002E-3</v>
      </c>
      <c r="V67" s="231">
        <v>1981</v>
      </c>
      <c r="W67" s="231">
        <v>1993.5</v>
      </c>
      <c r="X67" s="228">
        <v>-12.5</v>
      </c>
      <c r="Y67" s="229">
        <v>-6.3E-3</v>
      </c>
      <c r="Z67" s="228">
        <v>3.5</v>
      </c>
      <c r="AA67" s="228">
        <v>1.5</v>
      </c>
      <c r="AB67" s="228">
        <v>2</v>
      </c>
      <c r="AC67" s="229">
        <v>1.8E-3</v>
      </c>
      <c r="AD67" s="228">
        <v>3.5</v>
      </c>
      <c r="AE67" s="228">
        <v>1.5</v>
      </c>
      <c r="AF67" s="228">
        <v>2</v>
      </c>
      <c r="AG67" s="229">
        <v>1.8E-3</v>
      </c>
      <c r="AH67" s="228">
        <v>15.9</v>
      </c>
      <c r="AI67" s="228">
        <v>13.6</v>
      </c>
      <c r="AJ67" s="228">
        <v>2.2999999999999998</v>
      </c>
      <c r="AK67" s="229">
        <v>8.2000000000000007E-3</v>
      </c>
      <c r="AL67" s="228">
        <v>32.6</v>
      </c>
      <c r="AM67" s="228">
        <v>27</v>
      </c>
      <c r="AN67" s="228">
        <v>5.6</v>
      </c>
      <c r="AO67" s="229">
        <v>1.67E-2</v>
      </c>
      <c r="AP67" s="231">
        <v>1957.45</v>
      </c>
      <c r="AQ67" s="231">
        <v>1967.37</v>
      </c>
      <c r="AR67" s="228">
        <v>0</v>
      </c>
      <c r="AS67" s="228">
        <v>270</v>
      </c>
      <c r="AT67" s="228">
        <v>267</v>
      </c>
      <c r="AU67" s="228">
        <v>3</v>
      </c>
      <c r="AV67" s="229">
        <v>1.15E-2</v>
      </c>
      <c r="AW67" s="228">
        <v>249</v>
      </c>
      <c r="AX67" s="228">
        <v>246</v>
      </c>
      <c r="AY67" s="228">
        <v>3</v>
      </c>
      <c r="AZ67" s="229">
        <v>1.04E-2</v>
      </c>
      <c r="BA67" s="228">
        <v>21</v>
      </c>
      <c r="BB67" s="228">
        <v>20</v>
      </c>
      <c r="BC67" s="228">
        <v>1</v>
      </c>
      <c r="BD67" s="229">
        <v>3.2099999999999997E-2</v>
      </c>
      <c r="BE67" s="228">
        <v>1</v>
      </c>
      <c r="BF67" s="228">
        <v>1</v>
      </c>
      <c r="BG67" s="228">
        <v>0</v>
      </c>
      <c r="BH67" s="229">
        <v>-0.18179999999999999</v>
      </c>
      <c r="BI67" s="228">
        <v>685</v>
      </c>
      <c r="BJ67" s="228">
        <v>524</v>
      </c>
      <c r="BK67" s="228">
        <v>161</v>
      </c>
      <c r="BL67" s="229">
        <v>0.30649999999999999</v>
      </c>
      <c r="BM67" s="228">
        <v>332</v>
      </c>
      <c r="BN67" s="228">
        <v>341</v>
      </c>
      <c r="BO67" s="228">
        <v>-10</v>
      </c>
      <c r="BP67" s="229">
        <v>-2.8500000000000001E-2</v>
      </c>
      <c r="BQ67" s="230">
        <v>1287</v>
      </c>
      <c r="BR67" s="230">
        <v>1133</v>
      </c>
      <c r="BS67" s="228">
        <v>154</v>
      </c>
      <c r="BT67" s="229">
        <v>0.13589999999999999</v>
      </c>
      <c r="BU67" s="230">
        <v>290956</v>
      </c>
      <c r="BV67" s="230">
        <v>512530</v>
      </c>
      <c r="BW67" s="230">
        <v>-221574</v>
      </c>
      <c r="BX67" s="229">
        <v>-0.43230000000000002</v>
      </c>
      <c r="BY67" s="230">
        <v>2841</v>
      </c>
      <c r="BZ67" s="230">
        <v>2824</v>
      </c>
      <c r="CA67" s="228">
        <v>17</v>
      </c>
      <c r="CB67" s="229">
        <v>6.1000000000000004E-3</v>
      </c>
      <c r="CC67" s="230">
        <v>2783</v>
      </c>
      <c r="CD67" s="230">
        <v>2775</v>
      </c>
      <c r="CE67" s="228">
        <v>8</v>
      </c>
      <c r="CF67" s="229">
        <v>2.8999999999999998E-3</v>
      </c>
      <c r="CG67" s="228">
        <v>53</v>
      </c>
      <c r="CH67" s="228">
        <v>44</v>
      </c>
      <c r="CI67" s="228">
        <v>9</v>
      </c>
      <c r="CJ67" s="229">
        <v>0.2026</v>
      </c>
      <c r="CK67" s="228">
        <v>4</v>
      </c>
      <c r="CL67" s="228">
        <v>4</v>
      </c>
      <c r="CM67" s="228">
        <v>0</v>
      </c>
      <c r="CN67" s="229">
        <v>7.2700000000000001E-2</v>
      </c>
      <c r="CO67" s="228">
        <v>818</v>
      </c>
      <c r="CP67" s="228">
        <v>817</v>
      </c>
      <c r="CQ67" s="228">
        <v>2</v>
      </c>
      <c r="CR67" s="229">
        <v>2.3999999999999998E-3</v>
      </c>
      <c r="CS67" s="228">
        <v>587</v>
      </c>
      <c r="CT67" s="228">
        <v>600</v>
      </c>
      <c r="CU67" s="228">
        <v>-13</v>
      </c>
      <c r="CV67" s="229">
        <v>-2.2100000000000002E-2</v>
      </c>
      <c r="CW67" s="230">
        <v>4246</v>
      </c>
      <c r="CX67" s="230">
        <v>4240</v>
      </c>
      <c r="CY67" s="228">
        <v>6</v>
      </c>
      <c r="CZ67" s="229">
        <v>1.4E-3</v>
      </c>
      <c r="DA67" s="228">
        <v>23.41</v>
      </c>
      <c r="DB67" s="228">
        <v>24.02</v>
      </c>
      <c r="DC67" s="228">
        <v>-0.61</v>
      </c>
      <c r="DD67" s="228">
        <v>-0.61</v>
      </c>
      <c r="DE67" s="228">
        <v>35.950000000000003</v>
      </c>
      <c r="DF67" s="228">
        <v>36.020000000000003</v>
      </c>
      <c r="DG67" s="228">
        <v>-12.54</v>
      </c>
      <c r="DH67" s="228">
        <v>-7.0000000000000007E-2</v>
      </c>
      <c r="DI67" s="228">
        <v>23.62</v>
      </c>
      <c r="DJ67" s="228">
        <v>24.31</v>
      </c>
      <c r="DK67" s="228">
        <v>-0.69</v>
      </c>
      <c r="DL67" s="228">
        <v>-0.69</v>
      </c>
      <c r="DM67" s="228">
        <v>22.97</v>
      </c>
      <c r="DN67" s="228">
        <v>23.57</v>
      </c>
      <c r="DO67" s="228">
        <v>-0.6</v>
      </c>
      <c r="DP67" s="228">
        <v>-0.6</v>
      </c>
      <c r="DQ67" s="228">
        <v>0.72</v>
      </c>
      <c r="DR67" s="228">
        <v>0.73</v>
      </c>
      <c r="DS67" s="228">
        <v>-0.01</v>
      </c>
      <c r="DT67" s="229">
        <v>-1.37E-2</v>
      </c>
      <c r="DU67" s="231">
        <v>2000</v>
      </c>
      <c r="DV67" s="231">
        <v>1900</v>
      </c>
      <c r="DW67" s="228">
        <v>0.48</v>
      </c>
      <c r="DX67" s="228">
        <v>0.65</v>
      </c>
      <c r="DY67" s="228">
        <v>-0.17</v>
      </c>
      <c r="DZ67" s="229">
        <v>-0.26150000000000001</v>
      </c>
      <c r="EA67" s="229">
        <v>2.0299999999999999E-2</v>
      </c>
      <c r="EB67" s="230">
        <v>248250</v>
      </c>
      <c r="EC67" s="229">
        <v>6.4000000000000003E-3</v>
      </c>
      <c r="ED67" s="229">
        <v>2.0299999999999999E-2</v>
      </c>
      <c r="EE67" s="228">
        <v>9.92</v>
      </c>
      <c r="EF67" s="229">
        <v>5.1000000000000004E-3</v>
      </c>
      <c r="EG67" s="230">
        <v>111160</v>
      </c>
      <c r="EH67" s="230">
        <v>269277</v>
      </c>
      <c r="EI67" s="229">
        <v>-0.58720000000000006</v>
      </c>
      <c r="EJ67" s="229">
        <v>0.3821</v>
      </c>
      <c r="EK67" s="228">
        <v>709.34</v>
      </c>
      <c r="EL67" s="228">
        <v>334.18</v>
      </c>
      <c r="EM67" s="228">
        <v>271.33999999999997</v>
      </c>
      <c r="EN67" s="228">
        <v>37.229999999999997</v>
      </c>
      <c r="EO67" s="231">
        <v>1314.86</v>
      </c>
      <c r="EP67" s="231">
        <v>1160.28</v>
      </c>
      <c r="EQ67" s="228">
        <v>154.58000000000001</v>
      </c>
      <c r="ER67" s="229">
        <v>0.13320000000000001</v>
      </c>
      <c r="ES67" s="228">
        <v>838.71</v>
      </c>
      <c r="ET67" s="228">
        <v>567.28</v>
      </c>
      <c r="EU67" s="231">
        <v>2841.22</v>
      </c>
      <c r="EV67" s="231">
        <v>22585180</v>
      </c>
      <c r="EW67" s="231">
        <v>4247.21</v>
      </c>
      <c r="EX67" s="231">
        <v>4265.29</v>
      </c>
      <c r="EY67" s="228">
        <v>-18.079999999999998</v>
      </c>
      <c r="EZ67" s="229">
        <v>-4.1999999999999997E-3</v>
      </c>
      <c r="FA67" s="229">
        <v>0.96319999999999995</v>
      </c>
      <c r="FB67" s="227" t="s">
        <v>567</v>
      </c>
      <c r="FC67">
        <f t="shared" ref="FC67:FC130" si="1">BY67-CC67</f>
        <v>58</v>
      </c>
    </row>
    <row r="68" spans="1:159" ht="17.25" thickBot="1" x14ac:dyDescent="0.3">
      <c r="A68" s="226">
        <v>46008</v>
      </c>
      <c r="B68" s="227" t="s">
        <v>215</v>
      </c>
      <c r="C68" s="227" t="s">
        <v>631</v>
      </c>
      <c r="D68" s="228">
        <v>6975</v>
      </c>
      <c r="E68" s="228">
        <v>13</v>
      </c>
      <c r="F68" s="228">
        <v>101.13</v>
      </c>
      <c r="G68" s="228">
        <v>103.61</v>
      </c>
      <c r="H68" s="228">
        <v>-2.48</v>
      </c>
      <c r="I68" s="229">
        <v>-2.3900000000000001E-2</v>
      </c>
      <c r="J68" s="228">
        <v>100.95</v>
      </c>
      <c r="K68" s="228">
        <v>103.52</v>
      </c>
      <c r="L68" s="228">
        <v>-2.57</v>
      </c>
      <c r="M68" s="229">
        <v>-2.4799999999999999E-2</v>
      </c>
      <c r="N68" s="228">
        <v>101.13</v>
      </c>
      <c r="O68" s="228">
        <v>103.61</v>
      </c>
      <c r="P68" s="228">
        <v>-2.48</v>
      </c>
      <c r="Q68" s="229">
        <v>-2.3900000000000001E-2</v>
      </c>
      <c r="R68" s="228">
        <v>101.77</v>
      </c>
      <c r="S68" s="228">
        <v>104.15</v>
      </c>
      <c r="T68" s="228">
        <v>-2.38</v>
      </c>
      <c r="U68" s="229">
        <v>-2.29E-2</v>
      </c>
      <c r="V68" s="228">
        <v>102.09</v>
      </c>
      <c r="W68" s="228">
        <v>104.65</v>
      </c>
      <c r="X68" s="228">
        <v>-2.56</v>
      </c>
      <c r="Y68" s="229">
        <v>-2.4500000000000001E-2</v>
      </c>
      <c r="Z68" s="228">
        <v>0.18</v>
      </c>
      <c r="AA68" s="228">
        <v>0.09</v>
      </c>
      <c r="AB68" s="228">
        <v>0.09</v>
      </c>
      <c r="AC68" s="229">
        <v>1.8E-3</v>
      </c>
      <c r="AD68" s="228">
        <v>0.18</v>
      </c>
      <c r="AE68" s="228">
        <v>0.09</v>
      </c>
      <c r="AF68" s="228">
        <v>0.09</v>
      </c>
      <c r="AG68" s="229">
        <v>1.8E-3</v>
      </c>
      <c r="AH68" s="228">
        <v>0.82</v>
      </c>
      <c r="AI68" s="228">
        <v>0.63</v>
      </c>
      <c r="AJ68" s="228">
        <v>0.19</v>
      </c>
      <c r="AK68" s="229">
        <v>8.0999999999999996E-3</v>
      </c>
      <c r="AL68" s="228">
        <v>1.1399999999999999</v>
      </c>
      <c r="AM68" s="228">
        <v>1.1299999999999999</v>
      </c>
      <c r="AN68" s="228">
        <v>0.01</v>
      </c>
      <c r="AO68" s="229">
        <v>1.1299999999999999E-2</v>
      </c>
      <c r="AP68" s="228">
        <v>101.82</v>
      </c>
      <c r="AQ68" s="228">
        <v>102.58</v>
      </c>
      <c r="AR68" s="228">
        <v>0</v>
      </c>
      <c r="AS68" s="228">
        <v>299</v>
      </c>
      <c r="AT68" s="228">
        <v>379</v>
      </c>
      <c r="AU68" s="228">
        <v>-79</v>
      </c>
      <c r="AV68" s="229">
        <v>-0.20960000000000001</v>
      </c>
      <c r="AW68" s="228">
        <v>244</v>
      </c>
      <c r="AX68" s="228">
        <v>307</v>
      </c>
      <c r="AY68" s="228">
        <v>-63</v>
      </c>
      <c r="AZ68" s="229">
        <v>-0.2041</v>
      </c>
      <c r="BA68" s="228">
        <v>50</v>
      </c>
      <c r="BB68" s="228">
        <v>68</v>
      </c>
      <c r="BC68" s="228">
        <v>-18</v>
      </c>
      <c r="BD68" s="229">
        <v>-0.2601</v>
      </c>
      <c r="BE68" s="228">
        <v>5</v>
      </c>
      <c r="BF68" s="228">
        <v>4</v>
      </c>
      <c r="BG68" s="228">
        <v>1</v>
      </c>
      <c r="BH68" s="229">
        <v>0.2281</v>
      </c>
      <c r="BI68" s="230">
        <v>1304</v>
      </c>
      <c r="BJ68" s="230">
        <v>1473</v>
      </c>
      <c r="BK68" s="228">
        <v>-169</v>
      </c>
      <c r="BL68" s="229">
        <v>-0.1145</v>
      </c>
      <c r="BM68" s="228">
        <v>604</v>
      </c>
      <c r="BN68" s="228">
        <v>591</v>
      </c>
      <c r="BO68" s="228">
        <v>12</v>
      </c>
      <c r="BP68" s="229">
        <v>2.0899999999999998E-2</v>
      </c>
      <c r="BQ68" s="230">
        <v>2207</v>
      </c>
      <c r="BR68" s="230">
        <v>2443</v>
      </c>
      <c r="BS68" s="228">
        <v>-236</v>
      </c>
      <c r="BT68" s="229">
        <v>-9.6500000000000002E-2</v>
      </c>
      <c r="BU68" s="230">
        <v>11526107</v>
      </c>
      <c r="BV68" s="230">
        <v>13369715</v>
      </c>
      <c r="BW68" s="230">
        <v>-1843608</v>
      </c>
      <c r="BX68" s="229">
        <v>-0.13789999999999999</v>
      </c>
      <c r="BY68" s="230">
        <v>1753</v>
      </c>
      <c r="BZ68" s="230">
        <v>1788</v>
      </c>
      <c r="CA68" s="228">
        <v>-36</v>
      </c>
      <c r="CB68" s="229">
        <v>-1.9900000000000001E-2</v>
      </c>
      <c r="CC68" s="230">
        <v>1566</v>
      </c>
      <c r="CD68" s="230">
        <v>1620</v>
      </c>
      <c r="CE68" s="228">
        <v>-54</v>
      </c>
      <c r="CF68" s="229">
        <v>-3.3599999999999998E-2</v>
      </c>
      <c r="CG68" s="228">
        <v>162</v>
      </c>
      <c r="CH68" s="228">
        <v>143</v>
      </c>
      <c r="CI68" s="228">
        <v>19</v>
      </c>
      <c r="CJ68" s="229">
        <v>0.13500000000000001</v>
      </c>
      <c r="CK68" s="228">
        <v>24</v>
      </c>
      <c r="CL68" s="228">
        <v>25</v>
      </c>
      <c r="CM68" s="228">
        <v>0</v>
      </c>
      <c r="CN68" s="229">
        <v>-1.9800000000000002E-2</v>
      </c>
      <c r="CO68" s="230">
        <v>1517</v>
      </c>
      <c r="CP68" s="230">
        <v>1464</v>
      </c>
      <c r="CQ68" s="228">
        <v>54</v>
      </c>
      <c r="CR68" s="229">
        <v>3.6700000000000003E-2</v>
      </c>
      <c r="CS68" s="228">
        <v>826</v>
      </c>
      <c r="CT68" s="228">
        <v>814</v>
      </c>
      <c r="CU68" s="228">
        <v>13</v>
      </c>
      <c r="CV68" s="229">
        <v>1.5599999999999999E-2</v>
      </c>
      <c r="CW68" s="230">
        <v>4097</v>
      </c>
      <c r="CX68" s="230">
        <v>4066</v>
      </c>
      <c r="CY68" s="228">
        <v>31</v>
      </c>
      <c r="CZ68" s="229">
        <v>7.6E-3</v>
      </c>
      <c r="DA68" s="228">
        <v>28.38</v>
      </c>
      <c r="DB68" s="228">
        <v>29.25</v>
      </c>
      <c r="DC68" s="228">
        <v>-0.87</v>
      </c>
      <c r="DD68" s="228">
        <v>-0.87</v>
      </c>
      <c r="DE68" s="228">
        <v>37.19</v>
      </c>
      <c r="DF68" s="228">
        <v>37.14</v>
      </c>
      <c r="DG68" s="228">
        <v>-8.81</v>
      </c>
      <c r="DH68" s="228">
        <v>0.05</v>
      </c>
      <c r="DI68" s="228">
        <v>29.75</v>
      </c>
      <c r="DJ68" s="228">
        <v>30.22</v>
      </c>
      <c r="DK68" s="228">
        <v>-0.47</v>
      </c>
      <c r="DL68" s="228">
        <v>-0.47</v>
      </c>
      <c r="DM68" s="228">
        <v>25.43</v>
      </c>
      <c r="DN68" s="228">
        <v>26.81</v>
      </c>
      <c r="DO68" s="228">
        <v>-1.38</v>
      </c>
      <c r="DP68" s="228">
        <v>-1.38</v>
      </c>
      <c r="DQ68" s="228">
        <v>0.54</v>
      </c>
      <c r="DR68" s="228">
        <v>0.56000000000000005</v>
      </c>
      <c r="DS68" s="228">
        <v>-0.02</v>
      </c>
      <c r="DT68" s="229">
        <v>-3.5700000000000003E-2</v>
      </c>
      <c r="DU68" s="228">
        <v>110</v>
      </c>
      <c r="DV68" s="228">
        <v>97</v>
      </c>
      <c r="DW68" s="228">
        <v>0.46</v>
      </c>
      <c r="DX68" s="228">
        <v>0.4</v>
      </c>
      <c r="DY68" s="228">
        <v>0.06</v>
      </c>
      <c r="DZ68" s="229">
        <v>0.15</v>
      </c>
      <c r="EA68" s="229">
        <v>0.1066</v>
      </c>
      <c r="EB68" s="230">
        <v>16614450</v>
      </c>
      <c r="EC68" s="229">
        <v>6.3E-3</v>
      </c>
      <c r="ED68" s="229">
        <v>0.1066</v>
      </c>
      <c r="EE68" s="228">
        <v>0.76</v>
      </c>
      <c r="EF68" s="229">
        <v>7.4999999999999997E-3</v>
      </c>
      <c r="EG68" s="230">
        <v>5082304</v>
      </c>
      <c r="EH68" s="230">
        <v>5043983</v>
      </c>
      <c r="EI68" s="229">
        <v>7.6E-3</v>
      </c>
      <c r="EJ68" s="229">
        <v>0.44090000000000001</v>
      </c>
      <c r="EK68" s="231">
        <v>1388.57</v>
      </c>
      <c r="EL68" s="228">
        <v>603.11</v>
      </c>
      <c r="EM68" s="228">
        <v>301.75</v>
      </c>
      <c r="EN68" s="228">
        <v>68.11</v>
      </c>
      <c r="EO68" s="231">
        <v>2293.4299999999998</v>
      </c>
      <c r="EP68" s="231">
        <v>2580.9899999999998</v>
      </c>
      <c r="EQ68" s="228">
        <v>-287.56</v>
      </c>
      <c r="ER68" s="229">
        <v>-0.1114</v>
      </c>
      <c r="ES68" s="231">
        <v>1616.12</v>
      </c>
      <c r="ET68" s="228">
        <v>818.6</v>
      </c>
      <c r="EU68" s="231">
        <v>1753.99</v>
      </c>
      <c r="EV68" s="231">
        <v>534704421</v>
      </c>
      <c r="EW68" s="231">
        <v>4188.7</v>
      </c>
      <c r="EX68" s="231">
        <v>4203.18</v>
      </c>
      <c r="EY68" s="228">
        <v>-14.48</v>
      </c>
      <c r="EZ68" s="229">
        <v>-3.3999999999999998E-3</v>
      </c>
      <c r="FA68" s="229">
        <v>0.75760000000000005</v>
      </c>
      <c r="FB68" s="227" t="s">
        <v>568</v>
      </c>
      <c r="FC68">
        <f t="shared" si="1"/>
        <v>187</v>
      </c>
    </row>
    <row r="69" spans="1:159" ht="17.25" thickBot="1" x14ac:dyDescent="0.3">
      <c r="A69" s="226">
        <v>46008</v>
      </c>
      <c r="B69" s="227" t="s">
        <v>168</v>
      </c>
      <c r="C69" s="227" t="s">
        <v>217</v>
      </c>
      <c r="D69" s="228">
        <v>500</v>
      </c>
      <c r="E69" s="228">
        <v>13</v>
      </c>
      <c r="F69" s="231">
        <v>1180.5</v>
      </c>
      <c r="G69" s="231">
        <v>1184.2</v>
      </c>
      <c r="H69" s="228">
        <v>-3.7</v>
      </c>
      <c r="I69" s="229">
        <v>-3.0999999999999999E-3</v>
      </c>
      <c r="J69" s="231">
        <v>1179.7</v>
      </c>
      <c r="K69" s="231">
        <v>1182.4000000000001</v>
      </c>
      <c r="L69" s="228">
        <v>-2.7</v>
      </c>
      <c r="M69" s="229">
        <v>-2.3E-3</v>
      </c>
      <c r="N69" s="231">
        <v>1180.5</v>
      </c>
      <c r="O69" s="231">
        <v>1184.2</v>
      </c>
      <c r="P69" s="228">
        <v>-3.7</v>
      </c>
      <c r="Q69" s="229">
        <v>-3.0999999999999999E-3</v>
      </c>
      <c r="R69" s="231">
        <v>1187</v>
      </c>
      <c r="S69" s="231">
        <v>1190.5999999999999</v>
      </c>
      <c r="T69" s="228">
        <v>-3.6</v>
      </c>
      <c r="U69" s="229">
        <v>-3.0000000000000001E-3</v>
      </c>
      <c r="V69" s="231">
        <v>1189</v>
      </c>
      <c r="W69" s="231">
        <v>1193.5999999999999</v>
      </c>
      <c r="X69" s="228">
        <v>-4.5999999999999996</v>
      </c>
      <c r="Y69" s="229">
        <v>-3.8999999999999998E-3</v>
      </c>
      <c r="Z69" s="228">
        <v>0.8</v>
      </c>
      <c r="AA69" s="228">
        <v>1.8</v>
      </c>
      <c r="AB69" s="228">
        <v>-1</v>
      </c>
      <c r="AC69" s="229">
        <v>6.9999999999999999E-4</v>
      </c>
      <c r="AD69" s="228">
        <v>0.8</v>
      </c>
      <c r="AE69" s="228">
        <v>1.8</v>
      </c>
      <c r="AF69" s="228">
        <v>-1</v>
      </c>
      <c r="AG69" s="229">
        <v>6.9999999999999999E-4</v>
      </c>
      <c r="AH69" s="228">
        <v>7.3</v>
      </c>
      <c r="AI69" s="228">
        <v>8.1999999999999993</v>
      </c>
      <c r="AJ69" s="228">
        <v>-0.9</v>
      </c>
      <c r="AK69" s="229">
        <v>6.1999999999999998E-3</v>
      </c>
      <c r="AL69" s="228">
        <v>9.3000000000000007</v>
      </c>
      <c r="AM69" s="228">
        <v>11.2</v>
      </c>
      <c r="AN69" s="228">
        <v>-1.9</v>
      </c>
      <c r="AO69" s="229">
        <v>7.9000000000000008E-3</v>
      </c>
      <c r="AP69" s="231">
        <v>1182.69</v>
      </c>
      <c r="AQ69" s="231">
        <v>1190.25</v>
      </c>
      <c r="AR69" s="228">
        <v>0</v>
      </c>
      <c r="AS69" s="228">
        <v>112</v>
      </c>
      <c r="AT69" s="228">
        <v>371</v>
      </c>
      <c r="AU69" s="228">
        <v>-259</v>
      </c>
      <c r="AV69" s="229">
        <v>-0.69850000000000001</v>
      </c>
      <c r="AW69" s="228">
        <v>103</v>
      </c>
      <c r="AX69" s="228">
        <v>345</v>
      </c>
      <c r="AY69" s="228">
        <v>-242</v>
      </c>
      <c r="AZ69" s="229">
        <v>-0.70250000000000001</v>
      </c>
      <c r="BA69" s="228">
        <v>9</v>
      </c>
      <c r="BB69" s="228">
        <v>24</v>
      </c>
      <c r="BC69" s="228">
        <v>-15</v>
      </c>
      <c r="BD69" s="229">
        <v>-0.62949999999999995</v>
      </c>
      <c r="BE69" s="228">
        <v>0</v>
      </c>
      <c r="BF69" s="228">
        <v>2</v>
      </c>
      <c r="BG69" s="228">
        <v>-2</v>
      </c>
      <c r="BH69" s="229">
        <v>-0.85289999999999999</v>
      </c>
      <c r="BI69" s="228">
        <v>307</v>
      </c>
      <c r="BJ69" s="230">
        <v>2452</v>
      </c>
      <c r="BK69" s="230">
        <v>-2145</v>
      </c>
      <c r="BL69" s="229">
        <v>-0.87470000000000003</v>
      </c>
      <c r="BM69" s="228">
        <v>150</v>
      </c>
      <c r="BN69" s="228">
        <v>904</v>
      </c>
      <c r="BO69" s="228">
        <v>-754</v>
      </c>
      <c r="BP69" s="229">
        <v>-0.83430000000000004</v>
      </c>
      <c r="BQ69" s="228">
        <v>569</v>
      </c>
      <c r="BR69" s="230">
        <v>3727</v>
      </c>
      <c r="BS69" s="230">
        <v>-3158</v>
      </c>
      <c r="BT69" s="229">
        <v>-0.84740000000000004</v>
      </c>
      <c r="BU69" s="230">
        <v>952482</v>
      </c>
      <c r="BV69" s="230">
        <v>2255087</v>
      </c>
      <c r="BW69" s="230">
        <v>-1302605</v>
      </c>
      <c r="BX69" s="229">
        <v>-0.5776</v>
      </c>
      <c r="BY69" s="230">
        <v>1097</v>
      </c>
      <c r="BZ69" s="230">
        <v>1105</v>
      </c>
      <c r="CA69" s="228">
        <v>-8</v>
      </c>
      <c r="CB69" s="229">
        <v>-7.1999999999999998E-3</v>
      </c>
      <c r="CC69" s="230">
        <v>1070</v>
      </c>
      <c r="CD69" s="230">
        <v>1082</v>
      </c>
      <c r="CE69" s="228">
        <v>-12</v>
      </c>
      <c r="CF69" s="229">
        <v>-1.14E-2</v>
      </c>
      <c r="CG69" s="228">
        <v>25</v>
      </c>
      <c r="CH69" s="228">
        <v>21</v>
      </c>
      <c r="CI69" s="228">
        <v>4</v>
      </c>
      <c r="CJ69" s="229">
        <v>0.2107</v>
      </c>
      <c r="CK69" s="228">
        <v>1</v>
      </c>
      <c r="CL69" s="228">
        <v>2</v>
      </c>
      <c r="CM69" s="228">
        <v>0</v>
      </c>
      <c r="CN69" s="229">
        <v>-3.85E-2</v>
      </c>
      <c r="CO69" s="228">
        <v>353</v>
      </c>
      <c r="CP69" s="228">
        <v>357</v>
      </c>
      <c r="CQ69" s="228">
        <v>-4</v>
      </c>
      <c r="CR69" s="229">
        <v>-1.06E-2</v>
      </c>
      <c r="CS69" s="228">
        <v>228</v>
      </c>
      <c r="CT69" s="228">
        <v>241</v>
      </c>
      <c r="CU69" s="228">
        <v>-13</v>
      </c>
      <c r="CV69" s="229">
        <v>-5.5300000000000002E-2</v>
      </c>
      <c r="CW69" s="230">
        <v>1678</v>
      </c>
      <c r="CX69" s="230">
        <v>1703</v>
      </c>
      <c r="CY69" s="228">
        <v>-25</v>
      </c>
      <c r="CZ69" s="229">
        <v>-1.47E-2</v>
      </c>
      <c r="DA69" s="228">
        <v>21.28</v>
      </c>
      <c r="DB69" s="228">
        <v>21.12</v>
      </c>
      <c r="DC69" s="228">
        <v>0.16</v>
      </c>
      <c r="DD69" s="228">
        <v>0.16</v>
      </c>
      <c r="DE69" s="228">
        <v>28.86</v>
      </c>
      <c r="DF69" s="228">
        <v>28.93</v>
      </c>
      <c r="DG69" s="228">
        <v>-7.58</v>
      </c>
      <c r="DH69" s="228">
        <v>-7.0000000000000007E-2</v>
      </c>
      <c r="DI69" s="228">
        <v>20.99</v>
      </c>
      <c r="DJ69" s="228">
        <v>21.2</v>
      </c>
      <c r="DK69" s="228">
        <v>-0.21</v>
      </c>
      <c r="DL69" s="228">
        <v>-0.21</v>
      </c>
      <c r="DM69" s="228">
        <v>21.87</v>
      </c>
      <c r="DN69" s="228">
        <v>20.89</v>
      </c>
      <c r="DO69" s="228">
        <v>0.98</v>
      </c>
      <c r="DP69" s="228">
        <v>0.98</v>
      </c>
      <c r="DQ69" s="228">
        <v>0.64</v>
      </c>
      <c r="DR69" s="228">
        <v>0.68</v>
      </c>
      <c r="DS69" s="228">
        <v>-0.04</v>
      </c>
      <c r="DT69" s="229">
        <v>-5.8799999999999998E-2</v>
      </c>
      <c r="DU69" s="231">
        <v>1200</v>
      </c>
      <c r="DV69" s="231">
        <v>1140</v>
      </c>
      <c r="DW69" s="228">
        <v>0.49</v>
      </c>
      <c r="DX69" s="228">
        <v>0.37</v>
      </c>
      <c r="DY69" s="228">
        <v>0.12</v>
      </c>
      <c r="DZ69" s="229">
        <v>0.32429999999999998</v>
      </c>
      <c r="EA69" s="229">
        <v>2.4500000000000001E-2</v>
      </c>
      <c r="EB69" s="230">
        <v>191000</v>
      </c>
      <c r="EC69" s="229">
        <v>5.4999999999999997E-3</v>
      </c>
      <c r="ED69" s="229">
        <v>2.4500000000000001E-2</v>
      </c>
      <c r="EE69" s="228">
        <v>7.56</v>
      </c>
      <c r="EF69" s="229">
        <v>6.4000000000000003E-3</v>
      </c>
      <c r="EG69" s="230">
        <v>665268</v>
      </c>
      <c r="EH69" s="230">
        <v>1169725</v>
      </c>
      <c r="EI69" s="229">
        <v>-0.43130000000000002</v>
      </c>
      <c r="EJ69" s="229">
        <v>0.69850000000000001</v>
      </c>
      <c r="EK69" s="228">
        <v>318.62</v>
      </c>
      <c r="EL69" s="228">
        <v>146.21</v>
      </c>
      <c r="EM69" s="228">
        <v>112.12</v>
      </c>
      <c r="EN69" s="228">
        <v>36.020000000000003</v>
      </c>
      <c r="EO69" s="228">
        <v>576.95000000000005</v>
      </c>
      <c r="EP69" s="231">
        <v>3809.51</v>
      </c>
      <c r="EQ69" s="231">
        <v>-3232.55</v>
      </c>
      <c r="ER69" s="229">
        <v>-0.84850000000000003</v>
      </c>
      <c r="ES69" s="228">
        <v>364.31</v>
      </c>
      <c r="ET69" s="228">
        <v>215.64</v>
      </c>
      <c r="EU69" s="231">
        <v>1096.72</v>
      </c>
      <c r="EV69" s="231">
        <v>58001204</v>
      </c>
      <c r="EW69" s="231">
        <v>1676.67</v>
      </c>
      <c r="EX69" s="231">
        <v>1703.22</v>
      </c>
      <c r="EY69" s="228">
        <v>-26.55</v>
      </c>
      <c r="EZ69" s="229">
        <v>-1.5599999999999999E-2</v>
      </c>
      <c r="FA69" s="229">
        <v>0.245</v>
      </c>
      <c r="FB69" s="227" t="s">
        <v>568</v>
      </c>
      <c r="FC69">
        <f t="shared" si="1"/>
        <v>27</v>
      </c>
    </row>
    <row r="70" spans="1:159" ht="17.25" thickBot="1" x14ac:dyDescent="0.3">
      <c r="A70" s="226">
        <v>46008</v>
      </c>
      <c r="B70" s="227" t="s">
        <v>206</v>
      </c>
      <c r="C70" s="227" t="s">
        <v>218</v>
      </c>
      <c r="D70" s="228">
        <v>275</v>
      </c>
      <c r="E70" s="228">
        <v>13</v>
      </c>
      <c r="F70" s="231">
        <v>2018.7</v>
      </c>
      <c r="G70" s="231">
        <v>2031</v>
      </c>
      <c r="H70" s="228">
        <v>-12.3</v>
      </c>
      <c r="I70" s="229">
        <v>-6.1000000000000004E-3</v>
      </c>
      <c r="J70" s="231">
        <v>2014.9</v>
      </c>
      <c r="K70" s="231">
        <v>2023.6</v>
      </c>
      <c r="L70" s="228">
        <v>-8.6999999999999993</v>
      </c>
      <c r="M70" s="229">
        <v>-4.3E-3</v>
      </c>
      <c r="N70" s="231">
        <v>2018.7</v>
      </c>
      <c r="O70" s="231">
        <v>2031</v>
      </c>
      <c r="P70" s="228">
        <v>-12.3</v>
      </c>
      <c r="Q70" s="229">
        <v>-6.1000000000000004E-3</v>
      </c>
      <c r="R70" s="231">
        <v>2028.8</v>
      </c>
      <c r="S70" s="231">
        <v>2041.1</v>
      </c>
      <c r="T70" s="228">
        <v>-12.3</v>
      </c>
      <c r="U70" s="229">
        <v>-6.0000000000000001E-3</v>
      </c>
      <c r="V70" s="231">
        <v>2044</v>
      </c>
      <c r="W70" s="231">
        <v>2051.9</v>
      </c>
      <c r="X70" s="228">
        <v>-7.9</v>
      </c>
      <c r="Y70" s="229">
        <v>-3.8999999999999998E-3</v>
      </c>
      <c r="Z70" s="228">
        <v>3.8</v>
      </c>
      <c r="AA70" s="228">
        <v>7.4</v>
      </c>
      <c r="AB70" s="228">
        <v>-3.6</v>
      </c>
      <c r="AC70" s="229">
        <v>1.9E-3</v>
      </c>
      <c r="AD70" s="228">
        <v>3.8</v>
      </c>
      <c r="AE70" s="228">
        <v>7.4</v>
      </c>
      <c r="AF70" s="228">
        <v>-3.6</v>
      </c>
      <c r="AG70" s="229">
        <v>1.9E-3</v>
      </c>
      <c r="AH70" s="228">
        <v>13.9</v>
      </c>
      <c r="AI70" s="228">
        <v>17.5</v>
      </c>
      <c r="AJ70" s="228">
        <v>-3.6</v>
      </c>
      <c r="AK70" s="229">
        <v>6.8999999999999999E-3</v>
      </c>
      <c r="AL70" s="228">
        <v>29.1</v>
      </c>
      <c r="AM70" s="228">
        <v>28.3</v>
      </c>
      <c r="AN70" s="228">
        <v>0.8</v>
      </c>
      <c r="AO70" s="229">
        <v>1.44E-2</v>
      </c>
      <c r="AP70" s="231">
        <v>2027.24</v>
      </c>
      <c r="AQ70" s="231">
        <v>2040.06</v>
      </c>
      <c r="AR70" s="228">
        <v>0</v>
      </c>
      <c r="AS70" s="228">
        <v>270</v>
      </c>
      <c r="AT70" s="228">
        <v>142</v>
      </c>
      <c r="AU70" s="228">
        <v>127</v>
      </c>
      <c r="AV70" s="229">
        <v>0.89470000000000005</v>
      </c>
      <c r="AW70" s="228">
        <v>170</v>
      </c>
      <c r="AX70" s="228">
        <v>114</v>
      </c>
      <c r="AY70" s="228">
        <v>56</v>
      </c>
      <c r="AZ70" s="229">
        <v>0.49590000000000001</v>
      </c>
      <c r="BA70" s="228">
        <v>98</v>
      </c>
      <c r="BB70" s="228">
        <v>25</v>
      </c>
      <c r="BC70" s="228">
        <v>72</v>
      </c>
      <c r="BD70" s="229">
        <v>2.8365999999999998</v>
      </c>
      <c r="BE70" s="228">
        <v>2</v>
      </c>
      <c r="BF70" s="228">
        <v>3</v>
      </c>
      <c r="BG70" s="228">
        <v>-1</v>
      </c>
      <c r="BH70" s="229">
        <v>-0.45450000000000002</v>
      </c>
      <c r="BI70" s="228">
        <v>228</v>
      </c>
      <c r="BJ70" s="228">
        <v>379</v>
      </c>
      <c r="BK70" s="228">
        <v>-150</v>
      </c>
      <c r="BL70" s="229">
        <v>-0.39700000000000002</v>
      </c>
      <c r="BM70" s="228">
        <v>138</v>
      </c>
      <c r="BN70" s="228">
        <v>200</v>
      </c>
      <c r="BO70" s="228">
        <v>-62</v>
      </c>
      <c r="BP70" s="229">
        <v>-0.309</v>
      </c>
      <c r="BQ70" s="228">
        <v>636</v>
      </c>
      <c r="BR70" s="228">
        <v>721</v>
      </c>
      <c r="BS70" s="228">
        <v>-85</v>
      </c>
      <c r="BT70" s="229">
        <v>-0.1177</v>
      </c>
      <c r="BU70" s="230">
        <v>289979</v>
      </c>
      <c r="BV70" s="230">
        <v>247084</v>
      </c>
      <c r="BW70" s="230">
        <v>42895</v>
      </c>
      <c r="BX70" s="229">
        <v>0.1736</v>
      </c>
      <c r="BY70" s="230">
        <v>1838</v>
      </c>
      <c r="BZ70" s="230">
        <v>1795</v>
      </c>
      <c r="CA70" s="228">
        <v>43</v>
      </c>
      <c r="CB70" s="229">
        <v>2.4E-2</v>
      </c>
      <c r="CC70" s="230">
        <v>1679</v>
      </c>
      <c r="CD70" s="230">
        <v>1715</v>
      </c>
      <c r="CE70" s="228">
        <v>-35</v>
      </c>
      <c r="CF70" s="229">
        <v>-2.0500000000000001E-2</v>
      </c>
      <c r="CG70" s="228">
        <v>143</v>
      </c>
      <c r="CH70" s="228">
        <v>64</v>
      </c>
      <c r="CI70" s="228">
        <v>78</v>
      </c>
      <c r="CJ70" s="229">
        <v>1.2186999999999999</v>
      </c>
      <c r="CK70" s="228">
        <v>16</v>
      </c>
      <c r="CL70" s="228">
        <v>16</v>
      </c>
      <c r="CM70" s="228">
        <v>0</v>
      </c>
      <c r="CN70" s="229">
        <v>0</v>
      </c>
      <c r="CO70" s="228">
        <v>683</v>
      </c>
      <c r="CP70" s="228">
        <v>672</v>
      </c>
      <c r="CQ70" s="228">
        <v>11</v>
      </c>
      <c r="CR70" s="229">
        <v>1.61E-2</v>
      </c>
      <c r="CS70" s="228">
        <v>408</v>
      </c>
      <c r="CT70" s="228">
        <v>407</v>
      </c>
      <c r="CU70" s="228">
        <v>1</v>
      </c>
      <c r="CV70" s="229">
        <v>3.0000000000000001E-3</v>
      </c>
      <c r="CW70" s="230">
        <v>2929</v>
      </c>
      <c r="CX70" s="230">
        <v>2874</v>
      </c>
      <c r="CY70" s="228">
        <v>55</v>
      </c>
      <c r="CZ70" s="229">
        <v>1.9199999999999998E-2</v>
      </c>
      <c r="DA70" s="228">
        <v>27.34</v>
      </c>
      <c r="DB70" s="228">
        <v>27.88</v>
      </c>
      <c r="DC70" s="228">
        <v>-0.54</v>
      </c>
      <c r="DD70" s="228">
        <v>-0.54</v>
      </c>
      <c r="DE70" s="228">
        <v>42.44</v>
      </c>
      <c r="DF70" s="228">
        <v>42.54</v>
      </c>
      <c r="DG70" s="228">
        <v>-15.1</v>
      </c>
      <c r="DH70" s="228">
        <v>-0.1</v>
      </c>
      <c r="DI70" s="228">
        <v>28.14</v>
      </c>
      <c r="DJ70" s="228">
        <v>28.43</v>
      </c>
      <c r="DK70" s="228">
        <v>-0.28999999999999998</v>
      </c>
      <c r="DL70" s="228">
        <v>-0.28999999999999998</v>
      </c>
      <c r="DM70" s="228">
        <v>26.03</v>
      </c>
      <c r="DN70" s="228">
        <v>26.85</v>
      </c>
      <c r="DO70" s="228">
        <v>-0.82</v>
      </c>
      <c r="DP70" s="228">
        <v>-0.82</v>
      </c>
      <c r="DQ70" s="228">
        <v>0.6</v>
      </c>
      <c r="DR70" s="228">
        <v>0.61</v>
      </c>
      <c r="DS70" s="228">
        <v>-0.01</v>
      </c>
      <c r="DT70" s="229">
        <v>-1.6400000000000001E-2</v>
      </c>
      <c r="DU70" s="231">
        <v>2200</v>
      </c>
      <c r="DV70" s="231">
        <v>2100</v>
      </c>
      <c r="DW70" s="228">
        <v>0.61</v>
      </c>
      <c r="DX70" s="228">
        <v>0.53</v>
      </c>
      <c r="DY70" s="228">
        <v>0.08</v>
      </c>
      <c r="DZ70" s="229">
        <v>0.15090000000000001</v>
      </c>
      <c r="EA70" s="229">
        <v>8.6099999999999996E-2</v>
      </c>
      <c r="EB70" s="230">
        <v>395725</v>
      </c>
      <c r="EC70" s="229">
        <v>5.0000000000000001E-3</v>
      </c>
      <c r="ED70" s="229">
        <v>8.6099999999999996E-2</v>
      </c>
      <c r="EE70" s="228">
        <v>12.82</v>
      </c>
      <c r="EF70" s="229">
        <v>6.3E-3</v>
      </c>
      <c r="EG70" s="230">
        <v>136800</v>
      </c>
      <c r="EH70" s="230">
        <v>108704</v>
      </c>
      <c r="EI70" s="229">
        <v>0.25850000000000001</v>
      </c>
      <c r="EJ70" s="229">
        <v>0.4718</v>
      </c>
      <c r="EK70" s="228">
        <v>240.5</v>
      </c>
      <c r="EL70" s="228">
        <v>138.46</v>
      </c>
      <c r="EM70" s="228">
        <v>271.36</v>
      </c>
      <c r="EN70" s="228">
        <v>29.95</v>
      </c>
      <c r="EO70" s="228">
        <v>650.30999999999995</v>
      </c>
      <c r="EP70" s="228">
        <v>745.09</v>
      </c>
      <c r="EQ70" s="228">
        <v>-94.78</v>
      </c>
      <c r="ER70" s="229">
        <v>-0.12720000000000001</v>
      </c>
      <c r="ES70" s="228">
        <v>726.41</v>
      </c>
      <c r="ET70" s="228">
        <v>407.2</v>
      </c>
      <c r="EU70" s="231">
        <v>1838.54</v>
      </c>
      <c r="EV70" s="231">
        <v>24082879</v>
      </c>
      <c r="EW70" s="231">
        <v>2972.16</v>
      </c>
      <c r="EX70" s="231">
        <v>2927.8</v>
      </c>
      <c r="EY70" s="228">
        <v>44.36</v>
      </c>
      <c r="EZ70" s="229">
        <v>1.52E-2</v>
      </c>
      <c r="FA70" s="229">
        <v>0.60240000000000005</v>
      </c>
      <c r="FB70" s="227" t="s">
        <v>567</v>
      </c>
      <c r="FC70">
        <f t="shared" si="1"/>
        <v>159</v>
      </c>
    </row>
    <row r="71" spans="1:159" ht="17.25" thickBot="1" x14ac:dyDescent="0.3">
      <c r="A71" s="226">
        <v>46008</v>
      </c>
      <c r="B71" s="227" t="s">
        <v>157</v>
      </c>
      <c r="C71" s="227" t="s">
        <v>219</v>
      </c>
      <c r="D71" s="228">
        <v>250</v>
      </c>
      <c r="E71" s="228">
        <v>13</v>
      </c>
      <c r="F71" s="231">
        <v>2813.1</v>
      </c>
      <c r="G71" s="231">
        <v>2806.8</v>
      </c>
      <c r="H71" s="228">
        <v>6.3</v>
      </c>
      <c r="I71" s="229">
        <v>2.2000000000000001E-3</v>
      </c>
      <c r="J71" s="231">
        <v>2806.6</v>
      </c>
      <c r="K71" s="231">
        <v>2799.1</v>
      </c>
      <c r="L71" s="228">
        <v>7.5</v>
      </c>
      <c r="M71" s="229">
        <v>2.7000000000000001E-3</v>
      </c>
      <c r="N71" s="231">
        <v>2813.1</v>
      </c>
      <c r="O71" s="231">
        <v>2806.8</v>
      </c>
      <c r="P71" s="228">
        <v>6.3</v>
      </c>
      <c r="Q71" s="229">
        <v>2.2000000000000001E-3</v>
      </c>
      <c r="R71" s="231">
        <v>2830.9</v>
      </c>
      <c r="S71" s="231">
        <v>2821</v>
      </c>
      <c r="T71" s="228">
        <v>9.9</v>
      </c>
      <c r="U71" s="229">
        <v>3.5000000000000001E-3</v>
      </c>
      <c r="V71" s="231">
        <v>2836.3</v>
      </c>
      <c r="W71" s="231">
        <v>2870.7</v>
      </c>
      <c r="X71" s="228">
        <v>-34.4</v>
      </c>
      <c r="Y71" s="229">
        <v>-1.2E-2</v>
      </c>
      <c r="Z71" s="228">
        <v>6.5</v>
      </c>
      <c r="AA71" s="228">
        <v>7.7</v>
      </c>
      <c r="AB71" s="228">
        <v>-1.2</v>
      </c>
      <c r="AC71" s="229">
        <v>2.3E-3</v>
      </c>
      <c r="AD71" s="228">
        <v>6.5</v>
      </c>
      <c r="AE71" s="228">
        <v>7.7</v>
      </c>
      <c r="AF71" s="228">
        <v>-1.2</v>
      </c>
      <c r="AG71" s="229">
        <v>2.3E-3</v>
      </c>
      <c r="AH71" s="228">
        <v>24.3</v>
      </c>
      <c r="AI71" s="228">
        <v>21.9</v>
      </c>
      <c r="AJ71" s="228">
        <v>2.4</v>
      </c>
      <c r="AK71" s="229">
        <v>8.6999999999999994E-3</v>
      </c>
      <c r="AL71" s="228">
        <v>29.7</v>
      </c>
      <c r="AM71" s="228">
        <v>71.599999999999994</v>
      </c>
      <c r="AN71" s="228">
        <v>-41.9</v>
      </c>
      <c r="AO71" s="229">
        <v>1.06E-2</v>
      </c>
      <c r="AP71" s="231">
        <v>2801.02</v>
      </c>
      <c r="AQ71" s="231">
        <v>2816.21</v>
      </c>
      <c r="AR71" s="228">
        <v>0</v>
      </c>
      <c r="AS71" s="228">
        <v>277</v>
      </c>
      <c r="AT71" s="228">
        <v>216</v>
      </c>
      <c r="AU71" s="228">
        <v>61</v>
      </c>
      <c r="AV71" s="229">
        <v>0.28149999999999997</v>
      </c>
      <c r="AW71" s="228">
        <v>193</v>
      </c>
      <c r="AX71" s="228">
        <v>194</v>
      </c>
      <c r="AY71" s="228">
        <v>-1</v>
      </c>
      <c r="AZ71" s="229">
        <v>-6.1999999999999998E-3</v>
      </c>
      <c r="BA71" s="228">
        <v>83</v>
      </c>
      <c r="BB71" s="228">
        <v>21</v>
      </c>
      <c r="BC71" s="228">
        <v>62</v>
      </c>
      <c r="BD71" s="229">
        <v>2.8786999999999998</v>
      </c>
      <c r="BE71" s="228">
        <v>0</v>
      </c>
      <c r="BF71" s="228">
        <v>0</v>
      </c>
      <c r="BG71" s="228">
        <v>0</v>
      </c>
      <c r="BH71" s="229">
        <v>0</v>
      </c>
      <c r="BI71" s="228">
        <v>363</v>
      </c>
      <c r="BJ71" s="228">
        <v>424</v>
      </c>
      <c r="BK71" s="228">
        <v>-61</v>
      </c>
      <c r="BL71" s="229">
        <v>-0.14399999999999999</v>
      </c>
      <c r="BM71" s="228">
        <v>192</v>
      </c>
      <c r="BN71" s="228">
        <v>235</v>
      </c>
      <c r="BO71" s="228">
        <v>-44</v>
      </c>
      <c r="BP71" s="229">
        <v>-0.18509999999999999</v>
      </c>
      <c r="BQ71" s="228">
        <v>832</v>
      </c>
      <c r="BR71" s="228">
        <v>876</v>
      </c>
      <c r="BS71" s="228">
        <v>-44</v>
      </c>
      <c r="BT71" s="229">
        <v>-5.0099999999999999E-2</v>
      </c>
      <c r="BU71" s="230">
        <v>424509</v>
      </c>
      <c r="BV71" s="230">
        <v>549057</v>
      </c>
      <c r="BW71" s="230">
        <v>-124548</v>
      </c>
      <c r="BX71" s="229">
        <v>-0.2268</v>
      </c>
      <c r="BY71" s="230">
        <v>4494</v>
      </c>
      <c r="BZ71" s="230">
        <v>4496</v>
      </c>
      <c r="CA71" s="228">
        <v>-2</v>
      </c>
      <c r="CB71" s="229">
        <v>-5.0000000000000001E-4</v>
      </c>
      <c r="CC71" s="230">
        <v>4160</v>
      </c>
      <c r="CD71" s="230">
        <v>4237</v>
      </c>
      <c r="CE71" s="228">
        <v>-77</v>
      </c>
      <c r="CF71" s="229">
        <v>-1.8100000000000002E-2</v>
      </c>
      <c r="CG71" s="228">
        <v>329</v>
      </c>
      <c r="CH71" s="228">
        <v>255</v>
      </c>
      <c r="CI71" s="228">
        <v>75</v>
      </c>
      <c r="CJ71" s="229">
        <v>0.2928</v>
      </c>
      <c r="CK71" s="228">
        <v>4</v>
      </c>
      <c r="CL71" s="228">
        <v>4</v>
      </c>
      <c r="CM71" s="228">
        <v>0</v>
      </c>
      <c r="CN71" s="229">
        <v>-1.67E-2</v>
      </c>
      <c r="CO71" s="228">
        <v>617</v>
      </c>
      <c r="CP71" s="228">
        <v>617</v>
      </c>
      <c r="CQ71" s="228">
        <v>0</v>
      </c>
      <c r="CR71" s="229">
        <v>0</v>
      </c>
      <c r="CS71" s="228">
        <v>673</v>
      </c>
      <c r="CT71" s="228">
        <v>675</v>
      </c>
      <c r="CU71" s="228">
        <v>-2</v>
      </c>
      <c r="CV71" s="229">
        <v>-3.0999999999999999E-3</v>
      </c>
      <c r="CW71" s="230">
        <v>5784</v>
      </c>
      <c r="CX71" s="230">
        <v>5788</v>
      </c>
      <c r="CY71" s="228">
        <v>-4</v>
      </c>
      <c r="CZ71" s="229">
        <v>-6.9999999999999999E-4</v>
      </c>
      <c r="DA71" s="228">
        <v>16.62</v>
      </c>
      <c r="DB71" s="228">
        <v>16.03</v>
      </c>
      <c r="DC71" s="228">
        <v>0.59</v>
      </c>
      <c r="DD71" s="228">
        <v>0.59</v>
      </c>
      <c r="DE71" s="228">
        <v>25.55</v>
      </c>
      <c r="DF71" s="228">
        <v>25.62</v>
      </c>
      <c r="DG71" s="228">
        <v>-8.93</v>
      </c>
      <c r="DH71" s="228">
        <v>-7.0000000000000007E-2</v>
      </c>
      <c r="DI71" s="228">
        <v>16.91</v>
      </c>
      <c r="DJ71" s="228">
        <v>16.3</v>
      </c>
      <c r="DK71" s="228">
        <v>0.61</v>
      </c>
      <c r="DL71" s="228">
        <v>0.61</v>
      </c>
      <c r="DM71" s="228">
        <v>16.059999999999999</v>
      </c>
      <c r="DN71" s="228">
        <v>15.54</v>
      </c>
      <c r="DO71" s="228">
        <v>0.52</v>
      </c>
      <c r="DP71" s="228">
        <v>0.52</v>
      </c>
      <c r="DQ71" s="228">
        <v>1.0900000000000001</v>
      </c>
      <c r="DR71" s="228">
        <v>1.1000000000000001</v>
      </c>
      <c r="DS71" s="228">
        <v>-0.01</v>
      </c>
      <c r="DT71" s="229">
        <v>-9.1000000000000004E-3</v>
      </c>
      <c r="DU71" s="231">
        <v>2800</v>
      </c>
      <c r="DV71" s="231">
        <v>2700</v>
      </c>
      <c r="DW71" s="228">
        <v>0.53</v>
      </c>
      <c r="DX71" s="228">
        <v>0.55000000000000004</v>
      </c>
      <c r="DY71" s="228">
        <v>-0.02</v>
      </c>
      <c r="DZ71" s="229">
        <v>-3.6400000000000002E-2</v>
      </c>
      <c r="EA71" s="229">
        <v>7.4200000000000002E-2</v>
      </c>
      <c r="EB71" s="230">
        <v>921000</v>
      </c>
      <c r="EC71" s="229">
        <v>6.3E-3</v>
      </c>
      <c r="ED71" s="229">
        <v>7.4200000000000002E-2</v>
      </c>
      <c r="EE71" s="228">
        <v>15.19</v>
      </c>
      <c r="EF71" s="229">
        <v>5.4000000000000003E-3</v>
      </c>
      <c r="EG71" s="230">
        <v>311950</v>
      </c>
      <c r="EH71" s="230">
        <v>378529</v>
      </c>
      <c r="EI71" s="229">
        <v>-0.1759</v>
      </c>
      <c r="EJ71" s="229">
        <v>0.73480000000000001</v>
      </c>
      <c r="EK71" s="228">
        <v>374.41</v>
      </c>
      <c r="EL71" s="228">
        <v>190.39</v>
      </c>
      <c r="EM71" s="228">
        <v>275.86</v>
      </c>
      <c r="EN71" s="228">
        <v>61.92</v>
      </c>
      <c r="EO71" s="228">
        <v>840.66</v>
      </c>
      <c r="EP71" s="228">
        <v>886.17</v>
      </c>
      <c r="EQ71" s="228">
        <v>-45.51</v>
      </c>
      <c r="ER71" s="229">
        <v>-5.1400000000000001E-2</v>
      </c>
      <c r="ES71" s="228">
        <v>630.69000000000005</v>
      </c>
      <c r="ET71" s="228">
        <v>645.97</v>
      </c>
      <c r="EU71" s="231">
        <v>4496.12</v>
      </c>
      <c r="EV71" s="231">
        <v>38514157</v>
      </c>
      <c r="EW71" s="231">
        <v>5772.77</v>
      </c>
      <c r="EX71" s="231">
        <v>5766.26</v>
      </c>
      <c r="EY71" s="228">
        <v>6.51</v>
      </c>
      <c r="EZ71" s="229">
        <v>1.1000000000000001E-3</v>
      </c>
      <c r="FA71" s="229">
        <v>0.53380000000000005</v>
      </c>
      <c r="FB71" s="227" t="s">
        <v>556</v>
      </c>
      <c r="FC71">
        <f t="shared" si="1"/>
        <v>334</v>
      </c>
    </row>
    <row r="72" spans="1:159" ht="17.25" thickBot="1" x14ac:dyDescent="0.3">
      <c r="A72" s="226">
        <v>46008</v>
      </c>
      <c r="B72" s="227" t="s">
        <v>184</v>
      </c>
      <c r="C72" s="227" t="s">
        <v>513</v>
      </c>
      <c r="D72" s="228">
        <v>150</v>
      </c>
      <c r="E72" s="228">
        <v>13</v>
      </c>
      <c r="F72" s="231">
        <v>4242.1000000000004</v>
      </c>
      <c r="G72" s="231">
        <v>4275.8</v>
      </c>
      <c r="H72" s="228">
        <v>-33.700000000000003</v>
      </c>
      <c r="I72" s="229">
        <v>-7.9000000000000008E-3</v>
      </c>
      <c r="J72" s="231">
        <v>4228.3999999999996</v>
      </c>
      <c r="K72" s="231">
        <v>4261.3999999999996</v>
      </c>
      <c r="L72" s="228">
        <v>-33</v>
      </c>
      <c r="M72" s="229">
        <v>-7.7000000000000002E-3</v>
      </c>
      <c r="N72" s="231">
        <v>4242.1000000000004</v>
      </c>
      <c r="O72" s="231">
        <v>4275.8</v>
      </c>
      <c r="P72" s="228">
        <v>-33.700000000000003</v>
      </c>
      <c r="Q72" s="229">
        <v>-7.9000000000000008E-3</v>
      </c>
      <c r="R72" s="231">
        <v>4267.3</v>
      </c>
      <c r="S72" s="231">
        <v>4299.3999999999996</v>
      </c>
      <c r="T72" s="228">
        <v>-32.1</v>
      </c>
      <c r="U72" s="229">
        <v>-7.4999999999999997E-3</v>
      </c>
      <c r="V72" s="231">
        <v>4277.8999999999996</v>
      </c>
      <c r="W72" s="231">
        <v>4307.8</v>
      </c>
      <c r="X72" s="228">
        <v>-29.9</v>
      </c>
      <c r="Y72" s="229">
        <v>-6.8999999999999999E-3</v>
      </c>
      <c r="Z72" s="228">
        <v>13.7</v>
      </c>
      <c r="AA72" s="228">
        <v>14.4</v>
      </c>
      <c r="AB72" s="228">
        <v>-0.7</v>
      </c>
      <c r="AC72" s="229">
        <v>3.2000000000000002E-3</v>
      </c>
      <c r="AD72" s="228">
        <v>13.7</v>
      </c>
      <c r="AE72" s="228">
        <v>14.4</v>
      </c>
      <c r="AF72" s="228">
        <v>-0.7</v>
      </c>
      <c r="AG72" s="229">
        <v>3.2000000000000002E-3</v>
      </c>
      <c r="AH72" s="228">
        <v>38.9</v>
      </c>
      <c r="AI72" s="228">
        <v>38</v>
      </c>
      <c r="AJ72" s="228">
        <v>0.9</v>
      </c>
      <c r="AK72" s="229">
        <v>9.1999999999999998E-3</v>
      </c>
      <c r="AL72" s="228">
        <v>49.5</v>
      </c>
      <c r="AM72" s="228">
        <v>46.4</v>
      </c>
      <c r="AN72" s="228">
        <v>3.1</v>
      </c>
      <c r="AO72" s="229">
        <v>1.17E-2</v>
      </c>
      <c r="AP72" s="231">
        <v>4252.3</v>
      </c>
      <c r="AQ72" s="231">
        <v>4275.97</v>
      </c>
      <c r="AR72" s="228">
        <v>0</v>
      </c>
      <c r="AS72" s="228">
        <v>310</v>
      </c>
      <c r="AT72" s="228">
        <v>445</v>
      </c>
      <c r="AU72" s="228">
        <v>-135</v>
      </c>
      <c r="AV72" s="229">
        <v>-0.30359999999999998</v>
      </c>
      <c r="AW72" s="228">
        <v>222</v>
      </c>
      <c r="AX72" s="228">
        <v>330</v>
      </c>
      <c r="AY72" s="228">
        <v>-108</v>
      </c>
      <c r="AZ72" s="229">
        <v>-0.32769999999999999</v>
      </c>
      <c r="BA72" s="228">
        <v>80</v>
      </c>
      <c r="BB72" s="228">
        <v>101</v>
      </c>
      <c r="BC72" s="228">
        <v>-22</v>
      </c>
      <c r="BD72" s="229">
        <v>-0.21310000000000001</v>
      </c>
      <c r="BE72" s="228">
        <v>8</v>
      </c>
      <c r="BF72" s="228">
        <v>13</v>
      </c>
      <c r="BG72" s="228">
        <v>-5</v>
      </c>
      <c r="BH72" s="229">
        <v>-0.39510000000000001</v>
      </c>
      <c r="BI72" s="230">
        <v>2626</v>
      </c>
      <c r="BJ72" s="230">
        <v>2619</v>
      </c>
      <c r="BK72" s="228">
        <v>7</v>
      </c>
      <c r="BL72" s="229">
        <v>2.7000000000000001E-3</v>
      </c>
      <c r="BM72" s="230">
        <v>1166</v>
      </c>
      <c r="BN72" s="230">
        <v>1066</v>
      </c>
      <c r="BO72" s="228">
        <v>100</v>
      </c>
      <c r="BP72" s="229">
        <v>9.3600000000000003E-2</v>
      </c>
      <c r="BQ72" s="230">
        <v>4102</v>
      </c>
      <c r="BR72" s="230">
        <v>4130</v>
      </c>
      <c r="BS72" s="228">
        <v>-28</v>
      </c>
      <c r="BT72" s="229">
        <v>-6.7999999999999996E-3</v>
      </c>
      <c r="BU72" s="230">
        <v>669193</v>
      </c>
      <c r="BV72" s="230">
        <v>1052933</v>
      </c>
      <c r="BW72" s="230">
        <v>-383740</v>
      </c>
      <c r="BX72" s="229">
        <v>-0.3644</v>
      </c>
      <c r="BY72" s="230">
        <v>4436</v>
      </c>
      <c r="BZ72" s="230">
        <v>4402</v>
      </c>
      <c r="CA72" s="228">
        <v>33</v>
      </c>
      <c r="CB72" s="229">
        <v>7.4999999999999997E-3</v>
      </c>
      <c r="CC72" s="230">
        <v>3923</v>
      </c>
      <c r="CD72" s="230">
        <v>3925</v>
      </c>
      <c r="CE72" s="228">
        <v>-2</v>
      </c>
      <c r="CF72" s="229">
        <v>-5.0000000000000001E-4</v>
      </c>
      <c r="CG72" s="228">
        <v>446</v>
      </c>
      <c r="CH72" s="228">
        <v>414</v>
      </c>
      <c r="CI72" s="228">
        <v>32</v>
      </c>
      <c r="CJ72" s="229">
        <v>7.7299999999999994E-2</v>
      </c>
      <c r="CK72" s="228">
        <v>67</v>
      </c>
      <c r="CL72" s="228">
        <v>64</v>
      </c>
      <c r="CM72" s="228">
        <v>3</v>
      </c>
      <c r="CN72" s="229">
        <v>4.9000000000000002E-2</v>
      </c>
      <c r="CO72" s="230">
        <v>3878</v>
      </c>
      <c r="CP72" s="230">
        <v>3796</v>
      </c>
      <c r="CQ72" s="228">
        <v>82</v>
      </c>
      <c r="CR72" s="229">
        <v>2.1600000000000001E-2</v>
      </c>
      <c r="CS72" s="230">
        <v>1914</v>
      </c>
      <c r="CT72" s="230">
        <v>1884</v>
      </c>
      <c r="CU72" s="228">
        <v>30</v>
      </c>
      <c r="CV72" s="229">
        <v>1.61E-2</v>
      </c>
      <c r="CW72" s="230">
        <v>10227</v>
      </c>
      <c r="CX72" s="230">
        <v>10082</v>
      </c>
      <c r="CY72" s="228">
        <v>145</v>
      </c>
      <c r="CZ72" s="229">
        <v>1.44E-2</v>
      </c>
      <c r="DA72" s="228">
        <v>25.34</v>
      </c>
      <c r="DB72" s="228">
        <v>25.64</v>
      </c>
      <c r="DC72" s="228">
        <v>-0.3</v>
      </c>
      <c r="DD72" s="228">
        <v>-0.3</v>
      </c>
      <c r="DE72" s="228">
        <v>37.72</v>
      </c>
      <c r="DF72" s="228">
        <v>37.799999999999997</v>
      </c>
      <c r="DG72" s="228">
        <v>-12.38</v>
      </c>
      <c r="DH72" s="228">
        <v>-0.08</v>
      </c>
      <c r="DI72" s="228">
        <v>26.25</v>
      </c>
      <c r="DJ72" s="228">
        <v>26.5</v>
      </c>
      <c r="DK72" s="228">
        <v>-0.25</v>
      </c>
      <c r="DL72" s="228">
        <v>-0.25</v>
      </c>
      <c r="DM72" s="228">
        <v>23.29</v>
      </c>
      <c r="DN72" s="228">
        <v>23.55</v>
      </c>
      <c r="DO72" s="228">
        <v>-0.26</v>
      </c>
      <c r="DP72" s="228">
        <v>-0.26</v>
      </c>
      <c r="DQ72" s="228">
        <v>0.49</v>
      </c>
      <c r="DR72" s="228">
        <v>0.5</v>
      </c>
      <c r="DS72" s="228">
        <v>-0.01</v>
      </c>
      <c r="DT72" s="229">
        <v>-0.02</v>
      </c>
      <c r="DU72" s="231">
        <v>4500</v>
      </c>
      <c r="DV72" s="231">
        <v>4500</v>
      </c>
      <c r="DW72" s="228">
        <v>0.44</v>
      </c>
      <c r="DX72" s="228">
        <v>0.41</v>
      </c>
      <c r="DY72" s="228">
        <v>0.03</v>
      </c>
      <c r="DZ72" s="229">
        <v>7.3200000000000001E-2</v>
      </c>
      <c r="EA72" s="229">
        <v>0.1157</v>
      </c>
      <c r="EB72" s="230">
        <v>1126500</v>
      </c>
      <c r="EC72" s="229">
        <v>5.8999999999999999E-3</v>
      </c>
      <c r="ED72" s="229">
        <v>0.1157</v>
      </c>
      <c r="EE72" s="228">
        <v>23.67</v>
      </c>
      <c r="EF72" s="229">
        <v>5.5999999999999999E-3</v>
      </c>
      <c r="EG72" s="230">
        <v>348088</v>
      </c>
      <c r="EH72" s="230">
        <v>641328</v>
      </c>
      <c r="EI72" s="229">
        <v>-0.4572</v>
      </c>
      <c r="EJ72" s="229">
        <v>0.5202</v>
      </c>
      <c r="EK72" s="231">
        <v>2786.65</v>
      </c>
      <c r="EL72" s="231">
        <v>1176.51</v>
      </c>
      <c r="EM72" s="228">
        <v>310.83</v>
      </c>
      <c r="EN72" s="228">
        <v>68.17</v>
      </c>
      <c r="EO72" s="231">
        <v>4273.99</v>
      </c>
      <c r="EP72" s="231">
        <v>4324.03</v>
      </c>
      <c r="EQ72" s="228">
        <v>-50.05</v>
      </c>
      <c r="ER72" s="229">
        <v>-1.1599999999999999E-2</v>
      </c>
      <c r="ES72" s="231">
        <v>4259.8999999999996</v>
      </c>
      <c r="ET72" s="231">
        <v>1996.41</v>
      </c>
      <c r="EU72" s="231">
        <v>4438.84</v>
      </c>
      <c r="EV72" s="231">
        <v>28450886</v>
      </c>
      <c r="EW72" s="231">
        <v>10695.15</v>
      </c>
      <c r="EX72" s="231">
        <v>10588.7</v>
      </c>
      <c r="EY72" s="228">
        <v>106.45</v>
      </c>
      <c r="EZ72" s="229">
        <v>1.01E-2</v>
      </c>
      <c r="FA72" s="229">
        <v>0.84740000000000004</v>
      </c>
      <c r="FB72" s="227" t="s">
        <v>567</v>
      </c>
      <c r="FC72">
        <f t="shared" si="1"/>
        <v>513</v>
      </c>
    </row>
    <row r="73" spans="1:159" ht="17.25" thickBot="1" x14ac:dyDescent="0.3">
      <c r="A73" s="226">
        <v>46008</v>
      </c>
      <c r="B73" s="227" t="s">
        <v>184</v>
      </c>
      <c r="C73" s="227" t="s">
        <v>220</v>
      </c>
      <c r="D73" s="228">
        <v>500</v>
      </c>
      <c r="E73" s="228">
        <v>13</v>
      </c>
      <c r="F73" s="231">
        <v>1398.7</v>
      </c>
      <c r="G73" s="231">
        <v>1418</v>
      </c>
      <c r="H73" s="228">
        <v>-19.3</v>
      </c>
      <c r="I73" s="229">
        <v>-1.3599999999999999E-2</v>
      </c>
      <c r="J73" s="231">
        <v>1397</v>
      </c>
      <c r="K73" s="231">
        <v>1412</v>
      </c>
      <c r="L73" s="228">
        <v>-15</v>
      </c>
      <c r="M73" s="229">
        <v>-1.06E-2</v>
      </c>
      <c r="N73" s="231">
        <v>1398.7</v>
      </c>
      <c r="O73" s="231">
        <v>1418</v>
      </c>
      <c r="P73" s="228">
        <v>-19.3</v>
      </c>
      <c r="Q73" s="229">
        <v>-1.3599999999999999E-2</v>
      </c>
      <c r="R73" s="231">
        <v>1405.2</v>
      </c>
      <c r="S73" s="231">
        <v>1424.3</v>
      </c>
      <c r="T73" s="228">
        <v>-19.100000000000001</v>
      </c>
      <c r="U73" s="229">
        <v>-1.34E-2</v>
      </c>
      <c r="V73" s="231">
        <v>1412</v>
      </c>
      <c r="W73" s="231">
        <v>1434.6</v>
      </c>
      <c r="X73" s="228">
        <v>-22.6</v>
      </c>
      <c r="Y73" s="229">
        <v>-1.5800000000000002E-2</v>
      </c>
      <c r="Z73" s="228">
        <v>1.7</v>
      </c>
      <c r="AA73" s="228">
        <v>6</v>
      </c>
      <c r="AB73" s="228">
        <v>-4.3</v>
      </c>
      <c r="AC73" s="229">
        <v>1.1999999999999999E-3</v>
      </c>
      <c r="AD73" s="228">
        <v>1.7</v>
      </c>
      <c r="AE73" s="228">
        <v>6</v>
      </c>
      <c r="AF73" s="228">
        <v>-4.3</v>
      </c>
      <c r="AG73" s="229">
        <v>1.1999999999999999E-3</v>
      </c>
      <c r="AH73" s="228">
        <v>8.1999999999999993</v>
      </c>
      <c r="AI73" s="228">
        <v>12.3</v>
      </c>
      <c r="AJ73" s="228">
        <v>-4.0999999999999996</v>
      </c>
      <c r="AK73" s="229">
        <v>5.8999999999999999E-3</v>
      </c>
      <c r="AL73" s="228">
        <v>15</v>
      </c>
      <c r="AM73" s="228">
        <v>22.6</v>
      </c>
      <c r="AN73" s="228">
        <v>-7.6</v>
      </c>
      <c r="AO73" s="229">
        <v>1.0699999999999999E-2</v>
      </c>
      <c r="AP73" s="231">
        <v>1401.17</v>
      </c>
      <c r="AQ73" s="231">
        <v>1407.84</v>
      </c>
      <c r="AR73" s="228">
        <v>0</v>
      </c>
      <c r="AS73" s="228">
        <v>148</v>
      </c>
      <c r="AT73" s="228">
        <v>124</v>
      </c>
      <c r="AU73" s="228">
        <v>24</v>
      </c>
      <c r="AV73" s="229">
        <v>0.19420000000000001</v>
      </c>
      <c r="AW73" s="228">
        <v>134</v>
      </c>
      <c r="AX73" s="228">
        <v>107</v>
      </c>
      <c r="AY73" s="228">
        <v>28</v>
      </c>
      <c r="AZ73" s="229">
        <v>0.26100000000000001</v>
      </c>
      <c r="BA73" s="228">
        <v>12</v>
      </c>
      <c r="BB73" s="228">
        <v>17</v>
      </c>
      <c r="BC73" s="228">
        <v>-4</v>
      </c>
      <c r="BD73" s="229">
        <v>-0.25850000000000001</v>
      </c>
      <c r="BE73" s="228">
        <v>1</v>
      </c>
      <c r="BF73" s="228">
        <v>1</v>
      </c>
      <c r="BG73" s="228">
        <v>0</v>
      </c>
      <c r="BH73" s="229">
        <v>0.7</v>
      </c>
      <c r="BI73" s="228">
        <v>234</v>
      </c>
      <c r="BJ73" s="228">
        <v>256</v>
      </c>
      <c r="BK73" s="228">
        <v>-22</v>
      </c>
      <c r="BL73" s="229">
        <v>-8.5000000000000006E-2</v>
      </c>
      <c r="BM73" s="228">
        <v>172</v>
      </c>
      <c r="BN73" s="228">
        <v>87</v>
      </c>
      <c r="BO73" s="228">
        <v>85</v>
      </c>
      <c r="BP73" s="229">
        <v>0.97589999999999999</v>
      </c>
      <c r="BQ73" s="228">
        <v>554</v>
      </c>
      <c r="BR73" s="228">
        <v>467</v>
      </c>
      <c r="BS73" s="228">
        <v>87</v>
      </c>
      <c r="BT73" s="229">
        <v>0.187</v>
      </c>
      <c r="BU73" s="230">
        <v>357217</v>
      </c>
      <c r="BV73" s="230">
        <v>313916</v>
      </c>
      <c r="BW73" s="230">
        <v>43301</v>
      </c>
      <c r="BX73" s="229">
        <v>0.13789999999999999</v>
      </c>
      <c r="BY73" s="230">
        <v>1194</v>
      </c>
      <c r="BZ73" s="230">
        <v>1188</v>
      </c>
      <c r="CA73" s="228">
        <v>6</v>
      </c>
      <c r="CB73" s="229">
        <v>5.1999999999999998E-3</v>
      </c>
      <c r="CC73" s="230">
        <v>1125</v>
      </c>
      <c r="CD73" s="230">
        <v>1120</v>
      </c>
      <c r="CE73" s="228">
        <v>5</v>
      </c>
      <c r="CF73" s="229">
        <v>4.1000000000000003E-3</v>
      </c>
      <c r="CG73" s="228">
        <v>63</v>
      </c>
      <c r="CH73" s="228">
        <v>62</v>
      </c>
      <c r="CI73" s="228">
        <v>1</v>
      </c>
      <c r="CJ73" s="229">
        <v>1.24E-2</v>
      </c>
      <c r="CK73" s="228">
        <v>7</v>
      </c>
      <c r="CL73" s="228">
        <v>6</v>
      </c>
      <c r="CM73" s="228">
        <v>1</v>
      </c>
      <c r="CN73" s="229">
        <v>0.13950000000000001</v>
      </c>
      <c r="CO73" s="228">
        <v>375</v>
      </c>
      <c r="CP73" s="228">
        <v>352</v>
      </c>
      <c r="CQ73" s="228">
        <v>23</v>
      </c>
      <c r="CR73" s="229">
        <v>6.5799999999999997E-2</v>
      </c>
      <c r="CS73" s="228">
        <v>286</v>
      </c>
      <c r="CT73" s="228">
        <v>274</v>
      </c>
      <c r="CU73" s="228">
        <v>11</v>
      </c>
      <c r="CV73" s="229">
        <v>4.1799999999999997E-2</v>
      </c>
      <c r="CW73" s="230">
        <v>1855</v>
      </c>
      <c r="CX73" s="230">
        <v>1814</v>
      </c>
      <c r="CY73" s="228">
        <v>41</v>
      </c>
      <c r="CZ73" s="229">
        <v>2.2499999999999999E-2</v>
      </c>
      <c r="DA73" s="228">
        <v>19.350000000000001</v>
      </c>
      <c r="DB73" s="228">
        <v>18.010000000000002</v>
      </c>
      <c r="DC73" s="228">
        <v>1.34</v>
      </c>
      <c r="DD73" s="228">
        <v>1.34</v>
      </c>
      <c r="DE73" s="228">
        <v>27.12</v>
      </c>
      <c r="DF73" s="228">
        <v>27.13</v>
      </c>
      <c r="DG73" s="228">
        <v>-7.77</v>
      </c>
      <c r="DH73" s="228">
        <v>-0.01</v>
      </c>
      <c r="DI73" s="228">
        <v>20.07</v>
      </c>
      <c r="DJ73" s="228">
        <v>17.98</v>
      </c>
      <c r="DK73" s="228">
        <v>2.09</v>
      </c>
      <c r="DL73" s="228">
        <v>2.09</v>
      </c>
      <c r="DM73" s="228">
        <v>18.36</v>
      </c>
      <c r="DN73" s="228">
        <v>18.09</v>
      </c>
      <c r="DO73" s="228">
        <v>0.27</v>
      </c>
      <c r="DP73" s="228">
        <v>0.27</v>
      </c>
      <c r="DQ73" s="228">
        <v>0.76</v>
      </c>
      <c r="DR73" s="228">
        <v>0.78</v>
      </c>
      <c r="DS73" s="228">
        <v>-0.02</v>
      </c>
      <c r="DT73" s="229">
        <v>-2.5600000000000001E-2</v>
      </c>
      <c r="DU73" s="231">
        <v>1500</v>
      </c>
      <c r="DV73" s="231">
        <v>1380</v>
      </c>
      <c r="DW73" s="228">
        <v>0.74</v>
      </c>
      <c r="DX73" s="228">
        <v>0.34</v>
      </c>
      <c r="DY73" s="228">
        <v>0.4</v>
      </c>
      <c r="DZ73" s="229">
        <v>1.1765000000000001</v>
      </c>
      <c r="EA73" s="229">
        <v>5.8299999999999998E-2</v>
      </c>
      <c r="EB73" s="230">
        <v>486500</v>
      </c>
      <c r="EC73" s="229">
        <v>4.5999999999999999E-3</v>
      </c>
      <c r="ED73" s="229">
        <v>5.8299999999999998E-2</v>
      </c>
      <c r="EE73" s="228">
        <v>6.67</v>
      </c>
      <c r="EF73" s="229">
        <v>4.7999999999999996E-3</v>
      </c>
      <c r="EG73" s="230">
        <v>195769</v>
      </c>
      <c r="EH73" s="230">
        <v>171028</v>
      </c>
      <c r="EI73" s="229">
        <v>0.1447</v>
      </c>
      <c r="EJ73" s="229">
        <v>0.54800000000000004</v>
      </c>
      <c r="EK73" s="228">
        <v>249.32</v>
      </c>
      <c r="EL73" s="228">
        <v>170.26</v>
      </c>
      <c r="EM73" s="228">
        <v>148.24</v>
      </c>
      <c r="EN73" s="228">
        <v>21.85</v>
      </c>
      <c r="EO73" s="228">
        <v>567.82000000000005</v>
      </c>
      <c r="EP73" s="228">
        <v>479.96</v>
      </c>
      <c r="EQ73" s="228">
        <v>87.86</v>
      </c>
      <c r="ER73" s="229">
        <v>0.18310000000000001</v>
      </c>
      <c r="ES73" s="228">
        <v>397.66</v>
      </c>
      <c r="ET73" s="228">
        <v>285.13</v>
      </c>
      <c r="EU73" s="231">
        <v>1194.6400000000001</v>
      </c>
      <c r="EV73" s="231">
        <v>38133766</v>
      </c>
      <c r="EW73" s="231">
        <v>1877.43</v>
      </c>
      <c r="EX73" s="231">
        <v>1852.84</v>
      </c>
      <c r="EY73" s="228">
        <v>24.59</v>
      </c>
      <c r="EZ73" s="229">
        <v>1.3299999999999999E-2</v>
      </c>
      <c r="FA73" s="229">
        <v>0.3478</v>
      </c>
      <c r="FB73" s="227" t="s">
        <v>567</v>
      </c>
      <c r="FC73">
        <f t="shared" si="1"/>
        <v>69</v>
      </c>
    </row>
    <row r="74" spans="1:159" ht="17.25" thickBot="1" x14ac:dyDescent="0.3">
      <c r="A74" s="226">
        <v>46008</v>
      </c>
      <c r="B74" s="227" t="s">
        <v>221</v>
      </c>
      <c r="C74" s="227" t="s">
        <v>222</v>
      </c>
      <c r="D74" s="228">
        <v>350</v>
      </c>
      <c r="E74" s="228">
        <v>13</v>
      </c>
      <c r="F74" s="231">
        <v>1661</v>
      </c>
      <c r="G74" s="231">
        <v>1657.7</v>
      </c>
      <c r="H74" s="228">
        <v>3.3</v>
      </c>
      <c r="I74" s="229">
        <v>2E-3</v>
      </c>
      <c r="J74" s="231">
        <v>1655</v>
      </c>
      <c r="K74" s="231">
        <v>1651.7</v>
      </c>
      <c r="L74" s="228">
        <v>3.3</v>
      </c>
      <c r="M74" s="229">
        <v>2E-3</v>
      </c>
      <c r="N74" s="231">
        <v>1661</v>
      </c>
      <c r="O74" s="231">
        <v>1657.7</v>
      </c>
      <c r="P74" s="228">
        <v>3.3</v>
      </c>
      <c r="Q74" s="229">
        <v>2E-3</v>
      </c>
      <c r="R74" s="231">
        <v>1658.5</v>
      </c>
      <c r="S74" s="231">
        <v>1654.9</v>
      </c>
      <c r="T74" s="228">
        <v>3.6</v>
      </c>
      <c r="U74" s="229">
        <v>2.2000000000000001E-3</v>
      </c>
      <c r="V74" s="231">
        <v>1667.4</v>
      </c>
      <c r="W74" s="231">
        <v>1666.9</v>
      </c>
      <c r="X74" s="228">
        <v>0.5</v>
      </c>
      <c r="Y74" s="229">
        <v>2.9999999999999997E-4</v>
      </c>
      <c r="Z74" s="228">
        <v>6</v>
      </c>
      <c r="AA74" s="228">
        <v>6</v>
      </c>
      <c r="AB74" s="228">
        <v>0</v>
      </c>
      <c r="AC74" s="229">
        <v>3.5999999999999999E-3</v>
      </c>
      <c r="AD74" s="228">
        <v>6</v>
      </c>
      <c r="AE74" s="228">
        <v>6</v>
      </c>
      <c r="AF74" s="228">
        <v>0</v>
      </c>
      <c r="AG74" s="229">
        <v>3.5999999999999999E-3</v>
      </c>
      <c r="AH74" s="228">
        <v>3.5</v>
      </c>
      <c r="AI74" s="228">
        <v>3.2</v>
      </c>
      <c r="AJ74" s="228">
        <v>0.3</v>
      </c>
      <c r="AK74" s="229">
        <v>2.0999999999999999E-3</v>
      </c>
      <c r="AL74" s="228">
        <v>12.4</v>
      </c>
      <c r="AM74" s="228">
        <v>15.2</v>
      </c>
      <c r="AN74" s="228">
        <v>-2.8</v>
      </c>
      <c r="AO74" s="229">
        <v>7.4999999999999997E-3</v>
      </c>
      <c r="AP74" s="231">
        <v>1661.08</v>
      </c>
      <c r="AQ74" s="231">
        <v>1657.72</v>
      </c>
      <c r="AR74" s="228">
        <v>0</v>
      </c>
      <c r="AS74" s="228">
        <v>270</v>
      </c>
      <c r="AT74" s="228">
        <v>537</v>
      </c>
      <c r="AU74" s="228">
        <v>-268</v>
      </c>
      <c r="AV74" s="229">
        <v>-0.49780000000000002</v>
      </c>
      <c r="AW74" s="228">
        <v>228</v>
      </c>
      <c r="AX74" s="228">
        <v>448</v>
      </c>
      <c r="AY74" s="228">
        <v>-220</v>
      </c>
      <c r="AZ74" s="229">
        <v>-0.4914</v>
      </c>
      <c r="BA74" s="228">
        <v>39</v>
      </c>
      <c r="BB74" s="228">
        <v>82</v>
      </c>
      <c r="BC74" s="228">
        <v>-44</v>
      </c>
      <c r="BD74" s="229">
        <v>-0.52929999999999999</v>
      </c>
      <c r="BE74" s="228">
        <v>3</v>
      </c>
      <c r="BF74" s="228">
        <v>7</v>
      </c>
      <c r="BG74" s="228">
        <v>-4</v>
      </c>
      <c r="BH74" s="229">
        <v>-0.53129999999999999</v>
      </c>
      <c r="BI74" s="228">
        <v>838</v>
      </c>
      <c r="BJ74" s="230">
        <v>1284</v>
      </c>
      <c r="BK74" s="228">
        <v>-446</v>
      </c>
      <c r="BL74" s="229">
        <v>-0.34720000000000001</v>
      </c>
      <c r="BM74" s="228">
        <v>416</v>
      </c>
      <c r="BN74" s="228">
        <v>759</v>
      </c>
      <c r="BO74" s="228">
        <v>-343</v>
      </c>
      <c r="BP74" s="229">
        <v>-0.4516</v>
      </c>
      <c r="BQ74" s="230">
        <v>1524</v>
      </c>
      <c r="BR74" s="230">
        <v>2580</v>
      </c>
      <c r="BS74" s="230">
        <v>-1056</v>
      </c>
      <c r="BT74" s="229">
        <v>-0.4093</v>
      </c>
      <c r="BU74" s="230">
        <v>1434869</v>
      </c>
      <c r="BV74" s="230">
        <v>2063086</v>
      </c>
      <c r="BW74" s="230">
        <v>-628217</v>
      </c>
      <c r="BX74" s="229">
        <v>-0.30449999999999999</v>
      </c>
      <c r="BY74" s="230">
        <v>2831</v>
      </c>
      <c r="BZ74" s="230">
        <v>2882</v>
      </c>
      <c r="CA74" s="228">
        <v>-51</v>
      </c>
      <c r="CB74" s="229">
        <v>-1.78E-2</v>
      </c>
      <c r="CC74" s="230">
        <v>2634</v>
      </c>
      <c r="CD74" s="230">
        <v>2701</v>
      </c>
      <c r="CE74" s="228">
        <v>-67</v>
      </c>
      <c r="CF74" s="229">
        <v>-2.4899999999999999E-2</v>
      </c>
      <c r="CG74" s="228">
        <v>183</v>
      </c>
      <c r="CH74" s="228">
        <v>167</v>
      </c>
      <c r="CI74" s="228">
        <v>16</v>
      </c>
      <c r="CJ74" s="229">
        <v>9.2899999999999996E-2</v>
      </c>
      <c r="CK74" s="228">
        <v>15</v>
      </c>
      <c r="CL74" s="228">
        <v>14</v>
      </c>
      <c r="CM74" s="228">
        <v>1</v>
      </c>
      <c r="CN74" s="229">
        <v>3.61E-2</v>
      </c>
      <c r="CO74" s="230">
        <v>1225</v>
      </c>
      <c r="CP74" s="230">
        <v>1210</v>
      </c>
      <c r="CQ74" s="228">
        <v>14</v>
      </c>
      <c r="CR74" s="229">
        <v>1.17E-2</v>
      </c>
      <c r="CS74" s="228">
        <v>700</v>
      </c>
      <c r="CT74" s="228">
        <v>709</v>
      </c>
      <c r="CU74" s="228">
        <v>-9</v>
      </c>
      <c r="CV74" s="229">
        <v>-1.26E-2</v>
      </c>
      <c r="CW74" s="230">
        <v>4756</v>
      </c>
      <c r="CX74" s="230">
        <v>4802</v>
      </c>
      <c r="CY74" s="228">
        <v>-46</v>
      </c>
      <c r="CZ74" s="229">
        <v>-9.5999999999999992E-3</v>
      </c>
      <c r="DA74" s="228">
        <v>18.809999999999999</v>
      </c>
      <c r="DB74" s="228">
        <v>19.03</v>
      </c>
      <c r="DC74" s="228">
        <v>-0.22</v>
      </c>
      <c r="DD74" s="228">
        <v>-0.22</v>
      </c>
      <c r="DE74" s="228">
        <v>28.04</v>
      </c>
      <c r="DF74" s="228">
        <v>28.11</v>
      </c>
      <c r="DG74" s="228">
        <v>-9.23</v>
      </c>
      <c r="DH74" s="228">
        <v>-7.0000000000000007E-2</v>
      </c>
      <c r="DI74" s="228">
        <v>18.649999999999999</v>
      </c>
      <c r="DJ74" s="228">
        <v>19.04</v>
      </c>
      <c r="DK74" s="228">
        <v>-0.39</v>
      </c>
      <c r="DL74" s="228">
        <v>-0.39</v>
      </c>
      <c r="DM74" s="228">
        <v>19.11</v>
      </c>
      <c r="DN74" s="228">
        <v>19.010000000000002</v>
      </c>
      <c r="DO74" s="228">
        <v>0.1</v>
      </c>
      <c r="DP74" s="228">
        <v>0.1</v>
      </c>
      <c r="DQ74" s="228">
        <v>0.56999999999999995</v>
      </c>
      <c r="DR74" s="228">
        <v>0.59</v>
      </c>
      <c r="DS74" s="228">
        <v>-0.02</v>
      </c>
      <c r="DT74" s="229">
        <v>-3.39E-2</v>
      </c>
      <c r="DU74" s="231">
        <v>1720</v>
      </c>
      <c r="DV74" s="231">
        <v>1440</v>
      </c>
      <c r="DW74" s="228">
        <v>0.5</v>
      </c>
      <c r="DX74" s="228">
        <v>0.59</v>
      </c>
      <c r="DY74" s="228">
        <v>-0.09</v>
      </c>
      <c r="DZ74" s="229">
        <v>-0.1525</v>
      </c>
      <c r="EA74" s="229">
        <v>6.9800000000000001E-2</v>
      </c>
      <c r="EB74" s="230">
        <v>1093050</v>
      </c>
      <c r="EC74" s="229">
        <v>-1.5E-3</v>
      </c>
      <c r="ED74" s="229">
        <v>6.9800000000000001E-2</v>
      </c>
      <c r="EE74" s="228">
        <v>-3.36</v>
      </c>
      <c r="EF74" s="229">
        <v>-2E-3</v>
      </c>
      <c r="EG74" s="230">
        <v>934976</v>
      </c>
      <c r="EH74" s="230">
        <v>1330452</v>
      </c>
      <c r="EI74" s="229">
        <v>-0.29720000000000002</v>
      </c>
      <c r="EJ74" s="229">
        <v>0.65159999999999996</v>
      </c>
      <c r="EK74" s="228">
        <v>859.64</v>
      </c>
      <c r="EL74" s="228">
        <v>413.48</v>
      </c>
      <c r="EM74" s="228">
        <v>269.87</v>
      </c>
      <c r="EN74" s="228">
        <v>57.01</v>
      </c>
      <c r="EO74" s="231">
        <v>1542.98</v>
      </c>
      <c r="EP74" s="231">
        <v>2616.9499999999998</v>
      </c>
      <c r="EQ74" s="231">
        <v>-1073.97</v>
      </c>
      <c r="ER74" s="229">
        <v>-0.41039999999999999</v>
      </c>
      <c r="ES74" s="231">
        <v>1269.8900000000001</v>
      </c>
      <c r="ET74" s="228">
        <v>661.67</v>
      </c>
      <c r="EU74" s="231">
        <v>2830.9</v>
      </c>
      <c r="EV74" s="231">
        <v>145993539</v>
      </c>
      <c r="EW74" s="231">
        <v>4762.46</v>
      </c>
      <c r="EX74" s="231">
        <v>4801.8599999999997</v>
      </c>
      <c r="EY74" s="228">
        <v>-39.4</v>
      </c>
      <c r="EZ74" s="229">
        <v>-8.2000000000000007E-3</v>
      </c>
      <c r="FA74" s="229">
        <v>0.1961</v>
      </c>
      <c r="FB74" s="227" t="s">
        <v>556</v>
      </c>
      <c r="FC74">
        <f t="shared" si="1"/>
        <v>197</v>
      </c>
    </row>
    <row r="75" spans="1:159" ht="17.25" thickBot="1" x14ac:dyDescent="0.3">
      <c r="A75" s="226">
        <v>46008</v>
      </c>
      <c r="B75" s="227" t="s">
        <v>175</v>
      </c>
      <c r="C75" s="227" t="s">
        <v>475</v>
      </c>
      <c r="D75" s="228">
        <v>300</v>
      </c>
      <c r="E75" s="228">
        <v>13</v>
      </c>
      <c r="F75" s="231">
        <v>2548.9</v>
      </c>
      <c r="G75" s="231">
        <v>2592.8000000000002</v>
      </c>
      <c r="H75" s="228">
        <v>-43.9</v>
      </c>
      <c r="I75" s="229">
        <v>-1.6899999999999998E-2</v>
      </c>
      <c r="J75" s="231">
        <v>2541.1999999999998</v>
      </c>
      <c r="K75" s="231">
        <v>2583.6999999999998</v>
      </c>
      <c r="L75" s="228">
        <v>-42.5</v>
      </c>
      <c r="M75" s="229">
        <v>-1.6400000000000001E-2</v>
      </c>
      <c r="N75" s="231">
        <v>2548.9</v>
      </c>
      <c r="O75" s="231">
        <v>2592.8000000000002</v>
      </c>
      <c r="P75" s="228">
        <v>-43.9</v>
      </c>
      <c r="Q75" s="229">
        <v>-1.6899999999999998E-2</v>
      </c>
      <c r="R75" s="231">
        <v>2563.8000000000002</v>
      </c>
      <c r="S75" s="231">
        <v>2608.1999999999998</v>
      </c>
      <c r="T75" s="228">
        <v>-44.4</v>
      </c>
      <c r="U75" s="229">
        <v>-1.7000000000000001E-2</v>
      </c>
      <c r="V75" s="231">
        <v>2579.5</v>
      </c>
      <c r="W75" s="231">
        <v>2623</v>
      </c>
      <c r="X75" s="228">
        <v>-43.5</v>
      </c>
      <c r="Y75" s="229">
        <v>-1.66E-2</v>
      </c>
      <c r="Z75" s="228">
        <v>7.7</v>
      </c>
      <c r="AA75" s="228">
        <v>9.1</v>
      </c>
      <c r="AB75" s="228">
        <v>-1.4</v>
      </c>
      <c r="AC75" s="229">
        <v>3.0000000000000001E-3</v>
      </c>
      <c r="AD75" s="228">
        <v>7.7</v>
      </c>
      <c r="AE75" s="228">
        <v>9.1</v>
      </c>
      <c r="AF75" s="228">
        <v>-1.4</v>
      </c>
      <c r="AG75" s="229">
        <v>3.0000000000000001E-3</v>
      </c>
      <c r="AH75" s="228">
        <v>22.6</v>
      </c>
      <c r="AI75" s="228">
        <v>24.5</v>
      </c>
      <c r="AJ75" s="228">
        <v>-1.9</v>
      </c>
      <c r="AK75" s="229">
        <v>8.8999999999999999E-3</v>
      </c>
      <c r="AL75" s="228">
        <v>38.299999999999997</v>
      </c>
      <c r="AM75" s="228">
        <v>39.299999999999997</v>
      </c>
      <c r="AN75" s="228">
        <v>-1</v>
      </c>
      <c r="AO75" s="229">
        <v>1.5100000000000001E-2</v>
      </c>
      <c r="AP75" s="231">
        <v>2564.84</v>
      </c>
      <c r="AQ75" s="231">
        <v>2572.65</v>
      </c>
      <c r="AR75" s="228">
        <v>0</v>
      </c>
      <c r="AS75" s="228">
        <v>318</v>
      </c>
      <c r="AT75" s="228">
        <v>342</v>
      </c>
      <c r="AU75" s="228">
        <v>-24</v>
      </c>
      <c r="AV75" s="229">
        <v>-7.0900000000000005E-2</v>
      </c>
      <c r="AW75" s="228">
        <v>251</v>
      </c>
      <c r="AX75" s="228">
        <v>287</v>
      </c>
      <c r="AY75" s="228">
        <v>-35</v>
      </c>
      <c r="AZ75" s="229">
        <v>-0.1237</v>
      </c>
      <c r="BA75" s="228">
        <v>63</v>
      </c>
      <c r="BB75" s="228">
        <v>55</v>
      </c>
      <c r="BC75" s="228">
        <v>9</v>
      </c>
      <c r="BD75" s="229">
        <v>0.1641</v>
      </c>
      <c r="BE75" s="228">
        <v>3</v>
      </c>
      <c r="BF75" s="228">
        <v>1</v>
      </c>
      <c r="BG75" s="228">
        <v>2</v>
      </c>
      <c r="BH75" s="229">
        <v>3.3332999999999999</v>
      </c>
      <c r="BI75" s="228">
        <v>543</v>
      </c>
      <c r="BJ75" s="228">
        <v>485</v>
      </c>
      <c r="BK75" s="228">
        <v>58</v>
      </c>
      <c r="BL75" s="229">
        <v>0.11890000000000001</v>
      </c>
      <c r="BM75" s="228">
        <v>531</v>
      </c>
      <c r="BN75" s="228">
        <v>325</v>
      </c>
      <c r="BO75" s="228">
        <v>206</v>
      </c>
      <c r="BP75" s="229">
        <v>0.63600000000000001</v>
      </c>
      <c r="BQ75" s="230">
        <v>1392</v>
      </c>
      <c r="BR75" s="230">
        <v>1152</v>
      </c>
      <c r="BS75" s="228">
        <v>240</v>
      </c>
      <c r="BT75" s="229">
        <v>0.2082</v>
      </c>
      <c r="BU75" s="230">
        <v>508341</v>
      </c>
      <c r="BV75" s="230">
        <v>1024029</v>
      </c>
      <c r="BW75" s="230">
        <v>-515688</v>
      </c>
      <c r="BX75" s="229">
        <v>-0.50360000000000005</v>
      </c>
      <c r="BY75" s="230">
        <v>1268</v>
      </c>
      <c r="BZ75" s="230">
        <v>1224</v>
      </c>
      <c r="CA75" s="228">
        <v>44</v>
      </c>
      <c r="CB75" s="229">
        <v>3.5900000000000001E-2</v>
      </c>
      <c r="CC75" s="230">
        <v>1122</v>
      </c>
      <c r="CD75" s="230">
        <v>1124</v>
      </c>
      <c r="CE75" s="228">
        <v>-2</v>
      </c>
      <c r="CF75" s="229">
        <v>-1.6000000000000001E-3</v>
      </c>
      <c r="CG75" s="228">
        <v>142</v>
      </c>
      <c r="CH75" s="228">
        <v>96</v>
      </c>
      <c r="CI75" s="228">
        <v>45</v>
      </c>
      <c r="CJ75" s="229">
        <v>0.47139999999999999</v>
      </c>
      <c r="CK75" s="228">
        <v>5</v>
      </c>
      <c r="CL75" s="228">
        <v>5</v>
      </c>
      <c r="CM75" s="228">
        <v>0</v>
      </c>
      <c r="CN75" s="229">
        <v>0.1017</v>
      </c>
      <c r="CO75" s="228">
        <v>570</v>
      </c>
      <c r="CP75" s="228">
        <v>511</v>
      </c>
      <c r="CQ75" s="228">
        <v>59</v>
      </c>
      <c r="CR75" s="229">
        <v>0.1149</v>
      </c>
      <c r="CS75" s="228">
        <v>445</v>
      </c>
      <c r="CT75" s="228">
        <v>371</v>
      </c>
      <c r="CU75" s="228">
        <v>74</v>
      </c>
      <c r="CV75" s="229">
        <v>0.19980000000000001</v>
      </c>
      <c r="CW75" s="230">
        <v>2283</v>
      </c>
      <c r="CX75" s="230">
        <v>2106</v>
      </c>
      <c r="CY75" s="228">
        <v>177</v>
      </c>
      <c r="CZ75" s="229">
        <v>8.3900000000000002E-2</v>
      </c>
      <c r="DA75" s="228">
        <v>25.85</v>
      </c>
      <c r="DB75" s="228">
        <v>23.55</v>
      </c>
      <c r="DC75" s="228">
        <v>2.2999999999999998</v>
      </c>
      <c r="DD75" s="228">
        <v>2.2999999999999998</v>
      </c>
      <c r="DE75" s="228">
        <v>33.090000000000003</v>
      </c>
      <c r="DF75" s="228">
        <v>33.1</v>
      </c>
      <c r="DG75" s="228">
        <v>-7.24</v>
      </c>
      <c r="DH75" s="228">
        <v>-0.01</v>
      </c>
      <c r="DI75" s="228">
        <v>25.76</v>
      </c>
      <c r="DJ75" s="228">
        <v>23.58</v>
      </c>
      <c r="DK75" s="228">
        <v>2.1800000000000002</v>
      </c>
      <c r="DL75" s="228">
        <v>2.1800000000000002</v>
      </c>
      <c r="DM75" s="228">
        <v>25.94</v>
      </c>
      <c r="DN75" s="228">
        <v>23.49</v>
      </c>
      <c r="DO75" s="228">
        <v>2.4500000000000002</v>
      </c>
      <c r="DP75" s="228">
        <v>2.4500000000000002</v>
      </c>
      <c r="DQ75" s="228">
        <v>0.78</v>
      </c>
      <c r="DR75" s="228">
        <v>0.73</v>
      </c>
      <c r="DS75" s="228">
        <v>0.05</v>
      </c>
      <c r="DT75" s="229">
        <v>6.8500000000000005E-2</v>
      </c>
      <c r="DU75" s="231">
        <v>2700</v>
      </c>
      <c r="DV75" s="231">
        <v>2500</v>
      </c>
      <c r="DW75" s="228">
        <v>0.98</v>
      </c>
      <c r="DX75" s="228">
        <v>0.67</v>
      </c>
      <c r="DY75" s="228">
        <v>0.31</v>
      </c>
      <c r="DZ75" s="229">
        <v>0.4627</v>
      </c>
      <c r="EA75" s="229">
        <v>0.11550000000000001</v>
      </c>
      <c r="EB75" s="230">
        <v>395100</v>
      </c>
      <c r="EC75" s="229">
        <v>5.7999999999999996E-3</v>
      </c>
      <c r="ED75" s="229">
        <v>0.11550000000000001</v>
      </c>
      <c r="EE75" s="228">
        <v>7.81</v>
      </c>
      <c r="EF75" s="229">
        <v>3.0000000000000001E-3</v>
      </c>
      <c r="EG75" s="230">
        <v>293844</v>
      </c>
      <c r="EH75" s="230">
        <v>766121</v>
      </c>
      <c r="EI75" s="229">
        <v>-0.61650000000000005</v>
      </c>
      <c r="EJ75" s="229">
        <v>0.57799999999999996</v>
      </c>
      <c r="EK75" s="228">
        <v>569.03</v>
      </c>
      <c r="EL75" s="228">
        <v>530.9</v>
      </c>
      <c r="EM75" s="228">
        <v>320.08999999999997</v>
      </c>
      <c r="EN75" s="228">
        <v>38.79</v>
      </c>
      <c r="EO75" s="231">
        <v>1420.03</v>
      </c>
      <c r="EP75" s="231">
        <v>1189.93</v>
      </c>
      <c r="EQ75" s="228">
        <v>230.1</v>
      </c>
      <c r="ER75" s="229">
        <v>0.19339999999999999</v>
      </c>
      <c r="ES75" s="228">
        <v>606.04999999999995</v>
      </c>
      <c r="ET75" s="228">
        <v>446.52</v>
      </c>
      <c r="EU75" s="231">
        <v>1269.32</v>
      </c>
      <c r="EV75" s="231">
        <v>30518916</v>
      </c>
      <c r="EW75" s="231">
        <v>2321.89</v>
      </c>
      <c r="EX75" s="231">
        <v>2166.04</v>
      </c>
      <c r="EY75" s="228">
        <v>155.85</v>
      </c>
      <c r="EZ75" s="229">
        <v>7.1999999999999995E-2</v>
      </c>
      <c r="FA75" s="229">
        <v>0.29349999999999998</v>
      </c>
      <c r="FB75" s="227" t="s">
        <v>567</v>
      </c>
      <c r="FC75">
        <f t="shared" si="1"/>
        <v>146</v>
      </c>
    </row>
    <row r="76" spans="1:159" ht="17.25" thickBot="1" x14ac:dyDescent="0.3">
      <c r="A76" s="226">
        <v>46008</v>
      </c>
      <c r="B76" s="227" t="s">
        <v>172</v>
      </c>
      <c r="C76" s="227" t="s">
        <v>224</v>
      </c>
      <c r="D76" s="228">
        <v>550</v>
      </c>
      <c r="E76" s="228">
        <v>13</v>
      </c>
      <c r="F76" s="228">
        <v>987.5</v>
      </c>
      <c r="G76" s="228">
        <v>998.2</v>
      </c>
      <c r="H76" s="228">
        <v>-10.7</v>
      </c>
      <c r="I76" s="229">
        <v>-1.0699999999999999E-2</v>
      </c>
      <c r="J76" s="228">
        <v>984</v>
      </c>
      <c r="K76" s="228">
        <v>994.3</v>
      </c>
      <c r="L76" s="228">
        <v>-10.3</v>
      </c>
      <c r="M76" s="229">
        <v>-1.04E-2</v>
      </c>
      <c r="N76" s="228">
        <v>987.5</v>
      </c>
      <c r="O76" s="228">
        <v>998.2</v>
      </c>
      <c r="P76" s="228">
        <v>-10.7</v>
      </c>
      <c r="Q76" s="229">
        <v>-1.0699999999999999E-2</v>
      </c>
      <c r="R76" s="228">
        <v>993.7</v>
      </c>
      <c r="S76" s="231">
        <v>1004.2</v>
      </c>
      <c r="T76" s="228">
        <v>-10.5</v>
      </c>
      <c r="U76" s="229">
        <v>-1.0500000000000001E-2</v>
      </c>
      <c r="V76" s="228">
        <v>999.6</v>
      </c>
      <c r="W76" s="231">
        <v>1010.3</v>
      </c>
      <c r="X76" s="228">
        <v>-10.7</v>
      </c>
      <c r="Y76" s="229">
        <v>-1.06E-2</v>
      </c>
      <c r="Z76" s="228">
        <v>3.5</v>
      </c>
      <c r="AA76" s="228">
        <v>3.9</v>
      </c>
      <c r="AB76" s="228">
        <v>-0.4</v>
      </c>
      <c r="AC76" s="229">
        <v>3.5999999999999999E-3</v>
      </c>
      <c r="AD76" s="228">
        <v>3.5</v>
      </c>
      <c r="AE76" s="228">
        <v>3.9</v>
      </c>
      <c r="AF76" s="228">
        <v>-0.4</v>
      </c>
      <c r="AG76" s="229">
        <v>3.5999999999999999E-3</v>
      </c>
      <c r="AH76" s="228">
        <v>9.6999999999999993</v>
      </c>
      <c r="AI76" s="228">
        <v>9.9</v>
      </c>
      <c r="AJ76" s="228">
        <v>-0.2</v>
      </c>
      <c r="AK76" s="229">
        <v>9.9000000000000008E-3</v>
      </c>
      <c r="AL76" s="228">
        <v>15.6</v>
      </c>
      <c r="AM76" s="228">
        <v>16</v>
      </c>
      <c r="AN76" s="228">
        <v>-0.4</v>
      </c>
      <c r="AO76" s="229">
        <v>1.5900000000000001E-2</v>
      </c>
      <c r="AP76" s="228">
        <v>988.52</v>
      </c>
      <c r="AQ76" s="228">
        <v>993.61</v>
      </c>
      <c r="AR76" s="228">
        <v>0</v>
      </c>
      <c r="AS76" s="230">
        <v>1987</v>
      </c>
      <c r="AT76" s="230">
        <v>2748</v>
      </c>
      <c r="AU76" s="228">
        <v>-761</v>
      </c>
      <c r="AV76" s="229">
        <v>-0.27679999999999999</v>
      </c>
      <c r="AW76" s="230">
        <v>1179</v>
      </c>
      <c r="AX76" s="230">
        <v>2049</v>
      </c>
      <c r="AY76" s="228">
        <v>-870</v>
      </c>
      <c r="AZ76" s="229">
        <v>-0.42459999999999998</v>
      </c>
      <c r="BA76" s="228">
        <v>796</v>
      </c>
      <c r="BB76" s="228">
        <v>695</v>
      </c>
      <c r="BC76" s="228">
        <v>101</v>
      </c>
      <c r="BD76" s="229">
        <v>0.1457</v>
      </c>
      <c r="BE76" s="228">
        <v>12</v>
      </c>
      <c r="BF76" s="228">
        <v>4</v>
      </c>
      <c r="BG76" s="228">
        <v>8</v>
      </c>
      <c r="BH76" s="229">
        <v>1.9467000000000001</v>
      </c>
      <c r="BI76" s="230">
        <v>5135</v>
      </c>
      <c r="BJ76" s="230">
        <v>3699</v>
      </c>
      <c r="BK76" s="230">
        <v>1436</v>
      </c>
      <c r="BL76" s="229">
        <v>0.3881</v>
      </c>
      <c r="BM76" s="230">
        <v>3198</v>
      </c>
      <c r="BN76" s="230">
        <v>2899</v>
      </c>
      <c r="BO76" s="228">
        <v>299</v>
      </c>
      <c r="BP76" s="229">
        <v>0.1033</v>
      </c>
      <c r="BQ76" s="230">
        <v>10321</v>
      </c>
      <c r="BR76" s="230">
        <v>9346</v>
      </c>
      <c r="BS76" s="228">
        <v>975</v>
      </c>
      <c r="BT76" s="229">
        <v>0.1043</v>
      </c>
      <c r="BU76" s="230">
        <v>20149342</v>
      </c>
      <c r="BV76" s="230">
        <v>20849838</v>
      </c>
      <c r="BW76" s="230">
        <v>-700496</v>
      </c>
      <c r="BX76" s="229">
        <v>-3.3599999999999998E-2</v>
      </c>
      <c r="BY76" s="230">
        <v>21888</v>
      </c>
      <c r="BZ76" s="230">
        <v>21293</v>
      </c>
      <c r="CA76" s="228">
        <v>595</v>
      </c>
      <c r="CB76" s="229">
        <v>2.8000000000000001E-2</v>
      </c>
      <c r="CC76" s="230">
        <v>18271</v>
      </c>
      <c r="CD76" s="230">
        <v>18426</v>
      </c>
      <c r="CE76" s="228">
        <v>-155</v>
      </c>
      <c r="CF76" s="229">
        <v>-8.3999999999999995E-3</v>
      </c>
      <c r="CG76" s="230">
        <v>3527</v>
      </c>
      <c r="CH76" s="230">
        <v>2782</v>
      </c>
      <c r="CI76" s="228">
        <v>745</v>
      </c>
      <c r="CJ76" s="229">
        <v>0.26779999999999998</v>
      </c>
      <c r="CK76" s="228">
        <v>90</v>
      </c>
      <c r="CL76" s="228">
        <v>84</v>
      </c>
      <c r="CM76" s="228">
        <v>6</v>
      </c>
      <c r="CN76" s="229">
        <v>6.7299999999999999E-2</v>
      </c>
      <c r="CO76" s="230">
        <v>4286</v>
      </c>
      <c r="CP76" s="230">
        <v>3637</v>
      </c>
      <c r="CQ76" s="228">
        <v>648</v>
      </c>
      <c r="CR76" s="229">
        <v>0.1782</v>
      </c>
      <c r="CS76" s="230">
        <v>2745</v>
      </c>
      <c r="CT76" s="230">
        <v>2706</v>
      </c>
      <c r="CU76" s="228">
        <v>39</v>
      </c>
      <c r="CV76" s="229">
        <v>1.44E-2</v>
      </c>
      <c r="CW76" s="230">
        <v>28918</v>
      </c>
      <c r="CX76" s="230">
        <v>27636</v>
      </c>
      <c r="CY76" s="230">
        <v>1282</v>
      </c>
      <c r="CZ76" s="229">
        <v>4.6399999999999997E-2</v>
      </c>
      <c r="DA76" s="228">
        <v>15.62</v>
      </c>
      <c r="DB76" s="228">
        <v>14.83</v>
      </c>
      <c r="DC76" s="228">
        <v>0.79</v>
      </c>
      <c r="DD76" s="228">
        <v>0.79</v>
      </c>
      <c r="DE76" s="228">
        <v>20</v>
      </c>
      <c r="DF76" s="228">
        <v>20</v>
      </c>
      <c r="DG76" s="228">
        <v>-4.38</v>
      </c>
      <c r="DH76" s="228">
        <v>0</v>
      </c>
      <c r="DI76" s="228">
        <v>15.83</v>
      </c>
      <c r="DJ76" s="228">
        <v>14.92</v>
      </c>
      <c r="DK76" s="228">
        <v>0.91</v>
      </c>
      <c r="DL76" s="228">
        <v>0.91</v>
      </c>
      <c r="DM76" s="228">
        <v>15.28</v>
      </c>
      <c r="DN76" s="228">
        <v>14.73</v>
      </c>
      <c r="DO76" s="228">
        <v>0.55000000000000004</v>
      </c>
      <c r="DP76" s="228">
        <v>0.55000000000000004</v>
      </c>
      <c r="DQ76" s="228">
        <v>0.64</v>
      </c>
      <c r="DR76" s="228">
        <v>0.74</v>
      </c>
      <c r="DS76" s="228">
        <v>-0.1</v>
      </c>
      <c r="DT76" s="229">
        <v>-0.1351</v>
      </c>
      <c r="DU76" s="231">
        <v>1000</v>
      </c>
      <c r="DV76" s="231">
        <v>1000</v>
      </c>
      <c r="DW76" s="228">
        <v>0.62</v>
      </c>
      <c r="DX76" s="228">
        <v>0.78</v>
      </c>
      <c r="DY76" s="228">
        <v>-0.16</v>
      </c>
      <c r="DZ76" s="229">
        <v>-0.2051</v>
      </c>
      <c r="EA76" s="229">
        <v>0.1653</v>
      </c>
      <c r="EB76" s="230">
        <v>29026250</v>
      </c>
      <c r="EC76" s="229">
        <v>6.3E-3</v>
      </c>
      <c r="ED76" s="229">
        <v>0.1653</v>
      </c>
      <c r="EE76" s="228">
        <v>5.09</v>
      </c>
      <c r="EF76" s="229">
        <v>5.1000000000000004E-3</v>
      </c>
      <c r="EG76" s="230">
        <v>14624529</v>
      </c>
      <c r="EH76" s="230">
        <v>11299617</v>
      </c>
      <c r="EI76" s="229">
        <v>0.29420000000000002</v>
      </c>
      <c r="EJ76" s="229">
        <v>0.7258</v>
      </c>
      <c r="EK76" s="231">
        <v>5260.39</v>
      </c>
      <c r="EL76" s="231">
        <v>3207.62</v>
      </c>
      <c r="EM76" s="231">
        <v>1993.59</v>
      </c>
      <c r="EN76" s="228">
        <v>304.54000000000002</v>
      </c>
      <c r="EO76" s="231">
        <v>10461.6</v>
      </c>
      <c r="EP76" s="231">
        <v>9523.82</v>
      </c>
      <c r="EQ76" s="228">
        <v>937.78</v>
      </c>
      <c r="ER76" s="229">
        <v>9.8500000000000004E-2</v>
      </c>
      <c r="ES76" s="231">
        <v>4427.45</v>
      </c>
      <c r="ET76" s="231">
        <v>2702.94</v>
      </c>
      <c r="EU76" s="231">
        <v>21911.29</v>
      </c>
      <c r="EV76" s="231">
        <v>1329733550</v>
      </c>
      <c r="EW76" s="231">
        <v>29041.69</v>
      </c>
      <c r="EX76" s="231">
        <v>27990.23</v>
      </c>
      <c r="EY76" s="231">
        <v>1051.46</v>
      </c>
      <c r="EZ76" s="229">
        <v>3.7600000000000001E-2</v>
      </c>
      <c r="FA76" s="229">
        <v>0.22020000000000001</v>
      </c>
      <c r="FB76" s="227" t="s">
        <v>567</v>
      </c>
      <c r="FC76">
        <f t="shared" si="1"/>
        <v>3617</v>
      </c>
    </row>
    <row r="77" spans="1:159" ht="17.25" thickBot="1" x14ac:dyDescent="0.3">
      <c r="A77" s="226">
        <v>46008</v>
      </c>
      <c r="B77" s="227" t="s">
        <v>175</v>
      </c>
      <c r="C77" s="227" t="s">
        <v>225</v>
      </c>
      <c r="D77" s="228">
        <v>1100</v>
      </c>
      <c r="E77" s="228">
        <v>13</v>
      </c>
      <c r="F77" s="228">
        <v>754.85</v>
      </c>
      <c r="G77" s="228">
        <v>767.45</v>
      </c>
      <c r="H77" s="228">
        <v>-12.6</v>
      </c>
      <c r="I77" s="229">
        <v>-1.6400000000000001E-2</v>
      </c>
      <c r="J77" s="228">
        <v>753.5</v>
      </c>
      <c r="K77" s="228">
        <v>764.35</v>
      </c>
      <c r="L77" s="228">
        <v>-10.85</v>
      </c>
      <c r="M77" s="229">
        <v>-1.4200000000000001E-2</v>
      </c>
      <c r="N77" s="228">
        <v>754.85</v>
      </c>
      <c r="O77" s="228">
        <v>767.45</v>
      </c>
      <c r="P77" s="228">
        <v>-12.6</v>
      </c>
      <c r="Q77" s="229">
        <v>-1.6400000000000001E-2</v>
      </c>
      <c r="R77" s="228">
        <v>759.8</v>
      </c>
      <c r="S77" s="228">
        <v>772.25</v>
      </c>
      <c r="T77" s="228">
        <v>-12.45</v>
      </c>
      <c r="U77" s="229">
        <v>-1.61E-2</v>
      </c>
      <c r="V77" s="228">
        <v>763.95</v>
      </c>
      <c r="W77" s="228">
        <v>776.95</v>
      </c>
      <c r="X77" s="228">
        <v>-13</v>
      </c>
      <c r="Y77" s="229">
        <v>-1.67E-2</v>
      </c>
      <c r="Z77" s="228">
        <v>1.35</v>
      </c>
      <c r="AA77" s="228">
        <v>3.1</v>
      </c>
      <c r="AB77" s="228">
        <v>-1.75</v>
      </c>
      <c r="AC77" s="229">
        <v>1.8E-3</v>
      </c>
      <c r="AD77" s="228">
        <v>1.35</v>
      </c>
      <c r="AE77" s="228">
        <v>3.1</v>
      </c>
      <c r="AF77" s="228">
        <v>-1.75</v>
      </c>
      <c r="AG77" s="229">
        <v>1.8E-3</v>
      </c>
      <c r="AH77" s="228">
        <v>6.3</v>
      </c>
      <c r="AI77" s="228">
        <v>7.9</v>
      </c>
      <c r="AJ77" s="228">
        <v>-1.6</v>
      </c>
      <c r="AK77" s="229">
        <v>8.3999999999999995E-3</v>
      </c>
      <c r="AL77" s="228">
        <v>10.45</v>
      </c>
      <c r="AM77" s="228">
        <v>12.6</v>
      </c>
      <c r="AN77" s="228">
        <v>-2.15</v>
      </c>
      <c r="AO77" s="229">
        <v>1.3899999999999999E-2</v>
      </c>
      <c r="AP77" s="228">
        <v>756.67</v>
      </c>
      <c r="AQ77" s="228">
        <v>763.26</v>
      </c>
      <c r="AR77" s="228">
        <v>0</v>
      </c>
      <c r="AS77" s="228">
        <v>335</v>
      </c>
      <c r="AT77" s="228">
        <v>310</v>
      </c>
      <c r="AU77" s="228">
        <v>25</v>
      </c>
      <c r="AV77" s="229">
        <v>8.1100000000000005E-2</v>
      </c>
      <c r="AW77" s="228">
        <v>296</v>
      </c>
      <c r="AX77" s="228">
        <v>251</v>
      </c>
      <c r="AY77" s="228">
        <v>44</v>
      </c>
      <c r="AZ77" s="229">
        <v>0.1767</v>
      </c>
      <c r="BA77" s="228">
        <v>37</v>
      </c>
      <c r="BB77" s="228">
        <v>57</v>
      </c>
      <c r="BC77" s="228">
        <v>-20</v>
      </c>
      <c r="BD77" s="229">
        <v>-0.3498</v>
      </c>
      <c r="BE77" s="228">
        <v>2</v>
      </c>
      <c r="BF77" s="228">
        <v>1</v>
      </c>
      <c r="BG77" s="228">
        <v>1</v>
      </c>
      <c r="BH77" s="229">
        <v>0.52939999999999998</v>
      </c>
      <c r="BI77" s="230">
        <v>2277</v>
      </c>
      <c r="BJ77" s="230">
        <v>2175</v>
      </c>
      <c r="BK77" s="228">
        <v>102</v>
      </c>
      <c r="BL77" s="229">
        <v>4.7E-2</v>
      </c>
      <c r="BM77" s="228">
        <v>735</v>
      </c>
      <c r="BN77" s="228">
        <v>601</v>
      </c>
      <c r="BO77" s="228">
        <v>134</v>
      </c>
      <c r="BP77" s="229">
        <v>0.222</v>
      </c>
      <c r="BQ77" s="230">
        <v>3347</v>
      </c>
      <c r="BR77" s="230">
        <v>3086</v>
      </c>
      <c r="BS77" s="228">
        <v>261</v>
      </c>
      <c r="BT77" s="229">
        <v>8.4500000000000006E-2</v>
      </c>
      <c r="BU77" s="230">
        <v>1863967</v>
      </c>
      <c r="BV77" s="230">
        <v>2170322</v>
      </c>
      <c r="BW77" s="230">
        <v>-306355</v>
      </c>
      <c r="BX77" s="229">
        <v>-0.14119999999999999</v>
      </c>
      <c r="BY77" s="230">
        <v>2373</v>
      </c>
      <c r="BZ77" s="230">
        <v>2316</v>
      </c>
      <c r="CA77" s="228">
        <v>56</v>
      </c>
      <c r="CB77" s="229">
        <v>2.4299999999999999E-2</v>
      </c>
      <c r="CC77" s="230">
        <v>2180</v>
      </c>
      <c r="CD77" s="230">
        <v>2144</v>
      </c>
      <c r="CE77" s="228">
        <v>36</v>
      </c>
      <c r="CF77" s="229">
        <v>1.6899999999999998E-2</v>
      </c>
      <c r="CG77" s="228">
        <v>182</v>
      </c>
      <c r="CH77" s="228">
        <v>163</v>
      </c>
      <c r="CI77" s="228">
        <v>19</v>
      </c>
      <c r="CJ77" s="229">
        <v>0.1173</v>
      </c>
      <c r="CK77" s="228">
        <v>11</v>
      </c>
      <c r="CL77" s="228">
        <v>10</v>
      </c>
      <c r="CM77" s="228">
        <v>1</v>
      </c>
      <c r="CN77" s="229">
        <v>0.1111</v>
      </c>
      <c r="CO77" s="230">
        <v>1490</v>
      </c>
      <c r="CP77" s="230">
        <v>1629</v>
      </c>
      <c r="CQ77" s="228">
        <v>-139</v>
      </c>
      <c r="CR77" s="229">
        <v>-8.5400000000000004E-2</v>
      </c>
      <c r="CS77" s="228">
        <v>645</v>
      </c>
      <c r="CT77" s="228">
        <v>675</v>
      </c>
      <c r="CU77" s="228">
        <v>-30</v>
      </c>
      <c r="CV77" s="229">
        <v>-4.4699999999999997E-2</v>
      </c>
      <c r="CW77" s="230">
        <v>4507</v>
      </c>
      <c r="CX77" s="230">
        <v>4620</v>
      </c>
      <c r="CY77" s="228">
        <v>-113</v>
      </c>
      <c r="CZ77" s="229">
        <v>-2.4400000000000002E-2</v>
      </c>
      <c r="DA77" s="228">
        <v>19.82</v>
      </c>
      <c r="DB77" s="228">
        <v>21.27</v>
      </c>
      <c r="DC77" s="228">
        <v>-1.45</v>
      </c>
      <c r="DD77" s="228">
        <v>-1.45</v>
      </c>
      <c r="DE77" s="228">
        <v>25.32</v>
      </c>
      <c r="DF77" s="228">
        <v>25.31</v>
      </c>
      <c r="DG77" s="228">
        <v>-5.5</v>
      </c>
      <c r="DH77" s="228">
        <v>0.01</v>
      </c>
      <c r="DI77" s="228">
        <v>20.440000000000001</v>
      </c>
      <c r="DJ77" s="228">
        <v>21.71</v>
      </c>
      <c r="DK77" s="228">
        <v>-1.27</v>
      </c>
      <c r="DL77" s="228">
        <v>-1.27</v>
      </c>
      <c r="DM77" s="228">
        <v>17.89</v>
      </c>
      <c r="DN77" s="228">
        <v>19.68</v>
      </c>
      <c r="DO77" s="228">
        <v>-1.79</v>
      </c>
      <c r="DP77" s="228">
        <v>-1.79</v>
      </c>
      <c r="DQ77" s="228">
        <v>0.43</v>
      </c>
      <c r="DR77" s="228">
        <v>0.41</v>
      </c>
      <c r="DS77" s="228">
        <v>0.02</v>
      </c>
      <c r="DT77" s="229">
        <v>4.8800000000000003E-2</v>
      </c>
      <c r="DU77" s="228">
        <v>800</v>
      </c>
      <c r="DV77" s="228">
        <v>700</v>
      </c>
      <c r="DW77" s="228">
        <v>0.32</v>
      </c>
      <c r="DX77" s="228">
        <v>0.28000000000000003</v>
      </c>
      <c r="DY77" s="228">
        <v>0.04</v>
      </c>
      <c r="DZ77" s="229">
        <v>0.1429</v>
      </c>
      <c r="EA77" s="229">
        <v>8.1199999999999994E-2</v>
      </c>
      <c r="EB77" s="230">
        <v>2285800</v>
      </c>
      <c r="EC77" s="229">
        <v>6.6E-3</v>
      </c>
      <c r="ED77" s="229">
        <v>8.1199999999999994E-2</v>
      </c>
      <c r="EE77" s="228">
        <v>6.59</v>
      </c>
      <c r="EF77" s="229">
        <v>8.6999999999999994E-3</v>
      </c>
      <c r="EG77" s="230">
        <v>972360</v>
      </c>
      <c r="EH77" s="230">
        <v>1216332</v>
      </c>
      <c r="EI77" s="229">
        <v>-0.2006</v>
      </c>
      <c r="EJ77" s="229">
        <v>0.52170000000000005</v>
      </c>
      <c r="EK77" s="231">
        <v>2381.29</v>
      </c>
      <c r="EL77" s="228">
        <v>734.64</v>
      </c>
      <c r="EM77" s="228">
        <v>336.36</v>
      </c>
      <c r="EN77" s="228">
        <v>32.57</v>
      </c>
      <c r="EO77" s="231">
        <v>3452.29</v>
      </c>
      <c r="EP77" s="231">
        <v>3234.67</v>
      </c>
      <c r="EQ77" s="228">
        <v>217.62</v>
      </c>
      <c r="ER77" s="229">
        <v>6.7299999999999999E-2</v>
      </c>
      <c r="ES77" s="231">
        <v>1579.84</v>
      </c>
      <c r="ET77" s="228">
        <v>634.22</v>
      </c>
      <c r="EU77" s="231">
        <v>2373.84</v>
      </c>
      <c r="EV77" s="231">
        <v>119296253</v>
      </c>
      <c r="EW77" s="231">
        <v>4587.8999999999996</v>
      </c>
      <c r="EX77" s="231">
        <v>4753.42</v>
      </c>
      <c r="EY77" s="228">
        <v>-165.52</v>
      </c>
      <c r="EZ77" s="229">
        <v>-3.4799999999999998E-2</v>
      </c>
      <c r="FA77" s="229">
        <v>0.50049999999999994</v>
      </c>
      <c r="FB77" s="227" t="s">
        <v>567</v>
      </c>
      <c r="FC77">
        <f t="shared" si="1"/>
        <v>193</v>
      </c>
    </row>
    <row r="78" spans="1:159" ht="17.25" thickBot="1" x14ac:dyDescent="0.3">
      <c r="A78" s="226">
        <v>46008</v>
      </c>
      <c r="B78" s="227" t="s">
        <v>162</v>
      </c>
      <c r="C78" s="227" t="s">
        <v>226</v>
      </c>
      <c r="D78" s="228">
        <v>150</v>
      </c>
      <c r="E78" s="228">
        <v>13</v>
      </c>
      <c r="F78" s="231">
        <v>5827.5</v>
      </c>
      <c r="G78" s="231">
        <v>5960.5</v>
      </c>
      <c r="H78" s="228">
        <v>-133</v>
      </c>
      <c r="I78" s="229">
        <v>-2.23E-2</v>
      </c>
      <c r="J78" s="231">
        <v>5817</v>
      </c>
      <c r="K78" s="231">
        <v>5946.5</v>
      </c>
      <c r="L78" s="228">
        <v>-129.5</v>
      </c>
      <c r="M78" s="229">
        <v>-2.18E-2</v>
      </c>
      <c r="N78" s="231">
        <v>5827.5</v>
      </c>
      <c r="O78" s="231">
        <v>5960.5</v>
      </c>
      <c r="P78" s="228">
        <v>-133</v>
      </c>
      <c r="Q78" s="229">
        <v>-2.23E-2</v>
      </c>
      <c r="R78" s="231">
        <v>5861.5</v>
      </c>
      <c r="S78" s="231">
        <v>5995</v>
      </c>
      <c r="T78" s="228">
        <v>-133.5</v>
      </c>
      <c r="U78" s="229">
        <v>-2.23E-2</v>
      </c>
      <c r="V78" s="231">
        <v>5854</v>
      </c>
      <c r="W78" s="231">
        <v>5980.5</v>
      </c>
      <c r="X78" s="228">
        <v>-126.5</v>
      </c>
      <c r="Y78" s="229">
        <v>-2.12E-2</v>
      </c>
      <c r="Z78" s="228">
        <v>10.5</v>
      </c>
      <c r="AA78" s="228">
        <v>14</v>
      </c>
      <c r="AB78" s="228">
        <v>-3.5</v>
      </c>
      <c r="AC78" s="229">
        <v>1.8E-3</v>
      </c>
      <c r="AD78" s="228">
        <v>10.5</v>
      </c>
      <c r="AE78" s="228">
        <v>14</v>
      </c>
      <c r="AF78" s="228">
        <v>-3.5</v>
      </c>
      <c r="AG78" s="229">
        <v>1.8E-3</v>
      </c>
      <c r="AH78" s="228">
        <v>44.5</v>
      </c>
      <c r="AI78" s="228">
        <v>48.5</v>
      </c>
      <c r="AJ78" s="228">
        <v>-4</v>
      </c>
      <c r="AK78" s="229">
        <v>7.6E-3</v>
      </c>
      <c r="AL78" s="228">
        <v>37</v>
      </c>
      <c r="AM78" s="228">
        <v>34</v>
      </c>
      <c r="AN78" s="228">
        <v>3</v>
      </c>
      <c r="AO78" s="229">
        <v>6.4000000000000003E-3</v>
      </c>
      <c r="AP78" s="231">
        <v>5848.14</v>
      </c>
      <c r="AQ78" s="231">
        <v>5875.98</v>
      </c>
      <c r="AR78" s="228">
        <v>0</v>
      </c>
      <c r="AS78" s="228">
        <v>575</v>
      </c>
      <c r="AT78" s="228">
        <v>310</v>
      </c>
      <c r="AU78" s="228">
        <v>266</v>
      </c>
      <c r="AV78" s="229">
        <v>0.85750000000000004</v>
      </c>
      <c r="AW78" s="228">
        <v>508</v>
      </c>
      <c r="AX78" s="228">
        <v>294</v>
      </c>
      <c r="AY78" s="228">
        <v>214</v>
      </c>
      <c r="AZ78" s="229">
        <v>0.72709999999999997</v>
      </c>
      <c r="BA78" s="228">
        <v>62</v>
      </c>
      <c r="BB78" s="228">
        <v>14</v>
      </c>
      <c r="BC78" s="228">
        <v>48</v>
      </c>
      <c r="BD78" s="229">
        <v>3.4624999999999999</v>
      </c>
      <c r="BE78" s="228">
        <v>5</v>
      </c>
      <c r="BF78" s="228">
        <v>1</v>
      </c>
      <c r="BG78" s="228">
        <v>3</v>
      </c>
      <c r="BH78" s="229">
        <v>2.1764999999999999</v>
      </c>
      <c r="BI78" s="230">
        <v>3930</v>
      </c>
      <c r="BJ78" s="230">
        <v>1032</v>
      </c>
      <c r="BK78" s="230">
        <v>2899</v>
      </c>
      <c r="BL78" s="229">
        <v>2.8090999999999999</v>
      </c>
      <c r="BM78" s="230">
        <v>3094</v>
      </c>
      <c r="BN78" s="228">
        <v>626</v>
      </c>
      <c r="BO78" s="230">
        <v>2468</v>
      </c>
      <c r="BP78" s="229">
        <v>3.9415</v>
      </c>
      <c r="BQ78" s="230">
        <v>7599</v>
      </c>
      <c r="BR78" s="230">
        <v>1968</v>
      </c>
      <c r="BS78" s="230">
        <v>5632</v>
      </c>
      <c r="BT78" s="229">
        <v>2.8622000000000001</v>
      </c>
      <c r="BU78" s="230">
        <v>627506</v>
      </c>
      <c r="BV78" s="230">
        <v>399914</v>
      </c>
      <c r="BW78" s="230">
        <v>227592</v>
      </c>
      <c r="BX78" s="229">
        <v>0.56910000000000005</v>
      </c>
      <c r="BY78" s="230">
        <v>3554</v>
      </c>
      <c r="BZ78" s="230">
        <v>3500</v>
      </c>
      <c r="CA78" s="228">
        <v>54</v>
      </c>
      <c r="CB78" s="229">
        <v>1.54E-2</v>
      </c>
      <c r="CC78" s="230">
        <v>3410</v>
      </c>
      <c r="CD78" s="230">
        <v>3382</v>
      </c>
      <c r="CE78" s="228">
        <v>28</v>
      </c>
      <c r="CF78" s="229">
        <v>8.2000000000000007E-3</v>
      </c>
      <c r="CG78" s="228">
        <v>122</v>
      </c>
      <c r="CH78" s="228">
        <v>99</v>
      </c>
      <c r="CI78" s="228">
        <v>23</v>
      </c>
      <c r="CJ78" s="229">
        <v>0.2354</v>
      </c>
      <c r="CK78" s="228">
        <v>23</v>
      </c>
      <c r="CL78" s="228">
        <v>20</v>
      </c>
      <c r="CM78" s="228">
        <v>3</v>
      </c>
      <c r="CN78" s="229">
        <v>0.15559999999999999</v>
      </c>
      <c r="CO78" s="230">
        <v>2143</v>
      </c>
      <c r="CP78" s="230">
        <v>1706</v>
      </c>
      <c r="CQ78" s="228">
        <v>438</v>
      </c>
      <c r="CR78" s="229">
        <v>0.25659999999999999</v>
      </c>
      <c r="CS78" s="230">
        <v>1171</v>
      </c>
      <c r="CT78" s="230">
        <v>1186</v>
      </c>
      <c r="CU78" s="228">
        <v>-14</v>
      </c>
      <c r="CV78" s="229">
        <v>-1.1900000000000001E-2</v>
      </c>
      <c r="CW78" s="230">
        <v>6869</v>
      </c>
      <c r="CX78" s="230">
        <v>6392</v>
      </c>
      <c r="CY78" s="228">
        <v>477</v>
      </c>
      <c r="CZ78" s="229">
        <v>7.4700000000000003E-2</v>
      </c>
      <c r="DA78" s="228">
        <v>22.65</v>
      </c>
      <c r="DB78" s="228">
        <v>21.99</v>
      </c>
      <c r="DC78" s="228">
        <v>0.66</v>
      </c>
      <c r="DD78" s="228">
        <v>0.66</v>
      </c>
      <c r="DE78" s="228">
        <v>30.4</v>
      </c>
      <c r="DF78" s="228">
        <v>30.33</v>
      </c>
      <c r="DG78" s="228">
        <v>-7.75</v>
      </c>
      <c r="DH78" s="228">
        <v>7.0000000000000007E-2</v>
      </c>
      <c r="DI78" s="228">
        <v>23.64</v>
      </c>
      <c r="DJ78" s="228">
        <v>22.19</v>
      </c>
      <c r="DK78" s="228">
        <v>1.45</v>
      </c>
      <c r="DL78" s="228">
        <v>1.45</v>
      </c>
      <c r="DM78" s="228">
        <v>21.38</v>
      </c>
      <c r="DN78" s="228">
        <v>21.66</v>
      </c>
      <c r="DO78" s="228">
        <v>-0.28000000000000003</v>
      </c>
      <c r="DP78" s="228">
        <v>-0.28000000000000003</v>
      </c>
      <c r="DQ78" s="228">
        <v>0.55000000000000004</v>
      </c>
      <c r="DR78" s="228">
        <v>0.7</v>
      </c>
      <c r="DS78" s="228">
        <v>-0.15</v>
      </c>
      <c r="DT78" s="229">
        <v>-0.21429999999999999</v>
      </c>
      <c r="DU78" s="231">
        <v>6100</v>
      </c>
      <c r="DV78" s="231">
        <v>5400</v>
      </c>
      <c r="DW78" s="228">
        <v>0.79</v>
      </c>
      <c r="DX78" s="228">
        <v>0.61</v>
      </c>
      <c r="DY78" s="228">
        <v>0.18</v>
      </c>
      <c r="DZ78" s="229">
        <v>0.29509999999999997</v>
      </c>
      <c r="EA78" s="229">
        <v>4.07E-2</v>
      </c>
      <c r="EB78" s="230">
        <v>203250</v>
      </c>
      <c r="EC78" s="229">
        <v>5.7999999999999996E-3</v>
      </c>
      <c r="ED78" s="229">
        <v>4.07E-2</v>
      </c>
      <c r="EE78" s="228">
        <v>27.84</v>
      </c>
      <c r="EF78" s="229">
        <v>4.7999999999999996E-3</v>
      </c>
      <c r="EG78" s="230">
        <v>415417</v>
      </c>
      <c r="EH78" s="230">
        <v>261879</v>
      </c>
      <c r="EI78" s="229">
        <v>0.58630000000000004</v>
      </c>
      <c r="EJ78" s="229">
        <v>0.66200000000000003</v>
      </c>
      <c r="EK78" s="231">
        <v>4144.0200000000004</v>
      </c>
      <c r="EL78" s="231">
        <v>3092.84</v>
      </c>
      <c r="EM78" s="228">
        <v>577.79999999999995</v>
      </c>
      <c r="EN78" s="228">
        <v>54.94</v>
      </c>
      <c r="EO78" s="231">
        <v>7814.66</v>
      </c>
      <c r="EP78" s="231">
        <v>2045.57</v>
      </c>
      <c r="EQ78" s="231">
        <v>5769.09</v>
      </c>
      <c r="ER78" s="229">
        <v>2.8203</v>
      </c>
      <c r="ES78" s="231">
        <v>2299.11</v>
      </c>
      <c r="ET78" s="231">
        <v>1164.52</v>
      </c>
      <c r="EU78" s="231">
        <v>3555.18</v>
      </c>
      <c r="EV78" s="231">
        <v>19579129</v>
      </c>
      <c r="EW78" s="231">
        <v>7018.82</v>
      </c>
      <c r="EX78" s="231">
        <v>6614.52</v>
      </c>
      <c r="EY78" s="228">
        <v>404.3</v>
      </c>
      <c r="EZ78" s="229">
        <v>6.1100000000000002E-2</v>
      </c>
      <c r="FA78" s="229">
        <v>0.60199999999999998</v>
      </c>
      <c r="FB78" s="227" t="s">
        <v>567</v>
      </c>
      <c r="FC78">
        <f t="shared" si="1"/>
        <v>144</v>
      </c>
    </row>
    <row r="79" spans="1:159" ht="17.25" thickBot="1" x14ac:dyDescent="0.3">
      <c r="A79" s="226">
        <v>46008</v>
      </c>
      <c r="B79" s="227" t="s">
        <v>221</v>
      </c>
      <c r="C79" s="227" t="s">
        <v>576</v>
      </c>
      <c r="D79" s="228">
        <v>6450</v>
      </c>
      <c r="E79" s="228">
        <v>13</v>
      </c>
      <c r="F79" s="228">
        <v>64.63</v>
      </c>
      <c r="G79" s="228">
        <v>65.48</v>
      </c>
      <c r="H79" s="228">
        <v>-0.85</v>
      </c>
      <c r="I79" s="229">
        <v>-1.2999999999999999E-2</v>
      </c>
      <c r="J79" s="228">
        <v>64.53</v>
      </c>
      <c r="K79" s="228">
        <v>65.430000000000007</v>
      </c>
      <c r="L79" s="228">
        <v>-0.9</v>
      </c>
      <c r="M79" s="229">
        <v>-1.38E-2</v>
      </c>
      <c r="N79" s="228">
        <v>64.63</v>
      </c>
      <c r="O79" s="228">
        <v>65.48</v>
      </c>
      <c r="P79" s="228">
        <v>-0.85</v>
      </c>
      <c r="Q79" s="229">
        <v>-1.2999999999999999E-2</v>
      </c>
      <c r="R79" s="228">
        <v>0</v>
      </c>
      <c r="S79" s="228">
        <v>0</v>
      </c>
      <c r="T79" s="228">
        <v>0</v>
      </c>
      <c r="U79" s="229">
        <v>0</v>
      </c>
      <c r="V79" s="228">
        <v>0</v>
      </c>
      <c r="W79" s="228">
        <v>0</v>
      </c>
      <c r="X79" s="228">
        <v>0</v>
      </c>
      <c r="Y79" s="229">
        <v>0</v>
      </c>
      <c r="Z79" s="228">
        <v>0.1</v>
      </c>
      <c r="AA79" s="228">
        <v>0.05</v>
      </c>
      <c r="AB79" s="228">
        <v>0.05</v>
      </c>
      <c r="AC79" s="229">
        <v>1.5E-3</v>
      </c>
      <c r="AD79" s="228">
        <v>0.1</v>
      </c>
      <c r="AE79" s="228">
        <v>0.05</v>
      </c>
      <c r="AF79" s="228">
        <v>0.05</v>
      </c>
      <c r="AG79" s="229">
        <v>1.5E-3</v>
      </c>
      <c r="AH79" s="228">
        <v>0</v>
      </c>
      <c r="AI79" s="228">
        <v>0</v>
      </c>
      <c r="AJ79" s="228">
        <v>0</v>
      </c>
      <c r="AK79" s="229">
        <v>0</v>
      </c>
      <c r="AL79" s="228">
        <v>0</v>
      </c>
      <c r="AM79" s="228">
        <v>0</v>
      </c>
      <c r="AN79" s="228">
        <v>0</v>
      </c>
      <c r="AO79" s="229">
        <v>0</v>
      </c>
      <c r="AP79" s="228">
        <v>64.819999999999993</v>
      </c>
      <c r="AQ79" s="228">
        <v>0</v>
      </c>
      <c r="AR79" s="228">
        <v>0</v>
      </c>
      <c r="AS79" s="228">
        <v>50</v>
      </c>
      <c r="AT79" s="228">
        <v>62</v>
      </c>
      <c r="AU79" s="228">
        <v>-12</v>
      </c>
      <c r="AV79" s="229">
        <v>-0.19750000000000001</v>
      </c>
      <c r="AW79" s="228">
        <v>50</v>
      </c>
      <c r="AX79" s="228">
        <v>62</v>
      </c>
      <c r="AY79" s="228">
        <v>-12</v>
      </c>
      <c r="AZ79" s="229">
        <v>-0.19750000000000001</v>
      </c>
      <c r="BA79" s="228">
        <v>0</v>
      </c>
      <c r="BB79" s="228">
        <v>0</v>
      </c>
      <c r="BC79" s="228">
        <v>0</v>
      </c>
      <c r="BD79" s="229">
        <v>0</v>
      </c>
      <c r="BE79" s="228">
        <v>0</v>
      </c>
      <c r="BF79" s="228">
        <v>0</v>
      </c>
      <c r="BG79" s="228">
        <v>0</v>
      </c>
      <c r="BH79" s="229">
        <v>0</v>
      </c>
      <c r="BI79" s="228">
        <v>194</v>
      </c>
      <c r="BJ79" s="228">
        <v>280</v>
      </c>
      <c r="BK79" s="228">
        <v>-86</v>
      </c>
      <c r="BL79" s="229">
        <v>-0.30659999999999998</v>
      </c>
      <c r="BM79" s="228">
        <v>124</v>
      </c>
      <c r="BN79" s="228">
        <v>66</v>
      </c>
      <c r="BO79" s="228">
        <v>58</v>
      </c>
      <c r="BP79" s="229">
        <v>0.87070000000000003</v>
      </c>
      <c r="BQ79" s="228">
        <v>368</v>
      </c>
      <c r="BR79" s="228">
        <v>409</v>
      </c>
      <c r="BS79" s="228">
        <v>-41</v>
      </c>
      <c r="BT79" s="229">
        <v>-9.9400000000000002E-2</v>
      </c>
      <c r="BU79" s="230">
        <v>9463945</v>
      </c>
      <c r="BV79" s="230">
        <v>10611239</v>
      </c>
      <c r="BW79" s="230">
        <v>-1147294</v>
      </c>
      <c r="BX79" s="229">
        <v>-0.1081</v>
      </c>
      <c r="BY79" s="228">
        <v>677</v>
      </c>
      <c r="BZ79" s="228">
        <v>678</v>
      </c>
      <c r="CA79" s="228">
        <v>-1</v>
      </c>
      <c r="CB79" s="229">
        <v>-2E-3</v>
      </c>
      <c r="CC79" s="228">
        <v>677</v>
      </c>
      <c r="CD79" s="228">
        <v>678</v>
      </c>
      <c r="CE79" s="228">
        <v>-1</v>
      </c>
      <c r="CF79" s="229">
        <v>-2E-3</v>
      </c>
      <c r="CG79" s="228">
        <v>0</v>
      </c>
      <c r="CH79" s="228">
        <v>0</v>
      </c>
      <c r="CI79" s="228">
        <v>0</v>
      </c>
      <c r="CJ79" s="229">
        <v>0</v>
      </c>
      <c r="CK79" s="228">
        <v>0</v>
      </c>
      <c r="CL79" s="228">
        <v>0</v>
      </c>
      <c r="CM79" s="228">
        <v>0</v>
      </c>
      <c r="CN79" s="229">
        <v>0</v>
      </c>
      <c r="CO79" s="228">
        <v>495</v>
      </c>
      <c r="CP79" s="228">
        <v>500</v>
      </c>
      <c r="CQ79" s="228">
        <v>-6</v>
      </c>
      <c r="CR79" s="229">
        <v>-1.12E-2</v>
      </c>
      <c r="CS79" s="228">
        <v>205</v>
      </c>
      <c r="CT79" s="228">
        <v>205</v>
      </c>
      <c r="CU79" s="228">
        <v>0</v>
      </c>
      <c r="CV79" s="229">
        <v>2E-3</v>
      </c>
      <c r="CW79" s="230">
        <v>1377</v>
      </c>
      <c r="CX79" s="230">
        <v>1383</v>
      </c>
      <c r="CY79" s="228">
        <v>-7</v>
      </c>
      <c r="CZ79" s="229">
        <v>-4.7000000000000002E-3</v>
      </c>
      <c r="DA79" s="228">
        <v>40.04</v>
      </c>
      <c r="DB79" s="228">
        <v>40.26</v>
      </c>
      <c r="DC79" s="228">
        <v>-0.22</v>
      </c>
      <c r="DD79" s="228">
        <v>-0.22</v>
      </c>
      <c r="DE79" s="228">
        <v>52.26</v>
      </c>
      <c r="DF79" s="228">
        <v>52.36</v>
      </c>
      <c r="DG79" s="228">
        <v>-12.22</v>
      </c>
      <c r="DH79" s="228">
        <v>-0.1</v>
      </c>
      <c r="DI79" s="228">
        <v>40.74</v>
      </c>
      <c r="DJ79" s="228">
        <v>40.46</v>
      </c>
      <c r="DK79" s="228">
        <v>0.28000000000000003</v>
      </c>
      <c r="DL79" s="228">
        <v>0.28000000000000003</v>
      </c>
      <c r="DM79" s="228">
        <v>38.94</v>
      </c>
      <c r="DN79" s="228">
        <v>39.42</v>
      </c>
      <c r="DO79" s="228">
        <v>-0.48</v>
      </c>
      <c r="DP79" s="228">
        <v>-0.48</v>
      </c>
      <c r="DQ79" s="228">
        <v>0.41</v>
      </c>
      <c r="DR79" s="228">
        <v>0.41</v>
      </c>
      <c r="DS79" s="228">
        <v>0</v>
      </c>
      <c r="DT79" s="229">
        <v>0</v>
      </c>
      <c r="DU79" s="228">
        <v>70</v>
      </c>
      <c r="DV79" s="228">
        <v>75</v>
      </c>
      <c r="DW79" s="228">
        <v>0.64</v>
      </c>
      <c r="DX79" s="228">
        <v>0.24</v>
      </c>
      <c r="DY79" s="228">
        <v>0.4</v>
      </c>
      <c r="DZ79" s="229">
        <v>1.6667000000000001</v>
      </c>
      <c r="EA79" s="229">
        <v>0</v>
      </c>
      <c r="EB79" s="228">
        <v>0</v>
      </c>
      <c r="EC79" s="229">
        <v>0</v>
      </c>
      <c r="ED79" s="229">
        <v>0</v>
      </c>
      <c r="EE79" s="228">
        <v>0</v>
      </c>
      <c r="EF79" s="229">
        <v>0</v>
      </c>
      <c r="EG79" s="230">
        <v>2864349</v>
      </c>
      <c r="EH79" s="230">
        <v>2896041</v>
      </c>
      <c r="EI79" s="229">
        <v>-1.09E-2</v>
      </c>
      <c r="EJ79" s="229">
        <v>0.30270000000000002</v>
      </c>
      <c r="EK79" s="228">
        <v>209.83</v>
      </c>
      <c r="EL79" s="228">
        <v>124.95</v>
      </c>
      <c r="EM79" s="228">
        <v>50.29</v>
      </c>
      <c r="EN79" s="228">
        <v>20.7</v>
      </c>
      <c r="EO79" s="228">
        <v>385.08</v>
      </c>
      <c r="EP79" s="228">
        <v>438.55</v>
      </c>
      <c r="EQ79" s="228">
        <v>-53.47</v>
      </c>
      <c r="ER79" s="229">
        <v>-0.12189999999999999</v>
      </c>
      <c r="ES79" s="228">
        <v>553.62</v>
      </c>
      <c r="ET79" s="228">
        <v>217.48</v>
      </c>
      <c r="EU79" s="228">
        <v>676.78</v>
      </c>
      <c r="EV79" s="231">
        <v>147979599</v>
      </c>
      <c r="EW79" s="231">
        <v>1447.88</v>
      </c>
      <c r="EX79" s="231">
        <v>1466.84</v>
      </c>
      <c r="EY79" s="228">
        <v>-18.96</v>
      </c>
      <c r="EZ79" s="229">
        <v>-1.29E-2</v>
      </c>
      <c r="FA79" s="229">
        <v>1.4396</v>
      </c>
      <c r="FB79" s="227" t="s">
        <v>568</v>
      </c>
      <c r="FC79">
        <f t="shared" si="1"/>
        <v>0</v>
      </c>
    </row>
    <row r="80" spans="1:159" ht="17.25" thickBot="1" x14ac:dyDescent="0.3">
      <c r="A80" s="226">
        <v>46008</v>
      </c>
      <c r="B80" s="227" t="s">
        <v>227</v>
      </c>
      <c r="C80" s="227" t="s">
        <v>228</v>
      </c>
      <c r="D80" s="228">
        <v>700</v>
      </c>
      <c r="E80" s="228">
        <v>13</v>
      </c>
      <c r="F80" s="228">
        <v>849.65</v>
      </c>
      <c r="G80" s="228">
        <v>840.3</v>
      </c>
      <c r="H80" s="228">
        <v>9.35</v>
      </c>
      <c r="I80" s="229">
        <v>1.11E-2</v>
      </c>
      <c r="J80" s="228">
        <v>848.8</v>
      </c>
      <c r="K80" s="228">
        <v>837.15</v>
      </c>
      <c r="L80" s="228">
        <v>11.65</v>
      </c>
      <c r="M80" s="229">
        <v>1.3899999999999999E-2</v>
      </c>
      <c r="N80" s="228">
        <v>849.65</v>
      </c>
      <c r="O80" s="228">
        <v>840.3</v>
      </c>
      <c r="P80" s="228">
        <v>9.35</v>
      </c>
      <c r="Q80" s="229">
        <v>1.11E-2</v>
      </c>
      <c r="R80" s="228">
        <v>855</v>
      </c>
      <c r="S80" s="228">
        <v>845.2</v>
      </c>
      <c r="T80" s="228">
        <v>9.8000000000000007</v>
      </c>
      <c r="U80" s="229">
        <v>1.1599999999999999E-2</v>
      </c>
      <c r="V80" s="228">
        <v>859.45</v>
      </c>
      <c r="W80" s="228">
        <v>850.45</v>
      </c>
      <c r="X80" s="228">
        <v>9</v>
      </c>
      <c r="Y80" s="229">
        <v>1.06E-2</v>
      </c>
      <c r="Z80" s="228">
        <v>0.85</v>
      </c>
      <c r="AA80" s="228">
        <v>3.15</v>
      </c>
      <c r="AB80" s="228">
        <v>-2.2999999999999998</v>
      </c>
      <c r="AC80" s="229">
        <v>1E-3</v>
      </c>
      <c r="AD80" s="228">
        <v>0.85</v>
      </c>
      <c r="AE80" s="228">
        <v>3.15</v>
      </c>
      <c r="AF80" s="228">
        <v>-2.2999999999999998</v>
      </c>
      <c r="AG80" s="229">
        <v>1E-3</v>
      </c>
      <c r="AH80" s="228">
        <v>6.2</v>
      </c>
      <c r="AI80" s="228">
        <v>8.0500000000000007</v>
      </c>
      <c r="AJ80" s="228">
        <v>-1.85</v>
      </c>
      <c r="AK80" s="229">
        <v>7.3000000000000001E-3</v>
      </c>
      <c r="AL80" s="228">
        <v>10.65</v>
      </c>
      <c r="AM80" s="228">
        <v>13.3</v>
      </c>
      <c r="AN80" s="228">
        <v>-2.65</v>
      </c>
      <c r="AO80" s="229">
        <v>1.2500000000000001E-2</v>
      </c>
      <c r="AP80" s="228">
        <v>848.1</v>
      </c>
      <c r="AQ80" s="228">
        <v>853.16</v>
      </c>
      <c r="AR80" s="228">
        <v>0</v>
      </c>
      <c r="AS80" s="228">
        <v>712</v>
      </c>
      <c r="AT80" s="228">
        <v>591</v>
      </c>
      <c r="AU80" s="228">
        <v>121</v>
      </c>
      <c r="AV80" s="229">
        <v>0.20480000000000001</v>
      </c>
      <c r="AW80" s="228">
        <v>579</v>
      </c>
      <c r="AX80" s="228">
        <v>534</v>
      </c>
      <c r="AY80" s="228">
        <v>45</v>
      </c>
      <c r="AZ80" s="229">
        <v>8.4199999999999997E-2</v>
      </c>
      <c r="BA80" s="228">
        <v>128</v>
      </c>
      <c r="BB80" s="228">
        <v>51</v>
      </c>
      <c r="BC80" s="228">
        <v>77</v>
      </c>
      <c r="BD80" s="229">
        <v>1.5210999999999999</v>
      </c>
      <c r="BE80" s="228">
        <v>5</v>
      </c>
      <c r="BF80" s="228">
        <v>6</v>
      </c>
      <c r="BG80" s="228">
        <v>-1</v>
      </c>
      <c r="BH80" s="229">
        <v>-0.16669999999999999</v>
      </c>
      <c r="BI80" s="230">
        <v>2257</v>
      </c>
      <c r="BJ80" s="230">
        <v>1638</v>
      </c>
      <c r="BK80" s="228">
        <v>619</v>
      </c>
      <c r="BL80" s="229">
        <v>0.37780000000000002</v>
      </c>
      <c r="BM80" s="228">
        <v>995</v>
      </c>
      <c r="BN80" s="230">
        <v>1042</v>
      </c>
      <c r="BO80" s="228">
        <v>-47</v>
      </c>
      <c r="BP80" s="229">
        <v>-4.53E-2</v>
      </c>
      <c r="BQ80" s="230">
        <v>3964</v>
      </c>
      <c r="BR80" s="230">
        <v>3271</v>
      </c>
      <c r="BS80" s="228">
        <v>693</v>
      </c>
      <c r="BT80" s="229">
        <v>0.21179999999999999</v>
      </c>
      <c r="BU80" s="230">
        <v>3347045</v>
      </c>
      <c r="BV80" s="230">
        <v>2756664</v>
      </c>
      <c r="BW80" s="230">
        <v>590381</v>
      </c>
      <c r="BX80" s="229">
        <v>0.2142</v>
      </c>
      <c r="BY80" s="230">
        <v>6635</v>
      </c>
      <c r="BZ80" s="230">
        <v>6628</v>
      </c>
      <c r="CA80" s="228">
        <v>7</v>
      </c>
      <c r="CB80" s="229">
        <v>1.1000000000000001E-3</v>
      </c>
      <c r="CC80" s="230">
        <v>6358</v>
      </c>
      <c r="CD80" s="230">
        <v>6448</v>
      </c>
      <c r="CE80" s="228">
        <v>-90</v>
      </c>
      <c r="CF80" s="229">
        <v>-1.3899999999999999E-2</v>
      </c>
      <c r="CG80" s="228">
        <v>259</v>
      </c>
      <c r="CH80" s="228">
        <v>164</v>
      </c>
      <c r="CI80" s="228">
        <v>95</v>
      </c>
      <c r="CJ80" s="229">
        <v>0.58179999999999998</v>
      </c>
      <c r="CK80" s="228">
        <v>19</v>
      </c>
      <c r="CL80" s="228">
        <v>17</v>
      </c>
      <c r="CM80" s="228">
        <v>2</v>
      </c>
      <c r="CN80" s="229">
        <v>0.1135</v>
      </c>
      <c r="CO80" s="230">
        <v>1325</v>
      </c>
      <c r="CP80" s="230">
        <v>1306</v>
      </c>
      <c r="CQ80" s="228">
        <v>19</v>
      </c>
      <c r="CR80" s="229">
        <v>1.43E-2</v>
      </c>
      <c r="CS80" s="228">
        <v>975</v>
      </c>
      <c r="CT80" s="228">
        <v>980</v>
      </c>
      <c r="CU80" s="228">
        <v>-5</v>
      </c>
      <c r="CV80" s="229">
        <v>-5.1999999999999998E-3</v>
      </c>
      <c r="CW80" s="230">
        <v>8935</v>
      </c>
      <c r="CX80" s="230">
        <v>8914</v>
      </c>
      <c r="CY80" s="228">
        <v>21</v>
      </c>
      <c r="CZ80" s="229">
        <v>2.3E-3</v>
      </c>
      <c r="DA80" s="228">
        <v>22.4</v>
      </c>
      <c r="DB80" s="228">
        <v>22.36</v>
      </c>
      <c r="DC80" s="228">
        <v>0.04</v>
      </c>
      <c r="DD80" s="228">
        <v>0.04</v>
      </c>
      <c r="DE80" s="228">
        <v>32.590000000000003</v>
      </c>
      <c r="DF80" s="228">
        <v>32.619999999999997</v>
      </c>
      <c r="DG80" s="228">
        <v>-10.19</v>
      </c>
      <c r="DH80" s="228">
        <v>-0.03</v>
      </c>
      <c r="DI80" s="228">
        <v>21.89</v>
      </c>
      <c r="DJ80" s="228">
        <v>22.33</v>
      </c>
      <c r="DK80" s="228">
        <v>-0.44</v>
      </c>
      <c r="DL80" s="228">
        <v>-0.44</v>
      </c>
      <c r="DM80" s="228">
        <v>23.55</v>
      </c>
      <c r="DN80" s="228">
        <v>22.41</v>
      </c>
      <c r="DO80" s="228">
        <v>1.1399999999999999</v>
      </c>
      <c r="DP80" s="228">
        <v>1.1399999999999999</v>
      </c>
      <c r="DQ80" s="228">
        <v>0.74</v>
      </c>
      <c r="DR80" s="228">
        <v>0.75</v>
      </c>
      <c r="DS80" s="228">
        <v>-0.01</v>
      </c>
      <c r="DT80" s="229">
        <v>-1.3299999999999999E-2</v>
      </c>
      <c r="DU80" s="228">
        <v>800</v>
      </c>
      <c r="DV80" s="228">
        <v>780</v>
      </c>
      <c r="DW80" s="228">
        <v>0.44</v>
      </c>
      <c r="DX80" s="228">
        <v>0.64</v>
      </c>
      <c r="DY80" s="228">
        <v>-0.2</v>
      </c>
      <c r="DZ80" s="229">
        <v>-0.3125</v>
      </c>
      <c r="EA80" s="229">
        <v>4.1799999999999997E-2</v>
      </c>
      <c r="EB80" s="230">
        <v>2123800</v>
      </c>
      <c r="EC80" s="229">
        <v>6.3E-3</v>
      </c>
      <c r="ED80" s="229">
        <v>4.1799999999999997E-2</v>
      </c>
      <c r="EE80" s="228">
        <v>5.0599999999999996</v>
      </c>
      <c r="EF80" s="229">
        <v>6.0000000000000001E-3</v>
      </c>
      <c r="EG80" s="230">
        <v>1894962</v>
      </c>
      <c r="EH80" s="230">
        <v>1494396</v>
      </c>
      <c r="EI80" s="229">
        <v>0.26800000000000002</v>
      </c>
      <c r="EJ80" s="229">
        <v>0.56620000000000004</v>
      </c>
      <c r="EK80" s="231">
        <v>2314.77</v>
      </c>
      <c r="EL80" s="228">
        <v>976.32</v>
      </c>
      <c r="EM80" s="228">
        <v>711.44</v>
      </c>
      <c r="EN80" s="228">
        <v>102.23</v>
      </c>
      <c r="EO80" s="231">
        <v>4002.54</v>
      </c>
      <c r="EP80" s="231">
        <v>3291.75</v>
      </c>
      <c r="EQ80" s="228">
        <v>710.78</v>
      </c>
      <c r="ER80" s="229">
        <v>0.21590000000000001</v>
      </c>
      <c r="ES80" s="231">
        <v>1328.92</v>
      </c>
      <c r="ET80" s="228">
        <v>911.43</v>
      </c>
      <c r="EU80" s="231">
        <v>6637.17</v>
      </c>
      <c r="EV80" s="231">
        <v>176136372</v>
      </c>
      <c r="EW80" s="231">
        <v>8877.52</v>
      </c>
      <c r="EX80" s="231">
        <v>8778.17</v>
      </c>
      <c r="EY80" s="228">
        <v>99.35</v>
      </c>
      <c r="EZ80" s="229">
        <v>1.1299999999999999E-2</v>
      </c>
      <c r="FA80" s="229">
        <v>0.59699999999999998</v>
      </c>
      <c r="FB80" s="227" t="s">
        <v>555</v>
      </c>
      <c r="FC80">
        <f t="shared" si="1"/>
        <v>277</v>
      </c>
    </row>
    <row r="81" spans="1:159" ht="17.25" thickBot="1" x14ac:dyDescent="0.3">
      <c r="A81" s="226">
        <v>46008</v>
      </c>
      <c r="B81" s="227" t="s">
        <v>193</v>
      </c>
      <c r="C81" s="227" t="s">
        <v>229</v>
      </c>
      <c r="D81" s="228">
        <v>2025</v>
      </c>
      <c r="E81" s="228">
        <v>13</v>
      </c>
      <c r="F81" s="228">
        <v>466.4</v>
      </c>
      <c r="G81" s="228">
        <v>466</v>
      </c>
      <c r="H81" s="228">
        <v>0.4</v>
      </c>
      <c r="I81" s="229">
        <v>8.9999999999999998E-4</v>
      </c>
      <c r="J81" s="228">
        <v>465.45</v>
      </c>
      <c r="K81" s="228">
        <v>465.35</v>
      </c>
      <c r="L81" s="228">
        <v>0.1</v>
      </c>
      <c r="M81" s="229">
        <v>2.0000000000000001E-4</v>
      </c>
      <c r="N81" s="228">
        <v>466.4</v>
      </c>
      <c r="O81" s="228">
        <v>466</v>
      </c>
      <c r="P81" s="228">
        <v>0.4</v>
      </c>
      <c r="Q81" s="229">
        <v>8.9999999999999998E-4</v>
      </c>
      <c r="R81" s="228">
        <v>469.2</v>
      </c>
      <c r="S81" s="228">
        <v>468.9</v>
      </c>
      <c r="T81" s="228">
        <v>0.3</v>
      </c>
      <c r="U81" s="229">
        <v>5.9999999999999995E-4</v>
      </c>
      <c r="V81" s="228">
        <v>469.85</v>
      </c>
      <c r="W81" s="228">
        <v>468.6</v>
      </c>
      <c r="X81" s="228">
        <v>1.25</v>
      </c>
      <c r="Y81" s="229">
        <v>2.7000000000000001E-3</v>
      </c>
      <c r="Z81" s="228">
        <v>0.95</v>
      </c>
      <c r="AA81" s="228">
        <v>0.65</v>
      </c>
      <c r="AB81" s="228">
        <v>0.3</v>
      </c>
      <c r="AC81" s="229">
        <v>2E-3</v>
      </c>
      <c r="AD81" s="228">
        <v>0.95</v>
      </c>
      <c r="AE81" s="228">
        <v>0.65</v>
      </c>
      <c r="AF81" s="228">
        <v>0.3</v>
      </c>
      <c r="AG81" s="229">
        <v>2E-3</v>
      </c>
      <c r="AH81" s="228">
        <v>3.75</v>
      </c>
      <c r="AI81" s="228">
        <v>3.55</v>
      </c>
      <c r="AJ81" s="228">
        <v>0.2</v>
      </c>
      <c r="AK81" s="229">
        <v>8.0999999999999996E-3</v>
      </c>
      <c r="AL81" s="228">
        <v>4.4000000000000004</v>
      </c>
      <c r="AM81" s="228">
        <v>3.25</v>
      </c>
      <c r="AN81" s="228">
        <v>1.1499999999999999</v>
      </c>
      <c r="AO81" s="229">
        <v>9.4999999999999998E-3</v>
      </c>
      <c r="AP81" s="228">
        <v>468.8</v>
      </c>
      <c r="AQ81" s="228">
        <v>471.65</v>
      </c>
      <c r="AR81" s="228">
        <v>0</v>
      </c>
      <c r="AS81" s="228">
        <v>201</v>
      </c>
      <c r="AT81" s="228">
        <v>233</v>
      </c>
      <c r="AU81" s="228">
        <v>-32</v>
      </c>
      <c r="AV81" s="229">
        <v>-0.13819999999999999</v>
      </c>
      <c r="AW81" s="228">
        <v>178</v>
      </c>
      <c r="AX81" s="228">
        <v>207</v>
      </c>
      <c r="AY81" s="228">
        <v>-29</v>
      </c>
      <c r="AZ81" s="229">
        <v>-0.13850000000000001</v>
      </c>
      <c r="BA81" s="228">
        <v>20</v>
      </c>
      <c r="BB81" s="228">
        <v>24</v>
      </c>
      <c r="BC81" s="228">
        <v>-4</v>
      </c>
      <c r="BD81" s="229">
        <v>-0.14960000000000001</v>
      </c>
      <c r="BE81" s="228">
        <v>2</v>
      </c>
      <c r="BF81" s="228">
        <v>2</v>
      </c>
      <c r="BG81" s="228">
        <v>0</v>
      </c>
      <c r="BH81" s="229">
        <v>0</v>
      </c>
      <c r="BI81" s="228">
        <v>909</v>
      </c>
      <c r="BJ81" s="228">
        <v>641</v>
      </c>
      <c r="BK81" s="228">
        <v>269</v>
      </c>
      <c r="BL81" s="229">
        <v>0.4194</v>
      </c>
      <c r="BM81" s="228">
        <v>342</v>
      </c>
      <c r="BN81" s="228">
        <v>279</v>
      </c>
      <c r="BO81" s="228">
        <v>63</v>
      </c>
      <c r="BP81" s="229">
        <v>0.22589999999999999</v>
      </c>
      <c r="BQ81" s="230">
        <v>1452</v>
      </c>
      <c r="BR81" s="230">
        <v>1153</v>
      </c>
      <c r="BS81" s="228">
        <v>300</v>
      </c>
      <c r="BT81" s="229">
        <v>0.25990000000000002</v>
      </c>
      <c r="BU81" s="230">
        <v>2370570</v>
      </c>
      <c r="BV81" s="230">
        <v>1567882</v>
      </c>
      <c r="BW81" s="230">
        <v>802688</v>
      </c>
      <c r="BX81" s="229">
        <v>0.51200000000000001</v>
      </c>
      <c r="BY81" s="230">
        <v>1786</v>
      </c>
      <c r="BZ81" s="230">
        <v>1802</v>
      </c>
      <c r="CA81" s="228">
        <v>-17</v>
      </c>
      <c r="CB81" s="229">
        <v>-9.1999999999999998E-3</v>
      </c>
      <c r="CC81" s="230">
        <v>1714</v>
      </c>
      <c r="CD81" s="230">
        <v>1736</v>
      </c>
      <c r="CE81" s="228">
        <v>-22</v>
      </c>
      <c r="CF81" s="229">
        <v>-1.2500000000000001E-2</v>
      </c>
      <c r="CG81" s="228">
        <v>61</v>
      </c>
      <c r="CH81" s="228">
        <v>57</v>
      </c>
      <c r="CI81" s="228">
        <v>4</v>
      </c>
      <c r="CJ81" s="229">
        <v>7.6799999999999993E-2</v>
      </c>
      <c r="CK81" s="228">
        <v>11</v>
      </c>
      <c r="CL81" s="228">
        <v>10</v>
      </c>
      <c r="CM81" s="228">
        <v>1</v>
      </c>
      <c r="CN81" s="229">
        <v>6.6699999999999995E-2</v>
      </c>
      <c r="CO81" s="228">
        <v>708</v>
      </c>
      <c r="CP81" s="228">
        <v>693</v>
      </c>
      <c r="CQ81" s="228">
        <v>16</v>
      </c>
      <c r="CR81" s="229">
        <v>2.2800000000000001E-2</v>
      </c>
      <c r="CS81" s="228">
        <v>408</v>
      </c>
      <c r="CT81" s="228">
        <v>392</v>
      </c>
      <c r="CU81" s="228">
        <v>15</v>
      </c>
      <c r="CV81" s="229">
        <v>3.85E-2</v>
      </c>
      <c r="CW81" s="230">
        <v>2901</v>
      </c>
      <c r="CX81" s="230">
        <v>2887</v>
      </c>
      <c r="CY81" s="228">
        <v>14</v>
      </c>
      <c r="CZ81" s="229">
        <v>4.8999999999999998E-3</v>
      </c>
      <c r="DA81" s="228">
        <v>23.87</v>
      </c>
      <c r="DB81" s="228">
        <v>24.26</v>
      </c>
      <c r="DC81" s="228">
        <v>-0.39</v>
      </c>
      <c r="DD81" s="228">
        <v>-0.39</v>
      </c>
      <c r="DE81" s="228">
        <v>38.380000000000003</v>
      </c>
      <c r="DF81" s="228">
        <v>38.479999999999997</v>
      </c>
      <c r="DG81" s="228">
        <v>-14.51</v>
      </c>
      <c r="DH81" s="228">
        <v>-0.1</v>
      </c>
      <c r="DI81" s="228">
        <v>23.88</v>
      </c>
      <c r="DJ81" s="228">
        <v>24.34</v>
      </c>
      <c r="DK81" s="228">
        <v>-0.46</v>
      </c>
      <c r="DL81" s="228">
        <v>-0.46</v>
      </c>
      <c r="DM81" s="228">
        <v>23.83</v>
      </c>
      <c r="DN81" s="228">
        <v>24.1</v>
      </c>
      <c r="DO81" s="228">
        <v>-0.27</v>
      </c>
      <c r="DP81" s="228">
        <v>-0.27</v>
      </c>
      <c r="DQ81" s="228">
        <v>0.57999999999999996</v>
      </c>
      <c r="DR81" s="228">
        <v>0.56999999999999995</v>
      </c>
      <c r="DS81" s="228">
        <v>0.01</v>
      </c>
      <c r="DT81" s="229">
        <v>1.7500000000000002E-2</v>
      </c>
      <c r="DU81" s="228">
        <v>470</v>
      </c>
      <c r="DV81" s="228">
        <v>450</v>
      </c>
      <c r="DW81" s="228">
        <v>0.38</v>
      </c>
      <c r="DX81" s="228">
        <v>0.44</v>
      </c>
      <c r="DY81" s="228">
        <v>-0.06</v>
      </c>
      <c r="DZ81" s="229">
        <v>-0.13639999999999999</v>
      </c>
      <c r="EA81" s="229">
        <v>0.04</v>
      </c>
      <c r="EB81" s="230">
        <v>1425600</v>
      </c>
      <c r="EC81" s="229">
        <v>6.0000000000000001E-3</v>
      </c>
      <c r="ED81" s="229">
        <v>0.04</v>
      </c>
      <c r="EE81" s="228">
        <v>2.85</v>
      </c>
      <c r="EF81" s="229">
        <v>6.1000000000000004E-3</v>
      </c>
      <c r="EG81" s="230">
        <v>1085188</v>
      </c>
      <c r="EH81" s="230">
        <v>763317</v>
      </c>
      <c r="EI81" s="229">
        <v>0.42170000000000002</v>
      </c>
      <c r="EJ81" s="229">
        <v>0.45779999999999998</v>
      </c>
      <c r="EK81" s="228">
        <v>941.87</v>
      </c>
      <c r="EL81" s="228">
        <v>336.62</v>
      </c>
      <c r="EM81" s="228">
        <v>201.97</v>
      </c>
      <c r="EN81" s="228">
        <v>31.39</v>
      </c>
      <c r="EO81" s="231">
        <v>1480.45</v>
      </c>
      <c r="EP81" s="231">
        <v>1168.74</v>
      </c>
      <c r="EQ81" s="228">
        <v>311.70999999999998</v>
      </c>
      <c r="ER81" s="229">
        <v>0.26669999999999999</v>
      </c>
      <c r="ES81" s="228">
        <v>730.21</v>
      </c>
      <c r="ET81" s="228">
        <v>390.39</v>
      </c>
      <c r="EU81" s="231">
        <v>1785.95</v>
      </c>
      <c r="EV81" s="231">
        <v>143933168</v>
      </c>
      <c r="EW81" s="231">
        <v>2906.55</v>
      </c>
      <c r="EX81" s="231">
        <v>2889.15</v>
      </c>
      <c r="EY81" s="228">
        <v>17.399999999999999</v>
      </c>
      <c r="EZ81" s="229">
        <v>6.0000000000000001E-3</v>
      </c>
      <c r="FA81" s="229">
        <v>0.43219999999999997</v>
      </c>
      <c r="FB81" s="227" t="s">
        <v>556</v>
      </c>
      <c r="FC81">
        <f t="shared" si="1"/>
        <v>72</v>
      </c>
    </row>
    <row r="82" spans="1:159" ht="17.25" thickBot="1" x14ac:dyDescent="0.3">
      <c r="A82" s="226">
        <v>46008</v>
      </c>
      <c r="B82" s="227" t="s">
        <v>168</v>
      </c>
      <c r="C82" s="227" t="s">
        <v>230</v>
      </c>
      <c r="D82" s="228">
        <v>300</v>
      </c>
      <c r="E82" s="228">
        <v>13</v>
      </c>
      <c r="F82" s="231">
        <v>2275.3000000000002</v>
      </c>
      <c r="G82" s="231">
        <v>2286.8000000000002</v>
      </c>
      <c r="H82" s="228">
        <v>-11.5</v>
      </c>
      <c r="I82" s="229">
        <v>-5.0000000000000001E-3</v>
      </c>
      <c r="J82" s="231">
        <v>2275.6</v>
      </c>
      <c r="K82" s="231">
        <v>2281.1</v>
      </c>
      <c r="L82" s="228">
        <v>-5.5</v>
      </c>
      <c r="M82" s="229">
        <v>-2.3999999999999998E-3</v>
      </c>
      <c r="N82" s="231">
        <v>2275.3000000000002</v>
      </c>
      <c r="O82" s="231">
        <v>2286.8000000000002</v>
      </c>
      <c r="P82" s="228">
        <v>-11.5</v>
      </c>
      <c r="Q82" s="229">
        <v>-5.0000000000000001E-3</v>
      </c>
      <c r="R82" s="231">
        <v>2291.6</v>
      </c>
      <c r="S82" s="231">
        <v>2302.1</v>
      </c>
      <c r="T82" s="228">
        <v>-10.5</v>
      </c>
      <c r="U82" s="229">
        <v>-4.5999999999999999E-3</v>
      </c>
      <c r="V82" s="231">
        <v>2305</v>
      </c>
      <c r="W82" s="231">
        <v>2316.5</v>
      </c>
      <c r="X82" s="228">
        <v>-11.5</v>
      </c>
      <c r="Y82" s="229">
        <v>-5.0000000000000001E-3</v>
      </c>
      <c r="Z82" s="228">
        <v>-0.3</v>
      </c>
      <c r="AA82" s="228">
        <v>5.7</v>
      </c>
      <c r="AB82" s="228">
        <v>-6</v>
      </c>
      <c r="AC82" s="229">
        <v>-1E-4</v>
      </c>
      <c r="AD82" s="228">
        <v>-0.3</v>
      </c>
      <c r="AE82" s="228">
        <v>5.7</v>
      </c>
      <c r="AF82" s="228">
        <v>-6</v>
      </c>
      <c r="AG82" s="229">
        <v>-1E-4</v>
      </c>
      <c r="AH82" s="228">
        <v>16</v>
      </c>
      <c r="AI82" s="228">
        <v>21</v>
      </c>
      <c r="AJ82" s="228">
        <v>-5</v>
      </c>
      <c r="AK82" s="229">
        <v>7.0000000000000001E-3</v>
      </c>
      <c r="AL82" s="228">
        <v>29.4</v>
      </c>
      <c r="AM82" s="228">
        <v>35.4</v>
      </c>
      <c r="AN82" s="228">
        <v>-6</v>
      </c>
      <c r="AO82" s="229">
        <v>1.29E-2</v>
      </c>
      <c r="AP82" s="231">
        <v>2276.8000000000002</v>
      </c>
      <c r="AQ82" s="231">
        <v>2291.71</v>
      </c>
      <c r="AR82" s="228">
        <v>0</v>
      </c>
      <c r="AS82" s="228">
        <v>274</v>
      </c>
      <c r="AT82" s="228">
        <v>336</v>
      </c>
      <c r="AU82" s="228">
        <v>-63</v>
      </c>
      <c r="AV82" s="229">
        <v>-0.18590000000000001</v>
      </c>
      <c r="AW82" s="228">
        <v>229</v>
      </c>
      <c r="AX82" s="228">
        <v>276</v>
      </c>
      <c r="AY82" s="228">
        <v>-47</v>
      </c>
      <c r="AZ82" s="229">
        <v>-0.16880000000000001</v>
      </c>
      <c r="BA82" s="228">
        <v>42</v>
      </c>
      <c r="BB82" s="228">
        <v>53</v>
      </c>
      <c r="BC82" s="228">
        <v>-11</v>
      </c>
      <c r="BD82" s="229">
        <v>-0.2046</v>
      </c>
      <c r="BE82" s="228">
        <v>2</v>
      </c>
      <c r="BF82" s="228">
        <v>7</v>
      </c>
      <c r="BG82" s="228">
        <v>-5</v>
      </c>
      <c r="BH82" s="229">
        <v>-0.70479999999999998</v>
      </c>
      <c r="BI82" s="230">
        <v>1195</v>
      </c>
      <c r="BJ82" s="230">
        <v>1598</v>
      </c>
      <c r="BK82" s="228">
        <v>-403</v>
      </c>
      <c r="BL82" s="229">
        <v>-0.252</v>
      </c>
      <c r="BM82" s="228">
        <v>383</v>
      </c>
      <c r="BN82" s="228">
        <v>654</v>
      </c>
      <c r="BO82" s="228">
        <v>-271</v>
      </c>
      <c r="BP82" s="229">
        <v>-0.41410000000000002</v>
      </c>
      <c r="BQ82" s="230">
        <v>1852</v>
      </c>
      <c r="BR82" s="230">
        <v>2588</v>
      </c>
      <c r="BS82" s="228">
        <v>-736</v>
      </c>
      <c r="BT82" s="229">
        <v>-0.2843</v>
      </c>
      <c r="BU82" s="230">
        <v>844134</v>
      </c>
      <c r="BV82" s="230">
        <v>1279539</v>
      </c>
      <c r="BW82" s="230">
        <v>-435405</v>
      </c>
      <c r="BX82" s="229">
        <v>-0.34029999999999999</v>
      </c>
      <c r="BY82" s="230">
        <v>2495</v>
      </c>
      <c r="BZ82" s="230">
        <v>2426</v>
      </c>
      <c r="CA82" s="228">
        <v>68</v>
      </c>
      <c r="CB82" s="229">
        <v>2.8199999999999999E-2</v>
      </c>
      <c r="CC82" s="230">
        <v>2094</v>
      </c>
      <c r="CD82" s="230">
        <v>2039</v>
      </c>
      <c r="CE82" s="228">
        <v>54</v>
      </c>
      <c r="CF82" s="229">
        <v>2.6599999999999999E-2</v>
      </c>
      <c r="CG82" s="228">
        <v>364</v>
      </c>
      <c r="CH82" s="228">
        <v>350</v>
      </c>
      <c r="CI82" s="228">
        <v>14</v>
      </c>
      <c r="CJ82" s="229">
        <v>4.1399999999999999E-2</v>
      </c>
      <c r="CK82" s="228">
        <v>37</v>
      </c>
      <c r="CL82" s="228">
        <v>37</v>
      </c>
      <c r="CM82" s="228">
        <v>0</v>
      </c>
      <c r="CN82" s="229">
        <v>-9.1999999999999998E-3</v>
      </c>
      <c r="CO82" s="230">
        <v>1506</v>
      </c>
      <c r="CP82" s="230">
        <v>1445</v>
      </c>
      <c r="CQ82" s="228">
        <v>61</v>
      </c>
      <c r="CR82" s="229">
        <v>4.2500000000000003E-2</v>
      </c>
      <c r="CS82" s="228">
        <v>779</v>
      </c>
      <c r="CT82" s="228">
        <v>764</v>
      </c>
      <c r="CU82" s="228">
        <v>15</v>
      </c>
      <c r="CV82" s="229">
        <v>1.9800000000000002E-2</v>
      </c>
      <c r="CW82" s="230">
        <v>4780</v>
      </c>
      <c r="CX82" s="230">
        <v>4635</v>
      </c>
      <c r="CY82" s="228">
        <v>145</v>
      </c>
      <c r="CZ82" s="229">
        <v>3.1300000000000001E-2</v>
      </c>
      <c r="DA82" s="228">
        <v>16.53</v>
      </c>
      <c r="DB82" s="228">
        <v>16.38</v>
      </c>
      <c r="DC82" s="228">
        <v>0.15</v>
      </c>
      <c r="DD82" s="228">
        <v>0.15</v>
      </c>
      <c r="DE82" s="228">
        <v>22.15</v>
      </c>
      <c r="DF82" s="228">
        <v>22.21</v>
      </c>
      <c r="DG82" s="228">
        <v>-5.62</v>
      </c>
      <c r="DH82" s="228">
        <v>-0.06</v>
      </c>
      <c r="DI82" s="228">
        <v>16.64</v>
      </c>
      <c r="DJ82" s="228">
        <v>16.36</v>
      </c>
      <c r="DK82" s="228">
        <v>0.28000000000000003</v>
      </c>
      <c r="DL82" s="228">
        <v>0.28000000000000003</v>
      </c>
      <c r="DM82" s="228">
        <v>16.18</v>
      </c>
      <c r="DN82" s="228">
        <v>16.440000000000001</v>
      </c>
      <c r="DO82" s="228">
        <v>-0.26</v>
      </c>
      <c r="DP82" s="228">
        <v>-0.26</v>
      </c>
      <c r="DQ82" s="228">
        <v>0.52</v>
      </c>
      <c r="DR82" s="228">
        <v>0.53</v>
      </c>
      <c r="DS82" s="228">
        <v>-0.01</v>
      </c>
      <c r="DT82" s="229">
        <v>-1.89E-2</v>
      </c>
      <c r="DU82" s="231">
        <v>2300</v>
      </c>
      <c r="DV82" s="231">
        <v>2300</v>
      </c>
      <c r="DW82" s="228">
        <v>0.32</v>
      </c>
      <c r="DX82" s="228">
        <v>0.41</v>
      </c>
      <c r="DY82" s="228">
        <v>-0.09</v>
      </c>
      <c r="DZ82" s="229">
        <v>-0.2195</v>
      </c>
      <c r="EA82" s="229">
        <v>0.16070000000000001</v>
      </c>
      <c r="EB82" s="230">
        <v>1699800</v>
      </c>
      <c r="EC82" s="229">
        <v>7.1999999999999998E-3</v>
      </c>
      <c r="ED82" s="229">
        <v>0.16070000000000001</v>
      </c>
      <c r="EE82" s="228">
        <v>14.91</v>
      </c>
      <c r="EF82" s="229">
        <v>6.4999999999999997E-3</v>
      </c>
      <c r="EG82" s="230">
        <v>534412</v>
      </c>
      <c r="EH82" s="230">
        <v>728687</v>
      </c>
      <c r="EI82" s="229">
        <v>-0.2666</v>
      </c>
      <c r="EJ82" s="229">
        <v>0.6331</v>
      </c>
      <c r="EK82" s="231">
        <v>1236.32</v>
      </c>
      <c r="EL82" s="228">
        <v>379.85</v>
      </c>
      <c r="EM82" s="228">
        <v>274.27</v>
      </c>
      <c r="EN82" s="228">
        <v>85.46</v>
      </c>
      <c r="EO82" s="231">
        <v>1890.45</v>
      </c>
      <c r="EP82" s="231">
        <v>2643.76</v>
      </c>
      <c r="EQ82" s="228">
        <v>-753.31</v>
      </c>
      <c r="ER82" s="229">
        <v>-0.28489999999999999</v>
      </c>
      <c r="ES82" s="231">
        <v>1568.56</v>
      </c>
      <c r="ET82" s="228">
        <v>776.58</v>
      </c>
      <c r="EU82" s="231">
        <v>2497.6799999999998</v>
      </c>
      <c r="EV82" s="231">
        <v>89517840</v>
      </c>
      <c r="EW82" s="231">
        <v>4842.8100000000004</v>
      </c>
      <c r="EX82" s="231">
        <v>4710.03</v>
      </c>
      <c r="EY82" s="228">
        <v>132.78</v>
      </c>
      <c r="EZ82" s="229">
        <v>2.8199999999999999E-2</v>
      </c>
      <c r="FA82" s="229">
        <v>0.23469999999999999</v>
      </c>
      <c r="FB82" s="227" t="s">
        <v>567</v>
      </c>
      <c r="FC82">
        <f t="shared" si="1"/>
        <v>401</v>
      </c>
    </row>
    <row r="83" spans="1:159" ht="17.25" thickBot="1" x14ac:dyDescent="0.3">
      <c r="A83" s="226">
        <v>46008</v>
      </c>
      <c r="B83" s="227" t="s">
        <v>227</v>
      </c>
      <c r="C83" s="227" t="s">
        <v>669</v>
      </c>
      <c r="D83" s="228">
        <v>1225</v>
      </c>
      <c r="E83" s="228">
        <v>13</v>
      </c>
      <c r="F83" s="228">
        <v>578.9</v>
      </c>
      <c r="G83" s="228">
        <v>568.6</v>
      </c>
      <c r="H83" s="228">
        <v>10.3</v>
      </c>
      <c r="I83" s="229">
        <v>1.8100000000000002E-2</v>
      </c>
      <c r="J83" s="228">
        <v>578.29999999999995</v>
      </c>
      <c r="K83" s="228">
        <v>567.70000000000005</v>
      </c>
      <c r="L83" s="228">
        <v>10.6</v>
      </c>
      <c r="M83" s="229">
        <v>1.8700000000000001E-2</v>
      </c>
      <c r="N83" s="228">
        <v>578.9</v>
      </c>
      <c r="O83" s="228">
        <v>568.6</v>
      </c>
      <c r="P83" s="228">
        <v>10.3</v>
      </c>
      <c r="Q83" s="229">
        <v>1.8100000000000002E-2</v>
      </c>
      <c r="R83" s="228">
        <v>582.6</v>
      </c>
      <c r="S83" s="228">
        <v>571.5</v>
      </c>
      <c r="T83" s="228">
        <v>11.1</v>
      </c>
      <c r="U83" s="229">
        <v>1.9400000000000001E-2</v>
      </c>
      <c r="V83" s="228">
        <v>585.65</v>
      </c>
      <c r="W83" s="228">
        <v>575.5</v>
      </c>
      <c r="X83" s="228">
        <v>10.15</v>
      </c>
      <c r="Y83" s="229">
        <v>1.7600000000000001E-2</v>
      </c>
      <c r="Z83" s="228">
        <v>0.6</v>
      </c>
      <c r="AA83" s="228">
        <v>0.9</v>
      </c>
      <c r="AB83" s="228">
        <v>-0.3</v>
      </c>
      <c r="AC83" s="229">
        <v>1E-3</v>
      </c>
      <c r="AD83" s="228">
        <v>0.6</v>
      </c>
      <c r="AE83" s="228">
        <v>0.9</v>
      </c>
      <c r="AF83" s="228">
        <v>-0.3</v>
      </c>
      <c r="AG83" s="229">
        <v>1E-3</v>
      </c>
      <c r="AH83" s="228">
        <v>4.3</v>
      </c>
      <c r="AI83" s="228">
        <v>3.8</v>
      </c>
      <c r="AJ83" s="228">
        <v>0.5</v>
      </c>
      <c r="AK83" s="229">
        <v>7.4000000000000003E-3</v>
      </c>
      <c r="AL83" s="228">
        <v>7.35</v>
      </c>
      <c r="AM83" s="228">
        <v>7.8</v>
      </c>
      <c r="AN83" s="228">
        <v>-0.45</v>
      </c>
      <c r="AO83" s="229">
        <v>1.2699999999999999E-2</v>
      </c>
      <c r="AP83" s="228">
        <v>581.75</v>
      </c>
      <c r="AQ83" s="228">
        <v>585.17999999999995</v>
      </c>
      <c r="AR83" s="228">
        <v>0</v>
      </c>
      <c r="AS83" s="230">
        <v>1421</v>
      </c>
      <c r="AT83" s="228">
        <v>723</v>
      </c>
      <c r="AU83" s="228">
        <v>697</v>
      </c>
      <c r="AV83" s="229">
        <v>0.96440000000000003</v>
      </c>
      <c r="AW83" s="230">
        <v>1199</v>
      </c>
      <c r="AX83" s="228">
        <v>618</v>
      </c>
      <c r="AY83" s="228">
        <v>580</v>
      </c>
      <c r="AZ83" s="229">
        <v>0.93889999999999996</v>
      </c>
      <c r="BA83" s="228">
        <v>188</v>
      </c>
      <c r="BB83" s="228">
        <v>79</v>
      </c>
      <c r="BC83" s="228">
        <v>109</v>
      </c>
      <c r="BD83" s="229">
        <v>1.3893</v>
      </c>
      <c r="BE83" s="228">
        <v>34</v>
      </c>
      <c r="BF83" s="228">
        <v>26</v>
      </c>
      <c r="BG83" s="228">
        <v>8</v>
      </c>
      <c r="BH83" s="229">
        <v>0.2984</v>
      </c>
      <c r="BI83" s="230">
        <v>11629</v>
      </c>
      <c r="BJ83" s="230">
        <v>4915</v>
      </c>
      <c r="BK83" s="230">
        <v>6713</v>
      </c>
      <c r="BL83" s="229">
        <v>1.3657999999999999</v>
      </c>
      <c r="BM83" s="230">
        <v>4791</v>
      </c>
      <c r="BN83" s="230">
        <v>2375</v>
      </c>
      <c r="BO83" s="230">
        <v>2417</v>
      </c>
      <c r="BP83" s="229">
        <v>1.0176000000000001</v>
      </c>
      <c r="BQ83" s="230">
        <v>17841</v>
      </c>
      <c r="BR83" s="230">
        <v>8013</v>
      </c>
      <c r="BS83" s="230">
        <v>9827</v>
      </c>
      <c r="BT83" s="229">
        <v>1.2263999999999999</v>
      </c>
      <c r="BU83" s="230">
        <v>19863787</v>
      </c>
      <c r="BV83" s="230">
        <v>9987657</v>
      </c>
      <c r="BW83" s="230">
        <v>9876130</v>
      </c>
      <c r="BX83" s="229">
        <v>0.98880000000000001</v>
      </c>
      <c r="BY83" s="230">
        <v>2094</v>
      </c>
      <c r="BZ83" s="230">
        <v>2078</v>
      </c>
      <c r="CA83" s="228">
        <v>16</v>
      </c>
      <c r="CB83" s="229">
        <v>7.7999999999999996E-3</v>
      </c>
      <c r="CC83" s="230">
        <v>1844</v>
      </c>
      <c r="CD83" s="230">
        <v>1869</v>
      </c>
      <c r="CE83" s="228">
        <v>-25</v>
      </c>
      <c r="CF83" s="229">
        <v>-1.35E-2</v>
      </c>
      <c r="CG83" s="228">
        <v>191</v>
      </c>
      <c r="CH83" s="228">
        <v>156</v>
      </c>
      <c r="CI83" s="228">
        <v>35</v>
      </c>
      <c r="CJ83" s="229">
        <v>0.22259999999999999</v>
      </c>
      <c r="CK83" s="228">
        <v>60</v>
      </c>
      <c r="CL83" s="228">
        <v>53</v>
      </c>
      <c r="CM83" s="228">
        <v>7</v>
      </c>
      <c r="CN83" s="229">
        <v>0.1278</v>
      </c>
      <c r="CO83" s="230">
        <v>3006</v>
      </c>
      <c r="CP83" s="230">
        <v>2574</v>
      </c>
      <c r="CQ83" s="228">
        <v>432</v>
      </c>
      <c r="CR83" s="229">
        <v>0.16789999999999999</v>
      </c>
      <c r="CS83" s="230">
        <v>1998</v>
      </c>
      <c r="CT83" s="230">
        <v>1865</v>
      </c>
      <c r="CU83" s="228">
        <v>132</v>
      </c>
      <c r="CV83" s="229">
        <v>7.0900000000000005E-2</v>
      </c>
      <c r="CW83" s="230">
        <v>7098</v>
      </c>
      <c r="CX83" s="230">
        <v>6518</v>
      </c>
      <c r="CY83" s="228">
        <v>581</v>
      </c>
      <c r="CZ83" s="229">
        <v>8.9099999999999999E-2</v>
      </c>
      <c r="DA83" s="228">
        <v>36.72</v>
      </c>
      <c r="DB83" s="228">
        <v>36.090000000000003</v>
      </c>
      <c r="DC83" s="228">
        <v>0.63</v>
      </c>
      <c r="DD83" s="228">
        <v>0.63</v>
      </c>
      <c r="DE83" s="228">
        <v>43.61</v>
      </c>
      <c r="DF83" s="228">
        <v>43.65</v>
      </c>
      <c r="DG83" s="228">
        <v>-6.89</v>
      </c>
      <c r="DH83" s="228">
        <v>-0.04</v>
      </c>
      <c r="DI83" s="228">
        <v>36.81</v>
      </c>
      <c r="DJ83" s="228">
        <v>35.950000000000003</v>
      </c>
      <c r="DK83" s="228">
        <v>0.86</v>
      </c>
      <c r="DL83" s="228">
        <v>0.86</v>
      </c>
      <c r="DM83" s="228">
        <v>36.49</v>
      </c>
      <c r="DN83" s="228">
        <v>36.369999999999997</v>
      </c>
      <c r="DO83" s="228">
        <v>0.12</v>
      </c>
      <c r="DP83" s="228">
        <v>0.12</v>
      </c>
      <c r="DQ83" s="228">
        <v>0.66</v>
      </c>
      <c r="DR83" s="228">
        <v>0.72</v>
      </c>
      <c r="DS83" s="228">
        <v>-0.06</v>
      </c>
      <c r="DT83" s="229">
        <v>-8.3299999999999999E-2</v>
      </c>
      <c r="DU83" s="228">
        <v>600</v>
      </c>
      <c r="DV83" s="228">
        <v>540</v>
      </c>
      <c r="DW83" s="228">
        <v>0.41</v>
      </c>
      <c r="DX83" s="228">
        <v>0.48</v>
      </c>
      <c r="DY83" s="228">
        <v>-7.0000000000000007E-2</v>
      </c>
      <c r="DZ83" s="229">
        <v>-0.14580000000000001</v>
      </c>
      <c r="EA83" s="229">
        <v>0.1198</v>
      </c>
      <c r="EB83" s="230">
        <v>3616200</v>
      </c>
      <c r="EC83" s="229">
        <v>6.4000000000000003E-3</v>
      </c>
      <c r="ED83" s="229">
        <v>0.1198</v>
      </c>
      <c r="EE83" s="228">
        <v>3.43</v>
      </c>
      <c r="EF83" s="229">
        <v>5.8999999999999999E-3</v>
      </c>
      <c r="EG83" s="230">
        <v>4605091</v>
      </c>
      <c r="EH83" s="230">
        <v>2669115</v>
      </c>
      <c r="EI83" s="229">
        <v>0.72529999999999994</v>
      </c>
      <c r="EJ83" s="229">
        <v>0.23180000000000001</v>
      </c>
      <c r="EK83" s="231">
        <v>12224.77</v>
      </c>
      <c r="EL83" s="231">
        <v>4668.66</v>
      </c>
      <c r="EM83" s="231">
        <v>1428.97</v>
      </c>
      <c r="EN83" s="228">
        <v>187.42</v>
      </c>
      <c r="EO83" s="231">
        <v>18322.400000000001</v>
      </c>
      <c r="EP83" s="231">
        <v>8027.93</v>
      </c>
      <c r="EQ83" s="231">
        <v>10294.469999999999</v>
      </c>
      <c r="ER83" s="229">
        <v>1.2823</v>
      </c>
      <c r="ES83" s="231">
        <v>3030.05</v>
      </c>
      <c r="ET83" s="231">
        <v>1816.69</v>
      </c>
      <c r="EU83" s="231">
        <v>2096.4</v>
      </c>
      <c r="EV83" s="231">
        <v>167680340</v>
      </c>
      <c r="EW83" s="231">
        <v>6943.14</v>
      </c>
      <c r="EX83" s="231">
        <v>6256.24</v>
      </c>
      <c r="EY83" s="228">
        <v>686.9</v>
      </c>
      <c r="EZ83" s="229">
        <v>0.10979999999999999</v>
      </c>
      <c r="FA83" s="229">
        <v>0.73129999999999995</v>
      </c>
      <c r="FB83" s="227" t="s">
        <v>555</v>
      </c>
      <c r="FC83">
        <f t="shared" si="1"/>
        <v>250</v>
      </c>
    </row>
    <row r="84" spans="1:159" ht="17.25" thickBot="1" x14ac:dyDescent="0.3">
      <c r="A84" s="226">
        <v>46008</v>
      </c>
      <c r="B84" s="227" t="s">
        <v>206</v>
      </c>
      <c r="C84" s="227" t="s">
        <v>608</v>
      </c>
      <c r="D84" s="228">
        <v>2775</v>
      </c>
      <c r="E84" s="228">
        <v>13</v>
      </c>
      <c r="F84" s="228">
        <v>207.89</v>
      </c>
      <c r="G84" s="228">
        <v>210.93</v>
      </c>
      <c r="H84" s="228">
        <v>-3.04</v>
      </c>
      <c r="I84" s="229">
        <v>-1.44E-2</v>
      </c>
      <c r="J84" s="228">
        <v>207.91</v>
      </c>
      <c r="K84" s="228">
        <v>211.02</v>
      </c>
      <c r="L84" s="228">
        <v>-3.11</v>
      </c>
      <c r="M84" s="229">
        <v>-1.47E-2</v>
      </c>
      <c r="N84" s="228">
        <v>207.89</v>
      </c>
      <c r="O84" s="228">
        <v>210.93</v>
      </c>
      <c r="P84" s="228">
        <v>-3.04</v>
      </c>
      <c r="Q84" s="229">
        <v>-1.44E-2</v>
      </c>
      <c r="R84" s="228">
        <v>209.39</v>
      </c>
      <c r="S84" s="228">
        <v>212.3</v>
      </c>
      <c r="T84" s="228">
        <v>-2.91</v>
      </c>
      <c r="U84" s="229">
        <v>-1.37E-2</v>
      </c>
      <c r="V84" s="228">
        <v>209.76</v>
      </c>
      <c r="W84" s="228">
        <v>213.13</v>
      </c>
      <c r="X84" s="228">
        <v>-3.37</v>
      </c>
      <c r="Y84" s="229">
        <v>-1.5800000000000002E-2</v>
      </c>
      <c r="Z84" s="228">
        <v>-0.02</v>
      </c>
      <c r="AA84" s="228">
        <v>-0.09</v>
      </c>
      <c r="AB84" s="228">
        <v>7.0000000000000007E-2</v>
      </c>
      <c r="AC84" s="229">
        <v>-1E-4</v>
      </c>
      <c r="AD84" s="228">
        <v>-0.02</v>
      </c>
      <c r="AE84" s="228">
        <v>-0.09</v>
      </c>
      <c r="AF84" s="228">
        <v>7.0000000000000007E-2</v>
      </c>
      <c r="AG84" s="229">
        <v>-1E-4</v>
      </c>
      <c r="AH84" s="228">
        <v>1.48</v>
      </c>
      <c r="AI84" s="228">
        <v>1.28</v>
      </c>
      <c r="AJ84" s="228">
        <v>0.2</v>
      </c>
      <c r="AK84" s="229">
        <v>7.1000000000000004E-3</v>
      </c>
      <c r="AL84" s="228">
        <v>1.85</v>
      </c>
      <c r="AM84" s="228">
        <v>2.11</v>
      </c>
      <c r="AN84" s="228">
        <v>-0.26</v>
      </c>
      <c r="AO84" s="229">
        <v>8.8999999999999999E-3</v>
      </c>
      <c r="AP84" s="228">
        <v>209.05</v>
      </c>
      <c r="AQ84" s="228">
        <v>210.76</v>
      </c>
      <c r="AR84" s="228">
        <v>0</v>
      </c>
      <c r="AS84" s="228">
        <v>127</v>
      </c>
      <c r="AT84" s="228">
        <v>114</v>
      </c>
      <c r="AU84" s="228">
        <v>12</v>
      </c>
      <c r="AV84" s="229">
        <v>0.1076</v>
      </c>
      <c r="AW84" s="228">
        <v>110</v>
      </c>
      <c r="AX84" s="228">
        <v>96</v>
      </c>
      <c r="AY84" s="228">
        <v>14</v>
      </c>
      <c r="AZ84" s="229">
        <v>0.14960000000000001</v>
      </c>
      <c r="BA84" s="228">
        <v>15</v>
      </c>
      <c r="BB84" s="228">
        <v>17</v>
      </c>
      <c r="BC84" s="228">
        <v>-1</v>
      </c>
      <c r="BD84" s="229">
        <v>-8.8400000000000006E-2</v>
      </c>
      <c r="BE84" s="228">
        <v>1</v>
      </c>
      <c r="BF84" s="228">
        <v>1</v>
      </c>
      <c r="BG84" s="228">
        <v>-1</v>
      </c>
      <c r="BH84" s="229">
        <v>-0.45450000000000002</v>
      </c>
      <c r="BI84" s="228">
        <v>427</v>
      </c>
      <c r="BJ84" s="228">
        <v>322</v>
      </c>
      <c r="BK84" s="228">
        <v>104</v>
      </c>
      <c r="BL84" s="229">
        <v>0.32340000000000002</v>
      </c>
      <c r="BM84" s="228">
        <v>204</v>
      </c>
      <c r="BN84" s="228">
        <v>151</v>
      </c>
      <c r="BO84" s="228">
        <v>53</v>
      </c>
      <c r="BP84" s="229">
        <v>0.35349999999999998</v>
      </c>
      <c r="BQ84" s="228">
        <v>757</v>
      </c>
      <c r="BR84" s="228">
        <v>587</v>
      </c>
      <c r="BS84" s="228">
        <v>170</v>
      </c>
      <c r="BT84" s="229">
        <v>0.28910000000000002</v>
      </c>
      <c r="BU84" s="230">
        <v>2266227</v>
      </c>
      <c r="BV84" s="230">
        <v>1856813</v>
      </c>
      <c r="BW84" s="230">
        <v>409414</v>
      </c>
      <c r="BX84" s="229">
        <v>0.2205</v>
      </c>
      <c r="BY84" s="228">
        <v>727</v>
      </c>
      <c r="BZ84" s="228">
        <v>730</v>
      </c>
      <c r="CA84" s="228">
        <v>-3</v>
      </c>
      <c r="CB84" s="229">
        <v>-4.7000000000000002E-3</v>
      </c>
      <c r="CC84" s="228">
        <v>660</v>
      </c>
      <c r="CD84" s="228">
        <v>669</v>
      </c>
      <c r="CE84" s="228">
        <v>-8</v>
      </c>
      <c r="CF84" s="229">
        <v>-1.24E-2</v>
      </c>
      <c r="CG84" s="228">
        <v>58</v>
      </c>
      <c r="CH84" s="228">
        <v>54</v>
      </c>
      <c r="CI84" s="228">
        <v>4</v>
      </c>
      <c r="CJ84" s="229">
        <v>8.4000000000000005E-2</v>
      </c>
      <c r="CK84" s="228">
        <v>8</v>
      </c>
      <c r="CL84" s="228">
        <v>8</v>
      </c>
      <c r="CM84" s="228">
        <v>0</v>
      </c>
      <c r="CN84" s="229">
        <v>4.4400000000000002E-2</v>
      </c>
      <c r="CO84" s="228">
        <v>866</v>
      </c>
      <c r="CP84" s="228">
        <v>848</v>
      </c>
      <c r="CQ84" s="228">
        <v>18</v>
      </c>
      <c r="CR84" s="229">
        <v>2.1100000000000001E-2</v>
      </c>
      <c r="CS84" s="228">
        <v>379</v>
      </c>
      <c r="CT84" s="228">
        <v>382</v>
      </c>
      <c r="CU84" s="228">
        <v>-3</v>
      </c>
      <c r="CV84" s="229">
        <v>-7.1999999999999998E-3</v>
      </c>
      <c r="CW84" s="230">
        <v>1972</v>
      </c>
      <c r="CX84" s="230">
        <v>1960</v>
      </c>
      <c r="CY84" s="228">
        <v>12</v>
      </c>
      <c r="CZ84" s="229">
        <v>5.8999999999999999E-3</v>
      </c>
      <c r="DA84" s="228">
        <v>30.33</v>
      </c>
      <c r="DB84" s="228">
        <v>31.25</v>
      </c>
      <c r="DC84" s="228">
        <v>-0.92</v>
      </c>
      <c r="DD84" s="228">
        <v>-0.92</v>
      </c>
      <c r="DE84" s="228">
        <v>51.3</v>
      </c>
      <c r="DF84" s="228">
        <v>51.39</v>
      </c>
      <c r="DG84" s="228">
        <v>-20.97</v>
      </c>
      <c r="DH84" s="228">
        <v>-0.09</v>
      </c>
      <c r="DI84" s="228">
        <v>32.18</v>
      </c>
      <c r="DJ84" s="228">
        <v>32.51</v>
      </c>
      <c r="DK84" s="228">
        <v>-0.33</v>
      </c>
      <c r="DL84" s="228">
        <v>-0.33</v>
      </c>
      <c r="DM84" s="228">
        <v>26.47</v>
      </c>
      <c r="DN84" s="228">
        <v>28.56</v>
      </c>
      <c r="DO84" s="228">
        <v>-2.09</v>
      </c>
      <c r="DP84" s="228">
        <v>-2.09</v>
      </c>
      <c r="DQ84" s="228">
        <v>0.44</v>
      </c>
      <c r="DR84" s="228">
        <v>0.45</v>
      </c>
      <c r="DS84" s="228">
        <v>-0.01</v>
      </c>
      <c r="DT84" s="229">
        <v>-2.2200000000000001E-2</v>
      </c>
      <c r="DU84" s="228">
        <v>240</v>
      </c>
      <c r="DV84" s="228">
        <v>210</v>
      </c>
      <c r="DW84" s="228">
        <v>0.48</v>
      </c>
      <c r="DX84" s="228">
        <v>0.47</v>
      </c>
      <c r="DY84" s="228">
        <v>0.01</v>
      </c>
      <c r="DZ84" s="229">
        <v>2.1299999999999999E-2</v>
      </c>
      <c r="EA84" s="229">
        <v>9.1200000000000003E-2</v>
      </c>
      <c r="EB84" s="230">
        <v>2952600</v>
      </c>
      <c r="EC84" s="229">
        <v>7.1999999999999998E-3</v>
      </c>
      <c r="ED84" s="229">
        <v>9.1200000000000003E-2</v>
      </c>
      <c r="EE84" s="228">
        <v>1.71</v>
      </c>
      <c r="EF84" s="229">
        <v>8.2000000000000007E-3</v>
      </c>
      <c r="EG84" s="230">
        <v>771227</v>
      </c>
      <c r="EH84" s="230">
        <v>805373</v>
      </c>
      <c r="EI84" s="229">
        <v>-4.24E-2</v>
      </c>
      <c r="EJ84" s="229">
        <v>0.34029999999999999</v>
      </c>
      <c r="EK84" s="228">
        <v>461.4</v>
      </c>
      <c r="EL84" s="228">
        <v>210.4</v>
      </c>
      <c r="EM84" s="228">
        <v>127.35</v>
      </c>
      <c r="EN84" s="228">
        <v>19.82</v>
      </c>
      <c r="EO84" s="228">
        <v>799.15</v>
      </c>
      <c r="EP84" s="228">
        <v>623.9</v>
      </c>
      <c r="EQ84" s="228">
        <v>175.25</v>
      </c>
      <c r="ER84" s="229">
        <v>0.28089999999999998</v>
      </c>
      <c r="ES84" s="228">
        <v>971.54</v>
      </c>
      <c r="ET84" s="228">
        <v>397.6</v>
      </c>
      <c r="EU84" s="228">
        <v>727.03</v>
      </c>
      <c r="EV84" s="231">
        <v>75071250</v>
      </c>
      <c r="EW84" s="231">
        <v>2096.1799999999998</v>
      </c>
      <c r="EX84" s="231">
        <v>2100.36</v>
      </c>
      <c r="EY84" s="228">
        <v>-4.18</v>
      </c>
      <c r="EZ84" s="229">
        <v>-2E-3</v>
      </c>
      <c r="FA84" s="229">
        <v>1.2633000000000001</v>
      </c>
      <c r="FB84" s="227" t="s">
        <v>568</v>
      </c>
      <c r="FC84">
        <f t="shared" si="1"/>
        <v>67</v>
      </c>
    </row>
    <row r="85" spans="1:159" ht="17.25" thickBot="1" x14ac:dyDescent="0.3">
      <c r="A85" s="226">
        <v>46008</v>
      </c>
      <c r="B85" s="227" t="s">
        <v>172</v>
      </c>
      <c r="C85" s="227" t="s">
        <v>232</v>
      </c>
      <c r="D85" s="228">
        <v>700</v>
      </c>
      <c r="E85" s="228">
        <v>13</v>
      </c>
      <c r="F85" s="231">
        <v>1356.5</v>
      </c>
      <c r="G85" s="231">
        <v>1370.3</v>
      </c>
      <c r="H85" s="228">
        <v>-13.8</v>
      </c>
      <c r="I85" s="229">
        <v>-1.01E-2</v>
      </c>
      <c r="J85" s="231">
        <v>1352.4</v>
      </c>
      <c r="K85" s="231">
        <v>1366</v>
      </c>
      <c r="L85" s="228">
        <v>-13.6</v>
      </c>
      <c r="M85" s="229">
        <v>-0.01</v>
      </c>
      <c r="N85" s="231">
        <v>1356.5</v>
      </c>
      <c r="O85" s="231">
        <v>1370.3</v>
      </c>
      <c r="P85" s="228">
        <v>-13.8</v>
      </c>
      <c r="Q85" s="229">
        <v>-1.01E-2</v>
      </c>
      <c r="R85" s="231">
        <v>1364.9</v>
      </c>
      <c r="S85" s="231">
        <v>1378.9</v>
      </c>
      <c r="T85" s="228">
        <v>-14</v>
      </c>
      <c r="U85" s="229">
        <v>-1.0200000000000001E-2</v>
      </c>
      <c r="V85" s="231">
        <v>1372.6</v>
      </c>
      <c r="W85" s="231">
        <v>1386.3</v>
      </c>
      <c r="X85" s="228">
        <v>-13.7</v>
      </c>
      <c r="Y85" s="229">
        <v>-9.9000000000000008E-3</v>
      </c>
      <c r="Z85" s="228">
        <v>4.0999999999999996</v>
      </c>
      <c r="AA85" s="228">
        <v>4.3</v>
      </c>
      <c r="AB85" s="228">
        <v>-0.2</v>
      </c>
      <c r="AC85" s="229">
        <v>3.0000000000000001E-3</v>
      </c>
      <c r="AD85" s="228">
        <v>4.0999999999999996</v>
      </c>
      <c r="AE85" s="228">
        <v>4.3</v>
      </c>
      <c r="AF85" s="228">
        <v>-0.2</v>
      </c>
      <c r="AG85" s="229">
        <v>3.0000000000000001E-3</v>
      </c>
      <c r="AH85" s="228">
        <v>12.5</v>
      </c>
      <c r="AI85" s="228">
        <v>12.9</v>
      </c>
      <c r="AJ85" s="228">
        <v>-0.4</v>
      </c>
      <c r="AK85" s="229">
        <v>9.1999999999999998E-3</v>
      </c>
      <c r="AL85" s="228">
        <v>20.2</v>
      </c>
      <c r="AM85" s="228">
        <v>20.3</v>
      </c>
      <c r="AN85" s="228">
        <v>-0.1</v>
      </c>
      <c r="AO85" s="229">
        <v>1.49E-2</v>
      </c>
      <c r="AP85" s="231">
        <v>1354.41</v>
      </c>
      <c r="AQ85" s="231">
        <v>1362.28</v>
      </c>
      <c r="AR85" s="228">
        <v>0</v>
      </c>
      <c r="AS85" s="230">
        <v>2090</v>
      </c>
      <c r="AT85" s="230">
        <v>1503</v>
      </c>
      <c r="AU85" s="228">
        <v>587</v>
      </c>
      <c r="AV85" s="229">
        <v>0.39069999999999999</v>
      </c>
      <c r="AW85" s="230">
        <v>1394</v>
      </c>
      <c r="AX85" s="230">
        <v>1174</v>
      </c>
      <c r="AY85" s="228">
        <v>220</v>
      </c>
      <c r="AZ85" s="229">
        <v>0.18740000000000001</v>
      </c>
      <c r="BA85" s="228">
        <v>670</v>
      </c>
      <c r="BB85" s="228">
        <v>321</v>
      </c>
      <c r="BC85" s="228">
        <v>349</v>
      </c>
      <c r="BD85" s="229">
        <v>1.0885</v>
      </c>
      <c r="BE85" s="228">
        <v>27</v>
      </c>
      <c r="BF85" s="228">
        <v>9</v>
      </c>
      <c r="BG85" s="228">
        <v>18</v>
      </c>
      <c r="BH85" s="229">
        <v>2.1333000000000002</v>
      </c>
      <c r="BI85" s="230">
        <v>6997</v>
      </c>
      <c r="BJ85" s="230">
        <v>3792</v>
      </c>
      <c r="BK85" s="230">
        <v>3205</v>
      </c>
      <c r="BL85" s="229">
        <v>0.84540000000000004</v>
      </c>
      <c r="BM85" s="230">
        <v>5314</v>
      </c>
      <c r="BN85" s="230">
        <v>2635</v>
      </c>
      <c r="BO85" s="230">
        <v>2680</v>
      </c>
      <c r="BP85" s="229">
        <v>1.0170999999999999</v>
      </c>
      <c r="BQ85" s="230">
        <v>14402</v>
      </c>
      <c r="BR85" s="230">
        <v>7930</v>
      </c>
      <c r="BS85" s="230">
        <v>6473</v>
      </c>
      <c r="BT85" s="229">
        <v>0.81630000000000003</v>
      </c>
      <c r="BU85" s="230">
        <v>9787109</v>
      </c>
      <c r="BV85" s="230">
        <v>12478183</v>
      </c>
      <c r="BW85" s="230">
        <v>-2691074</v>
      </c>
      <c r="BX85" s="229">
        <v>-0.2157</v>
      </c>
      <c r="BY85" s="230">
        <v>16318</v>
      </c>
      <c r="BZ85" s="230">
        <v>16040</v>
      </c>
      <c r="CA85" s="228">
        <v>279</v>
      </c>
      <c r="CB85" s="229">
        <v>1.7399999999999999E-2</v>
      </c>
      <c r="CC85" s="230">
        <v>13699</v>
      </c>
      <c r="CD85" s="230">
        <v>14009</v>
      </c>
      <c r="CE85" s="228">
        <v>-310</v>
      </c>
      <c r="CF85" s="229">
        <v>-2.2100000000000002E-2</v>
      </c>
      <c r="CG85" s="230">
        <v>2484</v>
      </c>
      <c r="CH85" s="230">
        <v>1911</v>
      </c>
      <c r="CI85" s="228">
        <v>574</v>
      </c>
      <c r="CJ85" s="229">
        <v>0.30020000000000002</v>
      </c>
      <c r="CK85" s="228">
        <v>136</v>
      </c>
      <c r="CL85" s="228">
        <v>120</v>
      </c>
      <c r="CM85" s="228">
        <v>15</v>
      </c>
      <c r="CN85" s="229">
        <v>0.1263</v>
      </c>
      <c r="CO85" s="230">
        <v>5669</v>
      </c>
      <c r="CP85" s="230">
        <v>4996</v>
      </c>
      <c r="CQ85" s="228">
        <v>673</v>
      </c>
      <c r="CR85" s="229">
        <v>0.13469999999999999</v>
      </c>
      <c r="CS85" s="230">
        <v>3384</v>
      </c>
      <c r="CT85" s="230">
        <v>3225</v>
      </c>
      <c r="CU85" s="228">
        <v>158</v>
      </c>
      <c r="CV85" s="229">
        <v>4.9099999999999998E-2</v>
      </c>
      <c r="CW85" s="230">
        <v>25371</v>
      </c>
      <c r="CX85" s="230">
        <v>24261</v>
      </c>
      <c r="CY85" s="230">
        <v>1110</v>
      </c>
      <c r="CZ85" s="229">
        <v>4.58E-2</v>
      </c>
      <c r="DA85" s="228">
        <v>15.35</v>
      </c>
      <c r="DB85" s="228">
        <v>14.59</v>
      </c>
      <c r="DC85" s="228">
        <v>0.76</v>
      </c>
      <c r="DD85" s="228">
        <v>0.76</v>
      </c>
      <c r="DE85" s="228">
        <v>20.5</v>
      </c>
      <c r="DF85" s="228">
        <v>20.5</v>
      </c>
      <c r="DG85" s="228">
        <v>-5.15</v>
      </c>
      <c r="DH85" s="228">
        <v>0</v>
      </c>
      <c r="DI85" s="228">
        <v>15.43</v>
      </c>
      <c r="DJ85" s="228">
        <v>14.57</v>
      </c>
      <c r="DK85" s="228">
        <v>0.86</v>
      </c>
      <c r="DL85" s="228">
        <v>0.86</v>
      </c>
      <c r="DM85" s="228">
        <v>15.25</v>
      </c>
      <c r="DN85" s="228">
        <v>14.63</v>
      </c>
      <c r="DO85" s="228">
        <v>0.62</v>
      </c>
      <c r="DP85" s="228">
        <v>0.62</v>
      </c>
      <c r="DQ85" s="228">
        <v>0.6</v>
      </c>
      <c r="DR85" s="228">
        <v>0.65</v>
      </c>
      <c r="DS85" s="228">
        <v>-0.05</v>
      </c>
      <c r="DT85" s="229">
        <v>-7.6899999999999996E-2</v>
      </c>
      <c r="DU85" s="231">
        <v>1400</v>
      </c>
      <c r="DV85" s="231">
        <v>1400</v>
      </c>
      <c r="DW85" s="228">
        <v>0.76</v>
      </c>
      <c r="DX85" s="228">
        <v>0.69</v>
      </c>
      <c r="DY85" s="228">
        <v>7.0000000000000007E-2</v>
      </c>
      <c r="DZ85" s="229">
        <v>0.1014</v>
      </c>
      <c r="EA85" s="229">
        <v>0.1605</v>
      </c>
      <c r="EB85" s="230">
        <v>14973000</v>
      </c>
      <c r="EC85" s="229">
        <v>6.1999999999999998E-3</v>
      </c>
      <c r="ED85" s="229">
        <v>0.1605</v>
      </c>
      <c r="EE85" s="228">
        <v>7.87</v>
      </c>
      <c r="EF85" s="229">
        <v>5.7999999999999996E-3</v>
      </c>
      <c r="EG85" s="230">
        <v>5870069</v>
      </c>
      <c r="EH85" s="230">
        <v>5477566</v>
      </c>
      <c r="EI85" s="229">
        <v>7.17E-2</v>
      </c>
      <c r="EJ85" s="229">
        <v>0.5998</v>
      </c>
      <c r="EK85" s="231">
        <v>7176.99</v>
      </c>
      <c r="EL85" s="231">
        <v>5281.19</v>
      </c>
      <c r="EM85" s="231">
        <v>2091.3200000000002</v>
      </c>
      <c r="EN85" s="228">
        <v>124.52</v>
      </c>
      <c r="EO85" s="231">
        <v>14549.5</v>
      </c>
      <c r="EP85" s="231">
        <v>8053.19</v>
      </c>
      <c r="EQ85" s="231">
        <v>6496.32</v>
      </c>
      <c r="ER85" s="229">
        <v>0.80669999999999997</v>
      </c>
      <c r="ES85" s="231">
        <v>5849.06</v>
      </c>
      <c r="ET85" s="231">
        <v>3376.55</v>
      </c>
      <c r="EU85" s="231">
        <v>16335.48</v>
      </c>
      <c r="EV85" s="231">
        <v>579785172</v>
      </c>
      <c r="EW85" s="231">
        <v>25561.09</v>
      </c>
      <c r="EX85" s="231">
        <v>24610.1</v>
      </c>
      <c r="EY85" s="228">
        <v>950.99</v>
      </c>
      <c r="EZ85" s="229">
        <v>3.8600000000000002E-2</v>
      </c>
      <c r="FA85" s="229">
        <v>0.3226</v>
      </c>
      <c r="FB85" s="227" t="s">
        <v>567</v>
      </c>
      <c r="FC85">
        <f t="shared" si="1"/>
        <v>2619</v>
      </c>
    </row>
    <row r="86" spans="1:159" ht="17.25" thickBot="1" x14ac:dyDescent="0.3">
      <c r="A86" s="226">
        <v>46008</v>
      </c>
      <c r="B86" s="227" t="s">
        <v>175</v>
      </c>
      <c r="C86" s="227" t="s">
        <v>472</v>
      </c>
      <c r="D86" s="228">
        <v>325</v>
      </c>
      <c r="E86" s="228">
        <v>13</v>
      </c>
      <c r="F86" s="231">
        <v>1947.1</v>
      </c>
      <c r="G86" s="231">
        <v>1952.6</v>
      </c>
      <c r="H86" s="228">
        <v>-5.5</v>
      </c>
      <c r="I86" s="229">
        <v>-2.8E-3</v>
      </c>
      <c r="J86" s="231">
        <v>1947</v>
      </c>
      <c r="K86" s="231">
        <v>1951.2</v>
      </c>
      <c r="L86" s="228">
        <v>-4.2</v>
      </c>
      <c r="M86" s="229">
        <v>-2.2000000000000001E-3</v>
      </c>
      <c r="N86" s="231">
        <v>1947.1</v>
      </c>
      <c r="O86" s="231">
        <v>1952.6</v>
      </c>
      <c r="P86" s="228">
        <v>-5.5</v>
      </c>
      <c r="Q86" s="229">
        <v>-2.8E-3</v>
      </c>
      <c r="R86" s="231">
        <v>1957.1</v>
      </c>
      <c r="S86" s="231">
        <v>1963.2</v>
      </c>
      <c r="T86" s="228">
        <v>-6.1</v>
      </c>
      <c r="U86" s="229">
        <v>-3.0999999999999999E-3</v>
      </c>
      <c r="V86" s="231">
        <v>1978.1</v>
      </c>
      <c r="W86" s="231">
        <v>1978.1</v>
      </c>
      <c r="X86" s="228">
        <v>0</v>
      </c>
      <c r="Y86" s="229">
        <v>0</v>
      </c>
      <c r="Z86" s="228">
        <v>0.1</v>
      </c>
      <c r="AA86" s="228">
        <v>1.4</v>
      </c>
      <c r="AB86" s="228">
        <v>-1.3</v>
      </c>
      <c r="AC86" s="229">
        <v>1E-4</v>
      </c>
      <c r="AD86" s="228">
        <v>0.1</v>
      </c>
      <c r="AE86" s="228">
        <v>1.4</v>
      </c>
      <c r="AF86" s="228">
        <v>-1.3</v>
      </c>
      <c r="AG86" s="229">
        <v>1E-4</v>
      </c>
      <c r="AH86" s="228">
        <v>10.1</v>
      </c>
      <c r="AI86" s="228">
        <v>12</v>
      </c>
      <c r="AJ86" s="228">
        <v>-1.9</v>
      </c>
      <c r="AK86" s="229">
        <v>5.1999999999999998E-3</v>
      </c>
      <c r="AL86" s="228">
        <v>31.1</v>
      </c>
      <c r="AM86" s="228">
        <v>26.9</v>
      </c>
      <c r="AN86" s="228">
        <v>4.2</v>
      </c>
      <c r="AO86" s="229">
        <v>1.6E-2</v>
      </c>
      <c r="AP86" s="231">
        <v>1945.73</v>
      </c>
      <c r="AQ86" s="231">
        <v>1958.08</v>
      </c>
      <c r="AR86" s="228">
        <v>0</v>
      </c>
      <c r="AS86" s="228">
        <v>129</v>
      </c>
      <c r="AT86" s="228">
        <v>105</v>
      </c>
      <c r="AU86" s="228">
        <v>25</v>
      </c>
      <c r="AV86" s="229">
        <v>0.2364</v>
      </c>
      <c r="AW86" s="228">
        <v>115</v>
      </c>
      <c r="AX86" s="228">
        <v>96</v>
      </c>
      <c r="AY86" s="228">
        <v>19</v>
      </c>
      <c r="AZ86" s="229">
        <v>0.19670000000000001</v>
      </c>
      <c r="BA86" s="228">
        <v>14</v>
      </c>
      <c r="BB86" s="228">
        <v>8</v>
      </c>
      <c r="BC86" s="228">
        <v>6</v>
      </c>
      <c r="BD86" s="229">
        <v>0.71209999999999996</v>
      </c>
      <c r="BE86" s="228">
        <v>0</v>
      </c>
      <c r="BF86" s="228">
        <v>0</v>
      </c>
      <c r="BG86" s="228">
        <v>0</v>
      </c>
      <c r="BH86" s="229">
        <v>-1</v>
      </c>
      <c r="BI86" s="228">
        <v>154</v>
      </c>
      <c r="BJ86" s="228">
        <v>181</v>
      </c>
      <c r="BK86" s="228">
        <v>-27</v>
      </c>
      <c r="BL86" s="229">
        <v>-0.1487</v>
      </c>
      <c r="BM86" s="228">
        <v>49</v>
      </c>
      <c r="BN86" s="228">
        <v>85</v>
      </c>
      <c r="BO86" s="228">
        <v>-36</v>
      </c>
      <c r="BP86" s="229">
        <v>-0.4229</v>
      </c>
      <c r="BQ86" s="228">
        <v>332</v>
      </c>
      <c r="BR86" s="228">
        <v>370</v>
      </c>
      <c r="BS86" s="228">
        <v>-38</v>
      </c>
      <c r="BT86" s="229">
        <v>-0.10249999999999999</v>
      </c>
      <c r="BU86" s="230">
        <v>596109</v>
      </c>
      <c r="BV86" s="230">
        <v>456800</v>
      </c>
      <c r="BW86" s="230">
        <v>139309</v>
      </c>
      <c r="BX86" s="229">
        <v>0.30499999999999999</v>
      </c>
      <c r="BY86" s="230">
        <v>1113</v>
      </c>
      <c r="BZ86" s="230">
        <v>1134</v>
      </c>
      <c r="CA86" s="228">
        <v>-22</v>
      </c>
      <c r="CB86" s="229">
        <v>-1.9E-2</v>
      </c>
      <c r="CC86" s="230">
        <v>1088</v>
      </c>
      <c r="CD86" s="230">
        <v>1116</v>
      </c>
      <c r="CE86" s="228">
        <v>-28</v>
      </c>
      <c r="CF86" s="229">
        <v>-2.5499999999999998E-2</v>
      </c>
      <c r="CG86" s="228">
        <v>24</v>
      </c>
      <c r="CH86" s="228">
        <v>17</v>
      </c>
      <c r="CI86" s="228">
        <v>7</v>
      </c>
      <c r="CJ86" s="229">
        <v>0.39489999999999997</v>
      </c>
      <c r="CK86" s="228">
        <v>1</v>
      </c>
      <c r="CL86" s="228">
        <v>1</v>
      </c>
      <c r="CM86" s="228">
        <v>0</v>
      </c>
      <c r="CN86" s="229">
        <v>0</v>
      </c>
      <c r="CO86" s="228">
        <v>388</v>
      </c>
      <c r="CP86" s="228">
        <v>354</v>
      </c>
      <c r="CQ86" s="228">
        <v>35</v>
      </c>
      <c r="CR86" s="229">
        <v>9.7699999999999995E-2</v>
      </c>
      <c r="CS86" s="228">
        <v>203</v>
      </c>
      <c r="CT86" s="228">
        <v>200</v>
      </c>
      <c r="CU86" s="228">
        <v>2</v>
      </c>
      <c r="CV86" s="229">
        <v>1.23E-2</v>
      </c>
      <c r="CW86" s="230">
        <v>1704</v>
      </c>
      <c r="CX86" s="230">
        <v>1688</v>
      </c>
      <c r="CY86" s="228">
        <v>15</v>
      </c>
      <c r="CZ86" s="229">
        <v>9.1000000000000004E-3</v>
      </c>
      <c r="DA86" s="228">
        <v>20.71</v>
      </c>
      <c r="DB86" s="228">
        <v>19.71</v>
      </c>
      <c r="DC86" s="228">
        <v>1</v>
      </c>
      <c r="DD86" s="228">
        <v>1</v>
      </c>
      <c r="DE86" s="228">
        <v>28.3</v>
      </c>
      <c r="DF86" s="228">
        <v>28.37</v>
      </c>
      <c r="DG86" s="228">
        <v>-7.59</v>
      </c>
      <c r="DH86" s="228">
        <v>-7.0000000000000007E-2</v>
      </c>
      <c r="DI86" s="228">
        <v>21.04</v>
      </c>
      <c r="DJ86" s="228">
        <v>20.27</v>
      </c>
      <c r="DK86" s="228">
        <v>0.77</v>
      </c>
      <c r="DL86" s="228">
        <v>0.77</v>
      </c>
      <c r="DM86" s="228">
        <v>19.649999999999999</v>
      </c>
      <c r="DN86" s="228">
        <v>18.5</v>
      </c>
      <c r="DO86" s="228">
        <v>1.1499999999999999</v>
      </c>
      <c r="DP86" s="228">
        <v>1.1499999999999999</v>
      </c>
      <c r="DQ86" s="228">
        <v>0.52</v>
      </c>
      <c r="DR86" s="228">
        <v>0.56999999999999995</v>
      </c>
      <c r="DS86" s="228">
        <v>-0.05</v>
      </c>
      <c r="DT86" s="229">
        <v>-8.77E-2</v>
      </c>
      <c r="DU86" s="231">
        <v>2040</v>
      </c>
      <c r="DV86" s="231">
        <v>1900</v>
      </c>
      <c r="DW86" s="228">
        <v>0.32</v>
      </c>
      <c r="DX86" s="228">
        <v>0.47</v>
      </c>
      <c r="DY86" s="228">
        <v>-0.15</v>
      </c>
      <c r="DZ86" s="229">
        <v>-0.31909999999999999</v>
      </c>
      <c r="EA86" s="229">
        <v>2.2800000000000001E-2</v>
      </c>
      <c r="EB86" s="230">
        <v>94900</v>
      </c>
      <c r="EC86" s="229">
        <v>5.1000000000000004E-3</v>
      </c>
      <c r="ED86" s="229">
        <v>2.2800000000000001E-2</v>
      </c>
      <c r="EE86" s="228">
        <v>12.35</v>
      </c>
      <c r="EF86" s="229">
        <v>6.3E-3</v>
      </c>
      <c r="EG86" s="230">
        <v>391691</v>
      </c>
      <c r="EH86" s="230">
        <v>303806</v>
      </c>
      <c r="EI86" s="229">
        <v>0.2893</v>
      </c>
      <c r="EJ86" s="229">
        <v>0.65710000000000002</v>
      </c>
      <c r="EK86" s="228">
        <v>162.08000000000001</v>
      </c>
      <c r="EL86" s="228">
        <v>47.91</v>
      </c>
      <c r="EM86" s="228">
        <v>129.41</v>
      </c>
      <c r="EN86" s="228">
        <v>12.48</v>
      </c>
      <c r="EO86" s="228">
        <v>339.4</v>
      </c>
      <c r="EP86" s="228">
        <v>380.3</v>
      </c>
      <c r="EQ86" s="228">
        <v>-40.909999999999997</v>
      </c>
      <c r="ER86" s="229">
        <v>-0.1076</v>
      </c>
      <c r="ES86" s="228">
        <v>412.96</v>
      </c>
      <c r="ET86" s="228">
        <v>198.9</v>
      </c>
      <c r="EU86" s="231">
        <v>1113.06</v>
      </c>
      <c r="EV86" s="231">
        <v>26688038</v>
      </c>
      <c r="EW86" s="231">
        <v>1724.92</v>
      </c>
      <c r="EX86" s="231">
        <v>1711.57</v>
      </c>
      <c r="EY86" s="228">
        <v>13.35</v>
      </c>
      <c r="EZ86" s="229">
        <v>7.7999999999999996E-3</v>
      </c>
      <c r="FA86" s="229">
        <v>0.32790000000000002</v>
      </c>
      <c r="FB86" s="227" t="s">
        <v>568</v>
      </c>
      <c r="FC86">
        <f t="shared" si="1"/>
        <v>25</v>
      </c>
    </row>
    <row r="87" spans="1:159" ht="17.25" thickBot="1" x14ac:dyDescent="0.3">
      <c r="A87" s="226">
        <v>46008</v>
      </c>
      <c r="B87" s="227" t="s">
        <v>175</v>
      </c>
      <c r="C87" s="227" t="s">
        <v>233</v>
      </c>
      <c r="D87" s="228">
        <v>925</v>
      </c>
      <c r="E87" s="228">
        <v>13</v>
      </c>
      <c r="F87" s="228">
        <v>631.20000000000005</v>
      </c>
      <c r="G87" s="228">
        <v>639.9</v>
      </c>
      <c r="H87" s="228">
        <v>-8.6999999999999993</v>
      </c>
      <c r="I87" s="229">
        <v>-1.3599999999999999E-2</v>
      </c>
      <c r="J87" s="228">
        <v>630.5</v>
      </c>
      <c r="K87" s="228">
        <v>637.95000000000005</v>
      </c>
      <c r="L87" s="228">
        <v>-7.45</v>
      </c>
      <c r="M87" s="229">
        <v>-1.17E-2</v>
      </c>
      <c r="N87" s="228">
        <v>631.20000000000005</v>
      </c>
      <c r="O87" s="228">
        <v>639.9</v>
      </c>
      <c r="P87" s="228">
        <v>-8.6999999999999993</v>
      </c>
      <c r="Q87" s="229">
        <v>-1.3599999999999999E-2</v>
      </c>
      <c r="R87" s="228">
        <v>634.85</v>
      </c>
      <c r="S87" s="228">
        <v>643.85</v>
      </c>
      <c r="T87" s="228">
        <v>-9</v>
      </c>
      <c r="U87" s="229">
        <v>-1.4E-2</v>
      </c>
      <c r="V87" s="228">
        <v>636.65</v>
      </c>
      <c r="W87" s="228">
        <v>648</v>
      </c>
      <c r="X87" s="228">
        <v>-11.35</v>
      </c>
      <c r="Y87" s="229">
        <v>-1.7500000000000002E-2</v>
      </c>
      <c r="Z87" s="228">
        <v>0.7</v>
      </c>
      <c r="AA87" s="228">
        <v>1.95</v>
      </c>
      <c r="AB87" s="228">
        <v>-1.25</v>
      </c>
      <c r="AC87" s="229">
        <v>1.1000000000000001E-3</v>
      </c>
      <c r="AD87" s="228">
        <v>0.7</v>
      </c>
      <c r="AE87" s="228">
        <v>1.95</v>
      </c>
      <c r="AF87" s="228">
        <v>-1.25</v>
      </c>
      <c r="AG87" s="229">
        <v>1.1000000000000001E-3</v>
      </c>
      <c r="AH87" s="228">
        <v>4.3499999999999996</v>
      </c>
      <c r="AI87" s="228">
        <v>5.9</v>
      </c>
      <c r="AJ87" s="228">
        <v>-1.55</v>
      </c>
      <c r="AK87" s="229">
        <v>6.8999999999999999E-3</v>
      </c>
      <c r="AL87" s="228">
        <v>6.15</v>
      </c>
      <c r="AM87" s="228">
        <v>10.050000000000001</v>
      </c>
      <c r="AN87" s="228">
        <v>-3.9</v>
      </c>
      <c r="AO87" s="229">
        <v>9.7999999999999997E-3</v>
      </c>
      <c r="AP87" s="228">
        <v>634.14</v>
      </c>
      <c r="AQ87" s="228">
        <v>637.57000000000005</v>
      </c>
      <c r="AR87" s="228">
        <v>0</v>
      </c>
      <c r="AS87" s="228">
        <v>95</v>
      </c>
      <c r="AT87" s="228">
        <v>152</v>
      </c>
      <c r="AU87" s="228">
        <v>-57</v>
      </c>
      <c r="AV87" s="229">
        <v>-0.375</v>
      </c>
      <c r="AW87" s="228">
        <v>88</v>
      </c>
      <c r="AX87" s="228">
        <v>139</v>
      </c>
      <c r="AY87" s="228">
        <v>-51</v>
      </c>
      <c r="AZ87" s="229">
        <v>-0.36809999999999998</v>
      </c>
      <c r="BA87" s="228">
        <v>7</v>
      </c>
      <c r="BB87" s="228">
        <v>13</v>
      </c>
      <c r="BC87" s="228">
        <v>-6</v>
      </c>
      <c r="BD87" s="229">
        <v>-0.44890000000000002</v>
      </c>
      <c r="BE87" s="228">
        <v>0</v>
      </c>
      <c r="BF87" s="228">
        <v>0</v>
      </c>
      <c r="BG87" s="228">
        <v>0</v>
      </c>
      <c r="BH87" s="229">
        <v>-0.33329999999999999</v>
      </c>
      <c r="BI87" s="228">
        <v>193</v>
      </c>
      <c r="BJ87" s="228">
        <v>383</v>
      </c>
      <c r="BK87" s="228">
        <v>-190</v>
      </c>
      <c r="BL87" s="229">
        <v>-0.49630000000000002</v>
      </c>
      <c r="BM87" s="228">
        <v>75</v>
      </c>
      <c r="BN87" s="228">
        <v>94</v>
      </c>
      <c r="BO87" s="228">
        <v>-19</v>
      </c>
      <c r="BP87" s="229">
        <v>-0.20319999999999999</v>
      </c>
      <c r="BQ87" s="228">
        <v>363</v>
      </c>
      <c r="BR87" s="228">
        <v>630</v>
      </c>
      <c r="BS87" s="228">
        <v>-267</v>
      </c>
      <c r="BT87" s="229">
        <v>-0.42320000000000002</v>
      </c>
      <c r="BU87" s="230">
        <v>385584</v>
      </c>
      <c r="BV87" s="230">
        <v>2382253</v>
      </c>
      <c r="BW87" s="230">
        <v>-1996669</v>
      </c>
      <c r="BX87" s="229">
        <v>-0.83809999999999996</v>
      </c>
      <c r="BY87" s="230">
        <v>1037</v>
      </c>
      <c r="BZ87" s="230">
        <v>1038</v>
      </c>
      <c r="CA87" s="228">
        <v>-1</v>
      </c>
      <c r="CB87" s="229">
        <v>-1.4E-3</v>
      </c>
      <c r="CC87" s="230">
        <v>1008</v>
      </c>
      <c r="CD87" s="230">
        <v>1013</v>
      </c>
      <c r="CE87" s="228">
        <v>-4</v>
      </c>
      <c r="CF87" s="229">
        <v>-4.4000000000000003E-3</v>
      </c>
      <c r="CG87" s="228">
        <v>27</v>
      </c>
      <c r="CH87" s="228">
        <v>24</v>
      </c>
      <c r="CI87" s="228">
        <v>3</v>
      </c>
      <c r="CJ87" s="229">
        <v>0.13120000000000001</v>
      </c>
      <c r="CK87" s="228">
        <v>2</v>
      </c>
      <c r="CL87" s="228">
        <v>2</v>
      </c>
      <c r="CM87" s="228">
        <v>0</v>
      </c>
      <c r="CN87" s="229">
        <v>-2.7E-2</v>
      </c>
      <c r="CO87" s="228">
        <v>296</v>
      </c>
      <c r="CP87" s="228">
        <v>290</v>
      </c>
      <c r="CQ87" s="228">
        <v>6</v>
      </c>
      <c r="CR87" s="229">
        <v>2.1399999999999999E-2</v>
      </c>
      <c r="CS87" s="228">
        <v>135</v>
      </c>
      <c r="CT87" s="228">
        <v>142</v>
      </c>
      <c r="CU87" s="228">
        <v>-7</v>
      </c>
      <c r="CV87" s="229">
        <v>-4.9799999999999997E-2</v>
      </c>
      <c r="CW87" s="230">
        <v>1468</v>
      </c>
      <c r="CX87" s="230">
        <v>1470</v>
      </c>
      <c r="CY87" s="228">
        <v>-2</v>
      </c>
      <c r="CZ87" s="229">
        <v>-1.6000000000000001E-3</v>
      </c>
      <c r="DA87" s="228">
        <v>21.92</v>
      </c>
      <c r="DB87" s="228">
        <v>22.33</v>
      </c>
      <c r="DC87" s="228">
        <v>-0.41</v>
      </c>
      <c r="DD87" s="228">
        <v>-0.41</v>
      </c>
      <c r="DE87" s="228">
        <v>27.3</v>
      </c>
      <c r="DF87" s="228">
        <v>27.3</v>
      </c>
      <c r="DG87" s="228">
        <v>-5.38</v>
      </c>
      <c r="DH87" s="228">
        <v>0</v>
      </c>
      <c r="DI87" s="228">
        <v>22.38</v>
      </c>
      <c r="DJ87" s="228">
        <v>22.59</v>
      </c>
      <c r="DK87" s="228">
        <v>-0.21</v>
      </c>
      <c r="DL87" s="228">
        <v>-0.21</v>
      </c>
      <c r="DM87" s="228">
        <v>20.72</v>
      </c>
      <c r="DN87" s="228">
        <v>21.28</v>
      </c>
      <c r="DO87" s="228">
        <v>-0.56000000000000005</v>
      </c>
      <c r="DP87" s="228">
        <v>-0.56000000000000005</v>
      </c>
      <c r="DQ87" s="228">
        <v>0.46</v>
      </c>
      <c r="DR87" s="228">
        <v>0.49</v>
      </c>
      <c r="DS87" s="228">
        <v>-0.03</v>
      </c>
      <c r="DT87" s="229">
        <v>-6.1199999999999997E-2</v>
      </c>
      <c r="DU87" s="228">
        <v>630</v>
      </c>
      <c r="DV87" s="228">
        <v>590</v>
      </c>
      <c r="DW87" s="228">
        <v>0.39</v>
      </c>
      <c r="DX87" s="228">
        <v>0.25</v>
      </c>
      <c r="DY87" s="228">
        <v>0.14000000000000001</v>
      </c>
      <c r="DZ87" s="229">
        <v>0.56000000000000005</v>
      </c>
      <c r="EA87" s="229">
        <v>2.7799999999999998E-2</v>
      </c>
      <c r="EB87" s="230">
        <v>407925</v>
      </c>
      <c r="EC87" s="229">
        <v>5.7999999999999996E-3</v>
      </c>
      <c r="ED87" s="229">
        <v>2.7799999999999998E-2</v>
      </c>
      <c r="EE87" s="228">
        <v>3.43</v>
      </c>
      <c r="EF87" s="229">
        <v>5.4000000000000003E-3</v>
      </c>
      <c r="EG87" s="230">
        <v>174652</v>
      </c>
      <c r="EH87" s="230">
        <v>1728185</v>
      </c>
      <c r="EI87" s="229">
        <v>-0.89890000000000003</v>
      </c>
      <c r="EJ87" s="229">
        <v>0.45300000000000001</v>
      </c>
      <c r="EK87" s="228">
        <v>203.29</v>
      </c>
      <c r="EL87" s="228">
        <v>75.010000000000005</v>
      </c>
      <c r="EM87" s="228">
        <v>95.65</v>
      </c>
      <c r="EN87" s="228">
        <v>25.76</v>
      </c>
      <c r="EO87" s="228">
        <v>373.95</v>
      </c>
      <c r="EP87" s="228">
        <v>658.24</v>
      </c>
      <c r="EQ87" s="228">
        <v>-284.27999999999997</v>
      </c>
      <c r="ER87" s="229">
        <v>-0.43190000000000001</v>
      </c>
      <c r="ES87" s="228">
        <v>310.76</v>
      </c>
      <c r="ET87" s="228">
        <v>129.88999999999999</v>
      </c>
      <c r="EU87" s="231">
        <v>1037.05</v>
      </c>
      <c r="EV87" s="231">
        <v>48653643</v>
      </c>
      <c r="EW87" s="231">
        <v>1477.71</v>
      </c>
      <c r="EX87" s="231">
        <v>1493.6</v>
      </c>
      <c r="EY87" s="228">
        <v>-15.89</v>
      </c>
      <c r="EZ87" s="229">
        <v>-1.06E-2</v>
      </c>
      <c r="FA87" s="229">
        <v>0.47789999999999999</v>
      </c>
      <c r="FB87" s="227" t="s">
        <v>568</v>
      </c>
      <c r="FC87">
        <f t="shared" si="1"/>
        <v>29</v>
      </c>
    </row>
    <row r="88" spans="1:159" ht="17.25" thickBot="1" x14ac:dyDescent="0.3">
      <c r="A88" s="226">
        <v>46008</v>
      </c>
      <c r="B88" s="227" t="s">
        <v>188</v>
      </c>
      <c r="C88" s="227" t="s">
        <v>234</v>
      </c>
      <c r="D88" s="228">
        <v>71475</v>
      </c>
      <c r="E88" s="228">
        <v>13</v>
      </c>
      <c r="F88" s="228">
        <v>11.17</v>
      </c>
      <c r="G88" s="228">
        <v>11.29</v>
      </c>
      <c r="H88" s="228">
        <v>-0.12</v>
      </c>
      <c r="I88" s="229">
        <v>-1.06E-2</v>
      </c>
      <c r="J88" s="228">
        <v>11.13</v>
      </c>
      <c r="K88" s="228">
        <v>11.25</v>
      </c>
      <c r="L88" s="228">
        <v>-0.12</v>
      </c>
      <c r="M88" s="229">
        <v>-1.0699999999999999E-2</v>
      </c>
      <c r="N88" s="228">
        <v>11.17</v>
      </c>
      <c r="O88" s="228">
        <v>11.29</v>
      </c>
      <c r="P88" s="228">
        <v>-0.12</v>
      </c>
      <c r="Q88" s="229">
        <v>-1.06E-2</v>
      </c>
      <c r="R88" s="228">
        <v>11.24</v>
      </c>
      <c r="S88" s="228">
        <v>11.37</v>
      </c>
      <c r="T88" s="228">
        <v>-0.13</v>
      </c>
      <c r="U88" s="229">
        <v>-1.14E-2</v>
      </c>
      <c r="V88" s="228">
        <v>11.31</v>
      </c>
      <c r="W88" s="228">
        <v>11.45</v>
      </c>
      <c r="X88" s="228">
        <v>-0.14000000000000001</v>
      </c>
      <c r="Y88" s="229">
        <v>-1.2200000000000001E-2</v>
      </c>
      <c r="Z88" s="228">
        <v>0.04</v>
      </c>
      <c r="AA88" s="228">
        <v>0.04</v>
      </c>
      <c r="AB88" s="228">
        <v>0</v>
      </c>
      <c r="AC88" s="229">
        <v>3.5999999999999999E-3</v>
      </c>
      <c r="AD88" s="228">
        <v>0.04</v>
      </c>
      <c r="AE88" s="228">
        <v>0.04</v>
      </c>
      <c r="AF88" s="228">
        <v>0</v>
      </c>
      <c r="AG88" s="229">
        <v>3.5999999999999999E-3</v>
      </c>
      <c r="AH88" s="228">
        <v>0.11</v>
      </c>
      <c r="AI88" s="228">
        <v>0.12</v>
      </c>
      <c r="AJ88" s="228">
        <v>-0.01</v>
      </c>
      <c r="AK88" s="229">
        <v>9.9000000000000008E-3</v>
      </c>
      <c r="AL88" s="228">
        <v>0.18</v>
      </c>
      <c r="AM88" s="228">
        <v>0.2</v>
      </c>
      <c r="AN88" s="228">
        <v>-0.02</v>
      </c>
      <c r="AO88" s="229">
        <v>1.6199999999999999E-2</v>
      </c>
      <c r="AP88" s="228">
        <v>11.26</v>
      </c>
      <c r="AQ88" s="228">
        <v>11.32</v>
      </c>
      <c r="AR88" s="228">
        <v>0</v>
      </c>
      <c r="AS88" s="228">
        <v>709</v>
      </c>
      <c r="AT88" s="228">
        <v>994</v>
      </c>
      <c r="AU88" s="228">
        <v>-286</v>
      </c>
      <c r="AV88" s="229">
        <v>-0.2873</v>
      </c>
      <c r="AW88" s="228">
        <v>542</v>
      </c>
      <c r="AX88" s="228">
        <v>755</v>
      </c>
      <c r="AY88" s="228">
        <v>-212</v>
      </c>
      <c r="AZ88" s="229">
        <v>-0.28139999999999998</v>
      </c>
      <c r="BA88" s="228">
        <v>147</v>
      </c>
      <c r="BB88" s="228">
        <v>202</v>
      </c>
      <c r="BC88" s="228">
        <v>-55</v>
      </c>
      <c r="BD88" s="229">
        <v>-0.27329999999999999</v>
      </c>
      <c r="BE88" s="228">
        <v>19</v>
      </c>
      <c r="BF88" s="228">
        <v>37</v>
      </c>
      <c r="BG88" s="228">
        <v>-18</v>
      </c>
      <c r="BH88" s="229">
        <v>-0.48080000000000001</v>
      </c>
      <c r="BI88" s="230">
        <v>2284</v>
      </c>
      <c r="BJ88" s="230">
        <v>2717</v>
      </c>
      <c r="BK88" s="228">
        <v>-433</v>
      </c>
      <c r="BL88" s="229">
        <v>-0.15939999999999999</v>
      </c>
      <c r="BM88" s="228">
        <v>594</v>
      </c>
      <c r="BN88" s="230">
        <v>1077</v>
      </c>
      <c r="BO88" s="228">
        <v>-483</v>
      </c>
      <c r="BP88" s="229">
        <v>-0.44829999999999998</v>
      </c>
      <c r="BQ88" s="230">
        <v>3587</v>
      </c>
      <c r="BR88" s="230">
        <v>4788</v>
      </c>
      <c r="BS88" s="230">
        <v>-1202</v>
      </c>
      <c r="BT88" s="229">
        <v>-0.25090000000000001</v>
      </c>
      <c r="BU88" s="230">
        <v>682566568</v>
      </c>
      <c r="BV88" s="230">
        <v>769109329</v>
      </c>
      <c r="BW88" s="230">
        <v>-86542761</v>
      </c>
      <c r="BX88" s="229">
        <v>-0.1125</v>
      </c>
      <c r="BY88" s="230">
        <v>7756</v>
      </c>
      <c r="BZ88" s="230">
        <v>7736</v>
      </c>
      <c r="CA88" s="228">
        <v>20</v>
      </c>
      <c r="CB88" s="229">
        <v>2.5000000000000001E-3</v>
      </c>
      <c r="CC88" s="230">
        <v>6687</v>
      </c>
      <c r="CD88" s="230">
        <v>6709</v>
      </c>
      <c r="CE88" s="228">
        <v>-22</v>
      </c>
      <c r="CF88" s="229">
        <v>-3.2000000000000002E-3</v>
      </c>
      <c r="CG88" s="228">
        <v>936</v>
      </c>
      <c r="CH88" s="228">
        <v>901</v>
      </c>
      <c r="CI88" s="228">
        <v>35</v>
      </c>
      <c r="CJ88" s="229">
        <v>3.9300000000000002E-2</v>
      </c>
      <c r="CK88" s="228">
        <v>132</v>
      </c>
      <c r="CL88" s="228">
        <v>127</v>
      </c>
      <c r="CM88" s="228">
        <v>6</v>
      </c>
      <c r="CN88" s="229">
        <v>4.5400000000000003E-2</v>
      </c>
      <c r="CO88" s="230">
        <v>2617</v>
      </c>
      <c r="CP88" s="230">
        <v>2710</v>
      </c>
      <c r="CQ88" s="228">
        <v>-93</v>
      </c>
      <c r="CR88" s="229">
        <v>-3.44E-2</v>
      </c>
      <c r="CS88" s="230">
        <v>1504</v>
      </c>
      <c r="CT88" s="230">
        <v>1512</v>
      </c>
      <c r="CU88" s="228">
        <v>-8</v>
      </c>
      <c r="CV88" s="229">
        <v>-5.1999999999999998E-3</v>
      </c>
      <c r="CW88" s="230">
        <v>11877</v>
      </c>
      <c r="CX88" s="230">
        <v>11959</v>
      </c>
      <c r="CY88" s="228">
        <v>-82</v>
      </c>
      <c r="CZ88" s="229">
        <v>-6.7999999999999996E-3</v>
      </c>
      <c r="DA88" s="228">
        <v>57.42</v>
      </c>
      <c r="DB88" s="228">
        <v>61.35</v>
      </c>
      <c r="DC88" s="228">
        <v>-3.93</v>
      </c>
      <c r="DD88" s="228">
        <v>-3.93</v>
      </c>
      <c r="DE88" s="228">
        <v>67.45</v>
      </c>
      <c r="DF88" s="228">
        <v>67.61</v>
      </c>
      <c r="DG88" s="228">
        <v>-10.029999999999999</v>
      </c>
      <c r="DH88" s="228">
        <v>-0.16</v>
      </c>
      <c r="DI88" s="228">
        <v>58.52</v>
      </c>
      <c r="DJ88" s="228">
        <v>63.52</v>
      </c>
      <c r="DK88" s="228">
        <v>-5</v>
      </c>
      <c r="DL88" s="228">
        <v>-5</v>
      </c>
      <c r="DM88" s="228">
        <v>53.2</v>
      </c>
      <c r="DN88" s="228">
        <v>55.88</v>
      </c>
      <c r="DO88" s="228">
        <v>-2.68</v>
      </c>
      <c r="DP88" s="228">
        <v>-2.68</v>
      </c>
      <c r="DQ88" s="228">
        <v>0.56999999999999995</v>
      </c>
      <c r="DR88" s="228">
        <v>0.56000000000000005</v>
      </c>
      <c r="DS88" s="228">
        <v>0.01</v>
      </c>
      <c r="DT88" s="229">
        <v>1.7899999999999999E-2</v>
      </c>
      <c r="DU88" s="228">
        <v>11</v>
      </c>
      <c r="DV88" s="228">
        <v>10</v>
      </c>
      <c r="DW88" s="228">
        <v>0.26</v>
      </c>
      <c r="DX88" s="228">
        <v>0.4</v>
      </c>
      <c r="DY88" s="228">
        <v>-0.14000000000000001</v>
      </c>
      <c r="DZ88" s="229">
        <v>-0.35</v>
      </c>
      <c r="EA88" s="229">
        <v>0.13780000000000001</v>
      </c>
      <c r="EB88" s="230">
        <v>919811775</v>
      </c>
      <c r="EC88" s="229">
        <v>6.3E-3</v>
      </c>
      <c r="ED88" s="229">
        <v>0.13780000000000001</v>
      </c>
      <c r="EE88" s="228">
        <v>0.06</v>
      </c>
      <c r="EF88" s="229">
        <v>5.3E-3</v>
      </c>
      <c r="EG88" s="230">
        <v>117614606</v>
      </c>
      <c r="EH88" s="230">
        <v>150537808</v>
      </c>
      <c r="EI88" s="229">
        <v>-0.21870000000000001</v>
      </c>
      <c r="EJ88" s="229">
        <v>0.17230000000000001</v>
      </c>
      <c r="EK88" s="231">
        <v>2619.39</v>
      </c>
      <c r="EL88" s="228">
        <v>582.58000000000004</v>
      </c>
      <c r="EM88" s="228">
        <v>715.39</v>
      </c>
      <c r="EN88" s="228">
        <v>168.96</v>
      </c>
      <c r="EO88" s="231">
        <v>3917.36</v>
      </c>
      <c r="EP88" s="231">
        <v>5193.6000000000004</v>
      </c>
      <c r="EQ88" s="231">
        <v>-1276.24</v>
      </c>
      <c r="ER88" s="229">
        <v>-0.2457</v>
      </c>
      <c r="ES88" s="231">
        <v>2908.4</v>
      </c>
      <c r="ET88" s="231">
        <v>1362.05</v>
      </c>
      <c r="EU88" s="231">
        <v>7763.27</v>
      </c>
      <c r="EV88" s="231">
        <v>8713529091</v>
      </c>
      <c r="EW88" s="231">
        <v>12033.72</v>
      </c>
      <c r="EX88" s="231">
        <v>12203.63</v>
      </c>
      <c r="EY88" s="228">
        <v>-169.91</v>
      </c>
      <c r="EZ88" s="229">
        <v>-1.3899999999999999E-2</v>
      </c>
      <c r="FA88" s="229">
        <v>1.2202999999999999</v>
      </c>
      <c r="FB88" s="227" t="s">
        <v>567</v>
      </c>
      <c r="FC88">
        <f t="shared" si="1"/>
        <v>1069</v>
      </c>
    </row>
    <row r="89" spans="1:159" ht="17.25" thickBot="1" x14ac:dyDescent="0.3">
      <c r="A89" s="226">
        <v>46008</v>
      </c>
      <c r="B89" s="227" t="s">
        <v>172</v>
      </c>
      <c r="C89" s="227" t="s">
        <v>235</v>
      </c>
      <c r="D89" s="228">
        <v>9275</v>
      </c>
      <c r="E89" s="228">
        <v>13</v>
      </c>
      <c r="F89" s="228">
        <v>84.01</v>
      </c>
      <c r="G89" s="228">
        <v>83.52</v>
      </c>
      <c r="H89" s="228">
        <v>0.49</v>
      </c>
      <c r="I89" s="229">
        <v>5.8999999999999999E-3</v>
      </c>
      <c r="J89" s="228">
        <v>83.95</v>
      </c>
      <c r="K89" s="228">
        <v>83.46</v>
      </c>
      <c r="L89" s="228">
        <v>0.49</v>
      </c>
      <c r="M89" s="229">
        <v>5.8999999999999999E-3</v>
      </c>
      <c r="N89" s="228">
        <v>84.01</v>
      </c>
      <c r="O89" s="228">
        <v>83.52</v>
      </c>
      <c r="P89" s="228">
        <v>0.49</v>
      </c>
      <c r="Q89" s="229">
        <v>5.8999999999999999E-3</v>
      </c>
      <c r="R89" s="228">
        <v>84.51</v>
      </c>
      <c r="S89" s="228">
        <v>84.08</v>
      </c>
      <c r="T89" s="228">
        <v>0.43</v>
      </c>
      <c r="U89" s="229">
        <v>5.1000000000000004E-3</v>
      </c>
      <c r="V89" s="228">
        <v>84.96</v>
      </c>
      <c r="W89" s="228">
        <v>84.45</v>
      </c>
      <c r="X89" s="228">
        <v>0.51</v>
      </c>
      <c r="Y89" s="229">
        <v>6.0000000000000001E-3</v>
      </c>
      <c r="Z89" s="228">
        <v>0.06</v>
      </c>
      <c r="AA89" s="228">
        <v>0.06</v>
      </c>
      <c r="AB89" s="228">
        <v>0</v>
      </c>
      <c r="AC89" s="229">
        <v>6.9999999999999999E-4</v>
      </c>
      <c r="AD89" s="228">
        <v>0.06</v>
      </c>
      <c r="AE89" s="228">
        <v>0.06</v>
      </c>
      <c r="AF89" s="228">
        <v>0</v>
      </c>
      <c r="AG89" s="229">
        <v>6.9999999999999999E-4</v>
      </c>
      <c r="AH89" s="228">
        <v>0.56000000000000005</v>
      </c>
      <c r="AI89" s="228">
        <v>0.62</v>
      </c>
      <c r="AJ89" s="228">
        <v>-0.06</v>
      </c>
      <c r="AK89" s="229">
        <v>6.7000000000000002E-3</v>
      </c>
      <c r="AL89" s="228">
        <v>1.01</v>
      </c>
      <c r="AM89" s="228">
        <v>0.99</v>
      </c>
      <c r="AN89" s="228">
        <v>0.02</v>
      </c>
      <c r="AO89" s="229">
        <v>1.2E-2</v>
      </c>
      <c r="AP89" s="228">
        <v>83.74</v>
      </c>
      <c r="AQ89" s="228">
        <v>84.24</v>
      </c>
      <c r="AR89" s="228">
        <v>0</v>
      </c>
      <c r="AS89" s="228">
        <v>390</v>
      </c>
      <c r="AT89" s="228">
        <v>522</v>
      </c>
      <c r="AU89" s="228">
        <v>-133</v>
      </c>
      <c r="AV89" s="229">
        <v>-0.254</v>
      </c>
      <c r="AW89" s="228">
        <v>305</v>
      </c>
      <c r="AX89" s="228">
        <v>399</v>
      </c>
      <c r="AY89" s="228">
        <v>-94</v>
      </c>
      <c r="AZ89" s="229">
        <v>-0.23569999999999999</v>
      </c>
      <c r="BA89" s="228">
        <v>81</v>
      </c>
      <c r="BB89" s="228">
        <v>106</v>
      </c>
      <c r="BC89" s="228">
        <v>-25</v>
      </c>
      <c r="BD89" s="229">
        <v>-0.2397</v>
      </c>
      <c r="BE89" s="228">
        <v>4</v>
      </c>
      <c r="BF89" s="228">
        <v>17</v>
      </c>
      <c r="BG89" s="228">
        <v>-13</v>
      </c>
      <c r="BH89" s="229">
        <v>-0.77780000000000005</v>
      </c>
      <c r="BI89" s="228">
        <v>684</v>
      </c>
      <c r="BJ89" s="228">
        <v>863</v>
      </c>
      <c r="BK89" s="228">
        <v>-179</v>
      </c>
      <c r="BL89" s="229">
        <v>-0.2079</v>
      </c>
      <c r="BM89" s="228">
        <v>334</v>
      </c>
      <c r="BN89" s="228">
        <v>447</v>
      </c>
      <c r="BO89" s="228">
        <v>-112</v>
      </c>
      <c r="BP89" s="229">
        <v>-0.25159999999999999</v>
      </c>
      <c r="BQ89" s="230">
        <v>1408</v>
      </c>
      <c r="BR89" s="230">
        <v>1832</v>
      </c>
      <c r="BS89" s="228">
        <v>-424</v>
      </c>
      <c r="BT89" s="229">
        <v>-0.23169999999999999</v>
      </c>
      <c r="BU89" s="230">
        <v>25213949</v>
      </c>
      <c r="BV89" s="230">
        <v>31404660</v>
      </c>
      <c r="BW89" s="230">
        <v>-6190711</v>
      </c>
      <c r="BX89" s="229">
        <v>-0.1971</v>
      </c>
      <c r="BY89" s="230">
        <v>2961</v>
      </c>
      <c r="BZ89" s="230">
        <v>2959</v>
      </c>
      <c r="CA89" s="228">
        <v>2</v>
      </c>
      <c r="CB89" s="229">
        <v>5.0000000000000001E-4</v>
      </c>
      <c r="CC89" s="230">
        <v>2538</v>
      </c>
      <c r="CD89" s="230">
        <v>2570</v>
      </c>
      <c r="CE89" s="228">
        <v>-32</v>
      </c>
      <c r="CF89" s="229">
        <v>-1.26E-2</v>
      </c>
      <c r="CG89" s="228">
        <v>390</v>
      </c>
      <c r="CH89" s="228">
        <v>356</v>
      </c>
      <c r="CI89" s="228">
        <v>34</v>
      </c>
      <c r="CJ89" s="229">
        <v>9.5899999999999999E-2</v>
      </c>
      <c r="CK89" s="228">
        <v>33</v>
      </c>
      <c r="CL89" s="228">
        <v>33</v>
      </c>
      <c r="CM89" s="228">
        <v>0</v>
      </c>
      <c r="CN89" s="229">
        <v>-4.7000000000000002E-3</v>
      </c>
      <c r="CO89" s="230">
        <v>1114</v>
      </c>
      <c r="CP89" s="230">
        <v>1105</v>
      </c>
      <c r="CQ89" s="228">
        <v>9</v>
      </c>
      <c r="CR89" s="229">
        <v>8.0000000000000002E-3</v>
      </c>
      <c r="CS89" s="228">
        <v>804</v>
      </c>
      <c r="CT89" s="228">
        <v>798</v>
      </c>
      <c r="CU89" s="228">
        <v>6</v>
      </c>
      <c r="CV89" s="229">
        <v>7.1999999999999998E-3</v>
      </c>
      <c r="CW89" s="230">
        <v>4879</v>
      </c>
      <c r="CX89" s="230">
        <v>4863</v>
      </c>
      <c r="CY89" s="228">
        <v>16</v>
      </c>
      <c r="CZ89" s="229">
        <v>3.3E-3</v>
      </c>
      <c r="DA89" s="228">
        <v>23.45</v>
      </c>
      <c r="DB89" s="228">
        <v>24.22</v>
      </c>
      <c r="DC89" s="228">
        <v>-0.77</v>
      </c>
      <c r="DD89" s="228">
        <v>-0.77</v>
      </c>
      <c r="DE89" s="228">
        <v>33.18</v>
      </c>
      <c r="DF89" s="228">
        <v>33.25</v>
      </c>
      <c r="DG89" s="228">
        <v>-9.73</v>
      </c>
      <c r="DH89" s="228">
        <v>-7.0000000000000007E-2</v>
      </c>
      <c r="DI89" s="228">
        <v>23.05</v>
      </c>
      <c r="DJ89" s="228">
        <v>23.97</v>
      </c>
      <c r="DK89" s="228">
        <v>-0.92</v>
      </c>
      <c r="DL89" s="228">
        <v>-0.92</v>
      </c>
      <c r="DM89" s="228">
        <v>24.28</v>
      </c>
      <c r="DN89" s="228">
        <v>24.68</v>
      </c>
      <c r="DO89" s="228">
        <v>-0.4</v>
      </c>
      <c r="DP89" s="228">
        <v>-0.4</v>
      </c>
      <c r="DQ89" s="228">
        <v>0.72</v>
      </c>
      <c r="DR89" s="228">
        <v>0.72</v>
      </c>
      <c r="DS89" s="228">
        <v>0</v>
      </c>
      <c r="DT89" s="229">
        <v>0</v>
      </c>
      <c r="DU89" s="228">
        <v>85</v>
      </c>
      <c r="DV89" s="228">
        <v>80</v>
      </c>
      <c r="DW89" s="228">
        <v>0.49</v>
      </c>
      <c r="DX89" s="228">
        <v>0.52</v>
      </c>
      <c r="DY89" s="228">
        <v>-0.03</v>
      </c>
      <c r="DZ89" s="229">
        <v>-5.7700000000000001E-2</v>
      </c>
      <c r="EA89" s="229">
        <v>0.1429</v>
      </c>
      <c r="EB89" s="230">
        <v>46328625</v>
      </c>
      <c r="EC89" s="229">
        <v>6.0000000000000001E-3</v>
      </c>
      <c r="ED89" s="229">
        <v>0.1429</v>
      </c>
      <c r="EE89" s="228">
        <v>0.5</v>
      </c>
      <c r="EF89" s="229">
        <v>6.0000000000000001E-3</v>
      </c>
      <c r="EG89" s="230">
        <v>16457265</v>
      </c>
      <c r="EH89" s="230">
        <v>20117481</v>
      </c>
      <c r="EI89" s="229">
        <v>-0.18190000000000001</v>
      </c>
      <c r="EJ89" s="229">
        <v>0.65269999999999995</v>
      </c>
      <c r="EK89" s="228">
        <v>704.09</v>
      </c>
      <c r="EL89" s="228">
        <v>325.52999999999997</v>
      </c>
      <c r="EM89" s="228">
        <v>388.88</v>
      </c>
      <c r="EN89" s="228">
        <v>58.43</v>
      </c>
      <c r="EO89" s="231">
        <v>1418.5</v>
      </c>
      <c r="EP89" s="231">
        <v>1849.19</v>
      </c>
      <c r="EQ89" s="228">
        <v>-430.69</v>
      </c>
      <c r="ER89" s="229">
        <v>-0.2329</v>
      </c>
      <c r="ES89" s="231">
        <v>1126.1300000000001</v>
      </c>
      <c r="ET89" s="228">
        <v>756.34</v>
      </c>
      <c r="EU89" s="231">
        <v>2963.39</v>
      </c>
      <c r="EV89" s="231">
        <v>761294821</v>
      </c>
      <c r="EW89" s="231">
        <v>4845.8599999999997</v>
      </c>
      <c r="EX89" s="231">
        <v>4810.3100000000004</v>
      </c>
      <c r="EY89" s="228">
        <v>35.549999999999997</v>
      </c>
      <c r="EZ89" s="229">
        <v>7.4000000000000003E-3</v>
      </c>
      <c r="FA89" s="229">
        <v>0.76280000000000003</v>
      </c>
      <c r="FB89" s="227" t="s">
        <v>555</v>
      </c>
      <c r="FC89">
        <f t="shared" si="1"/>
        <v>423</v>
      </c>
    </row>
    <row r="90" spans="1:159" ht="17.25" thickBot="1" x14ac:dyDescent="0.3">
      <c r="A90" s="226">
        <v>46008</v>
      </c>
      <c r="B90" s="227" t="s">
        <v>161</v>
      </c>
      <c r="C90" s="227" t="s">
        <v>514</v>
      </c>
      <c r="D90" s="228">
        <v>3750</v>
      </c>
      <c r="E90" s="228">
        <v>13</v>
      </c>
      <c r="F90" s="228">
        <v>140.38999999999999</v>
      </c>
      <c r="G90" s="228">
        <v>140.51</v>
      </c>
      <c r="H90" s="228">
        <v>-0.12</v>
      </c>
      <c r="I90" s="229">
        <v>-8.9999999999999998E-4</v>
      </c>
      <c r="J90" s="228">
        <v>140.22</v>
      </c>
      <c r="K90" s="228">
        <v>140.4</v>
      </c>
      <c r="L90" s="228">
        <v>-0.18</v>
      </c>
      <c r="M90" s="229">
        <v>-1.2999999999999999E-3</v>
      </c>
      <c r="N90" s="228">
        <v>140.38999999999999</v>
      </c>
      <c r="O90" s="228">
        <v>140.51</v>
      </c>
      <c r="P90" s="228">
        <v>-0.12</v>
      </c>
      <c r="Q90" s="229">
        <v>-8.9999999999999998E-4</v>
      </c>
      <c r="R90" s="228">
        <v>141.02000000000001</v>
      </c>
      <c r="S90" s="228">
        <v>141.30000000000001</v>
      </c>
      <c r="T90" s="228">
        <v>-0.28000000000000003</v>
      </c>
      <c r="U90" s="229">
        <v>-2E-3</v>
      </c>
      <c r="V90" s="228">
        <v>140.81</v>
      </c>
      <c r="W90" s="228">
        <v>140.96</v>
      </c>
      <c r="X90" s="228">
        <v>-0.15</v>
      </c>
      <c r="Y90" s="229">
        <v>-1.1000000000000001E-3</v>
      </c>
      <c r="Z90" s="228">
        <v>0.17</v>
      </c>
      <c r="AA90" s="228">
        <v>0.11</v>
      </c>
      <c r="AB90" s="228">
        <v>0.06</v>
      </c>
      <c r="AC90" s="229">
        <v>1.1999999999999999E-3</v>
      </c>
      <c r="AD90" s="228">
        <v>0.17</v>
      </c>
      <c r="AE90" s="228">
        <v>0.11</v>
      </c>
      <c r="AF90" s="228">
        <v>0.06</v>
      </c>
      <c r="AG90" s="229">
        <v>1.1999999999999999E-3</v>
      </c>
      <c r="AH90" s="228">
        <v>0.8</v>
      </c>
      <c r="AI90" s="228">
        <v>0.9</v>
      </c>
      <c r="AJ90" s="228">
        <v>-0.1</v>
      </c>
      <c r="AK90" s="229">
        <v>5.7000000000000002E-3</v>
      </c>
      <c r="AL90" s="228">
        <v>0.59</v>
      </c>
      <c r="AM90" s="228">
        <v>0.56000000000000005</v>
      </c>
      <c r="AN90" s="228">
        <v>0.03</v>
      </c>
      <c r="AO90" s="229">
        <v>4.1999999999999997E-3</v>
      </c>
      <c r="AP90" s="228">
        <v>140.83000000000001</v>
      </c>
      <c r="AQ90" s="228">
        <v>141.74</v>
      </c>
      <c r="AR90" s="228">
        <v>0</v>
      </c>
      <c r="AS90" s="228">
        <v>58</v>
      </c>
      <c r="AT90" s="228">
        <v>81</v>
      </c>
      <c r="AU90" s="228">
        <v>-23</v>
      </c>
      <c r="AV90" s="229">
        <v>-0.28660000000000002</v>
      </c>
      <c r="AW90" s="228">
        <v>48</v>
      </c>
      <c r="AX90" s="228">
        <v>71</v>
      </c>
      <c r="AY90" s="228">
        <v>-23</v>
      </c>
      <c r="AZ90" s="229">
        <v>-0.32019999999999998</v>
      </c>
      <c r="BA90" s="228">
        <v>7</v>
      </c>
      <c r="BB90" s="228">
        <v>7</v>
      </c>
      <c r="BC90" s="228">
        <v>0</v>
      </c>
      <c r="BD90" s="229">
        <v>2.9399999999999999E-2</v>
      </c>
      <c r="BE90" s="228">
        <v>2</v>
      </c>
      <c r="BF90" s="228">
        <v>3</v>
      </c>
      <c r="BG90" s="228">
        <v>-1</v>
      </c>
      <c r="BH90" s="229">
        <v>-0.24</v>
      </c>
      <c r="BI90" s="228">
        <v>200</v>
      </c>
      <c r="BJ90" s="228">
        <v>262</v>
      </c>
      <c r="BK90" s="228">
        <v>-61</v>
      </c>
      <c r="BL90" s="229">
        <v>-0.2346</v>
      </c>
      <c r="BM90" s="228">
        <v>63</v>
      </c>
      <c r="BN90" s="228">
        <v>80</v>
      </c>
      <c r="BO90" s="228">
        <v>-18</v>
      </c>
      <c r="BP90" s="229">
        <v>-0.22070000000000001</v>
      </c>
      <c r="BQ90" s="228">
        <v>321</v>
      </c>
      <c r="BR90" s="228">
        <v>423</v>
      </c>
      <c r="BS90" s="228">
        <v>-102</v>
      </c>
      <c r="BT90" s="229">
        <v>-0.2419</v>
      </c>
      <c r="BU90" s="230">
        <v>2006255</v>
      </c>
      <c r="BV90" s="230">
        <v>3258174</v>
      </c>
      <c r="BW90" s="230">
        <v>-1251919</v>
      </c>
      <c r="BX90" s="229">
        <v>-0.38419999999999999</v>
      </c>
      <c r="BY90" s="228">
        <v>797</v>
      </c>
      <c r="BZ90" s="228">
        <v>788</v>
      </c>
      <c r="CA90" s="228">
        <v>8</v>
      </c>
      <c r="CB90" s="229">
        <v>1.0699999999999999E-2</v>
      </c>
      <c r="CC90" s="228">
        <v>713</v>
      </c>
      <c r="CD90" s="228">
        <v>709</v>
      </c>
      <c r="CE90" s="228">
        <v>5</v>
      </c>
      <c r="CF90" s="229">
        <v>6.4000000000000003E-3</v>
      </c>
      <c r="CG90" s="228">
        <v>66</v>
      </c>
      <c r="CH90" s="228">
        <v>63</v>
      </c>
      <c r="CI90" s="228">
        <v>3</v>
      </c>
      <c r="CJ90" s="229">
        <v>4.7500000000000001E-2</v>
      </c>
      <c r="CK90" s="228">
        <v>17</v>
      </c>
      <c r="CL90" s="228">
        <v>17</v>
      </c>
      <c r="CM90" s="228">
        <v>1</v>
      </c>
      <c r="CN90" s="229">
        <v>5.7299999999999997E-2</v>
      </c>
      <c r="CO90" s="228">
        <v>656</v>
      </c>
      <c r="CP90" s="228">
        <v>659</v>
      </c>
      <c r="CQ90" s="228">
        <v>-2</v>
      </c>
      <c r="CR90" s="229">
        <v>-3.5000000000000001E-3</v>
      </c>
      <c r="CS90" s="228">
        <v>476</v>
      </c>
      <c r="CT90" s="228">
        <v>474</v>
      </c>
      <c r="CU90" s="228">
        <v>2</v>
      </c>
      <c r="CV90" s="229">
        <v>3.8E-3</v>
      </c>
      <c r="CW90" s="230">
        <v>1929</v>
      </c>
      <c r="CX90" s="230">
        <v>1921</v>
      </c>
      <c r="CY90" s="228">
        <v>8</v>
      </c>
      <c r="CZ90" s="229">
        <v>4.1000000000000003E-3</v>
      </c>
      <c r="DA90" s="228">
        <v>29.05</v>
      </c>
      <c r="DB90" s="228">
        <v>29.51</v>
      </c>
      <c r="DC90" s="228">
        <v>-0.46</v>
      </c>
      <c r="DD90" s="228">
        <v>-0.46</v>
      </c>
      <c r="DE90" s="228">
        <v>53.4</v>
      </c>
      <c r="DF90" s="228">
        <v>53.53</v>
      </c>
      <c r="DG90" s="228">
        <v>-24.35</v>
      </c>
      <c r="DH90" s="228">
        <v>-0.13</v>
      </c>
      <c r="DI90" s="228">
        <v>29.28</v>
      </c>
      <c r="DJ90" s="228">
        <v>30.11</v>
      </c>
      <c r="DK90" s="228">
        <v>-0.83</v>
      </c>
      <c r="DL90" s="228">
        <v>-0.83</v>
      </c>
      <c r="DM90" s="228">
        <v>28.32</v>
      </c>
      <c r="DN90" s="228">
        <v>27.56</v>
      </c>
      <c r="DO90" s="228">
        <v>0.76</v>
      </c>
      <c r="DP90" s="228">
        <v>0.76</v>
      </c>
      <c r="DQ90" s="228">
        <v>0.73</v>
      </c>
      <c r="DR90" s="228">
        <v>0.72</v>
      </c>
      <c r="DS90" s="228">
        <v>0.01</v>
      </c>
      <c r="DT90" s="229">
        <v>1.3899999999999999E-2</v>
      </c>
      <c r="DU90" s="228">
        <v>150</v>
      </c>
      <c r="DV90" s="228">
        <v>140</v>
      </c>
      <c r="DW90" s="228">
        <v>0.31</v>
      </c>
      <c r="DX90" s="228">
        <v>0.31</v>
      </c>
      <c r="DY90" s="228">
        <v>0</v>
      </c>
      <c r="DZ90" s="229">
        <v>0</v>
      </c>
      <c r="EA90" s="229">
        <v>0.105</v>
      </c>
      <c r="EB90" s="230">
        <v>5677500</v>
      </c>
      <c r="EC90" s="229">
        <v>4.4999999999999997E-3</v>
      </c>
      <c r="ED90" s="229">
        <v>0.105</v>
      </c>
      <c r="EE90" s="228">
        <v>0.91</v>
      </c>
      <c r="EF90" s="229">
        <v>6.4999999999999997E-3</v>
      </c>
      <c r="EG90" s="230">
        <v>812890</v>
      </c>
      <c r="EH90" s="230">
        <v>1672656</v>
      </c>
      <c r="EI90" s="229">
        <v>-0.51400000000000001</v>
      </c>
      <c r="EJ90" s="229">
        <v>0.4052</v>
      </c>
      <c r="EK90" s="228">
        <v>213.83</v>
      </c>
      <c r="EL90" s="228">
        <v>63.14</v>
      </c>
      <c r="EM90" s="228">
        <v>57.88</v>
      </c>
      <c r="EN90" s="228">
        <v>17.32</v>
      </c>
      <c r="EO90" s="228">
        <v>334.85</v>
      </c>
      <c r="EP90" s="228">
        <v>442.73</v>
      </c>
      <c r="EQ90" s="228">
        <v>-107.88</v>
      </c>
      <c r="ER90" s="229">
        <v>-0.2437</v>
      </c>
      <c r="ES90" s="228">
        <v>708.19</v>
      </c>
      <c r="ET90" s="228">
        <v>469.85</v>
      </c>
      <c r="EU90" s="228">
        <v>797.31</v>
      </c>
      <c r="EV90" s="231">
        <v>133395043</v>
      </c>
      <c r="EW90" s="231">
        <v>1975.35</v>
      </c>
      <c r="EX90" s="231">
        <v>1968.98</v>
      </c>
      <c r="EY90" s="228">
        <v>6.37</v>
      </c>
      <c r="EZ90" s="229">
        <v>3.2000000000000002E-3</v>
      </c>
      <c r="FA90" s="229">
        <v>1.0303</v>
      </c>
      <c r="FB90" s="227" t="s">
        <v>567</v>
      </c>
      <c r="FC90">
        <f t="shared" si="1"/>
        <v>84</v>
      </c>
    </row>
    <row r="91" spans="1:159" ht="17.25" thickBot="1" x14ac:dyDescent="0.3">
      <c r="A91" s="226">
        <v>46008</v>
      </c>
      <c r="B91" s="227" t="s">
        <v>175</v>
      </c>
      <c r="C91" s="227" t="s">
        <v>667</v>
      </c>
      <c r="D91" s="228">
        <v>1650</v>
      </c>
      <c r="E91" s="228">
        <v>13</v>
      </c>
      <c r="F91" s="228">
        <v>563.54999999999995</v>
      </c>
      <c r="G91" s="228">
        <v>567.45000000000005</v>
      </c>
      <c r="H91" s="228">
        <v>-3.9</v>
      </c>
      <c r="I91" s="229">
        <v>-6.8999999999999999E-3</v>
      </c>
      <c r="J91" s="228">
        <v>563.1</v>
      </c>
      <c r="K91" s="228">
        <v>566.70000000000005</v>
      </c>
      <c r="L91" s="228">
        <v>-3.6</v>
      </c>
      <c r="M91" s="229">
        <v>-6.4000000000000003E-3</v>
      </c>
      <c r="N91" s="228">
        <v>563.54999999999995</v>
      </c>
      <c r="O91" s="228">
        <v>567.45000000000005</v>
      </c>
      <c r="P91" s="228">
        <v>-3.9</v>
      </c>
      <c r="Q91" s="229">
        <v>-6.8999999999999999E-3</v>
      </c>
      <c r="R91" s="228">
        <v>567.29999999999995</v>
      </c>
      <c r="S91" s="228">
        <v>570.95000000000005</v>
      </c>
      <c r="T91" s="228">
        <v>-3.65</v>
      </c>
      <c r="U91" s="229">
        <v>-6.4000000000000003E-3</v>
      </c>
      <c r="V91" s="228">
        <v>0</v>
      </c>
      <c r="W91" s="228">
        <v>0</v>
      </c>
      <c r="X91" s="228">
        <v>0</v>
      </c>
      <c r="Y91" s="229">
        <v>0</v>
      </c>
      <c r="Z91" s="228">
        <v>0.45</v>
      </c>
      <c r="AA91" s="228">
        <v>0.75</v>
      </c>
      <c r="AB91" s="228">
        <v>-0.3</v>
      </c>
      <c r="AC91" s="229">
        <v>8.0000000000000004E-4</v>
      </c>
      <c r="AD91" s="228">
        <v>0.45</v>
      </c>
      <c r="AE91" s="228">
        <v>0.75</v>
      </c>
      <c r="AF91" s="228">
        <v>-0.3</v>
      </c>
      <c r="AG91" s="229">
        <v>8.0000000000000004E-4</v>
      </c>
      <c r="AH91" s="228">
        <v>4.2</v>
      </c>
      <c r="AI91" s="228">
        <v>4.25</v>
      </c>
      <c r="AJ91" s="228">
        <v>-0.05</v>
      </c>
      <c r="AK91" s="229">
        <v>7.4999999999999997E-3</v>
      </c>
      <c r="AL91" s="228">
        <v>0</v>
      </c>
      <c r="AM91" s="228">
        <v>0</v>
      </c>
      <c r="AN91" s="228">
        <v>0</v>
      </c>
      <c r="AO91" s="229">
        <v>0</v>
      </c>
      <c r="AP91" s="228">
        <v>567.48</v>
      </c>
      <c r="AQ91" s="228">
        <v>569.91999999999996</v>
      </c>
      <c r="AR91" s="228">
        <v>0</v>
      </c>
      <c r="AS91" s="228">
        <v>88</v>
      </c>
      <c r="AT91" s="228">
        <v>104</v>
      </c>
      <c r="AU91" s="228">
        <v>-17</v>
      </c>
      <c r="AV91" s="229">
        <v>-0.1588</v>
      </c>
      <c r="AW91" s="228">
        <v>77</v>
      </c>
      <c r="AX91" s="228">
        <v>96</v>
      </c>
      <c r="AY91" s="228">
        <v>-19</v>
      </c>
      <c r="AZ91" s="229">
        <v>-0.19400000000000001</v>
      </c>
      <c r="BA91" s="228">
        <v>10</v>
      </c>
      <c r="BB91" s="228">
        <v>8</v>
      </c>
      <c r="BC91" s="228">
        <v>2</v>
      </c>
      <c r="BD91" s="229">
        <v>0.24440000000000001</v>
      </c>
      <c r="BE91" s="228">
        <v>0</v>
      </c>
      <c r="BF91" s="228">
        <v>0</v>
      </c>
      <c r="BG91" s="228">
        <v>0</v>
      </c>
      <c r="BH91" s="229">
        <v>0</v>
      </c>
      <c r="BI91" s="228">
        <v>548</v>
      </c>
      <c r="BJ91" s="228">
        <v>681</v>
      </c>
      <c r="BK91" s="228">
        <v>-133</v>
      </c>
      <c r="BL91" s="229">
        <v>-0.19489999999999999</v>
      </c>
      <c r="BM91" s="228">
        <v>120</v>
      </c>
      <c r="BN91" s="228">
        <v>143</v>
      </c>
      <c r="BO91" s="228">
        <v>-23</v>
      </c>
      <c r="BP91" s="229">
        <v>-0.16020000000000001</v>
      </c>
      <c r="BQ91" s="228">
        <v>756</v>
      </c>
      <c r="BR91" s="228">
        <v>928</v>
      </c>
      <c r="BS91" s="228">
        <v>-172</v>
      </c>
      <c r="BT91" s="229">
        <v>-0.1855</v>
      </c>
      <c r="BU91" s="230">
        <v>403998</v>
      </c>
      <c r="BV91" s="230">
        <v>521381</v>
      </c>
      <c r="BW91" s="230">
        <v>-117383</v>
      </c>
      <c r="BX91" s="229">
        <v>-0.22509999999999999</v>
      </c>
      <c r="BY91" s="228">
        <v>682</v>
      </c>
      <c r="BZ91" s="228">
        <v>681</v>
      </c>
      <c r="CA91" s="228">
        <v>1</v>
      </c>
      <c r="CB91" s="229">
        <v>1.5E-3</v>
      </c>
      <c r="CC91" s="228">
        <v>658</v>
      </c>
      <c r="CD91" s="228">
        <v>658</v>
      </c>
      <c r="CE91" s="228">
        <v>0</v>
      </c>
      <c r="CF91" s="229">
        <v>1E-4</v>
      </c>
      <c r="CG91" s="228">
        <v>23</v>
      </c>
      <c r="CH91" s="228">
        <v>22</v>
      </c>
      <c r="CI91" s="228">
        <v>1</v>
      </c>
      <c r="CJ91" s="229">
        <v>4.1700000000000001E-2</v>
      </c>
      <c r="CK91" s="228">
        <v>0</v>
      </c>
      <c r="CL91" s="228">
        <v>0</v>
      </c>
      <c r="CM91" s="228">
        <v>0</v>
      </c>
      <c r="CN91" s="229">
        <v>0</v>
      </c>
      <c r="CO91" s="228">
        <v>428</v>
      </c>
      <c r="CP91" s="228">
        <v>412</v>
      </c>
      <c r="CQ91" s="228">
        <v>16</v>
      </c>
      <c r="CR91" s="229">
        <v>3.8800000000000001E-2</v>
      </c>
      <c r="CS91" s="228">
        <v>258</v>
      </c>
      <c r="CT91" s="228">
        <v>249</v>
      </c>
      <c r="CU91" s="228">
        <v>10</v>
      </c>
      <c r="CV91" s="229">
        <v>3.85E-2</v>
      </c>
      <c r="CW91" s="230">
        <v>1368</v>
      </c>
      <c r="CX91" s="230">
        <v>1342</v>
      </c>
      <c r="CY91" s="228">
        <v>27</v>
      </c>
      <c r="CZ91" s="229">
        <v>1.9800000000000002E-2</v>
      </c>
      <c r="DA91" s="228">
        <v>31.01</v>
      </c>
      <c r="DB91" s="228">
        <v>30.64</v>
      </c>
      <c r="DC91" s="228">
        <v>0.37</v>
      </c>
      <c r="DD91" s="228">
        <v>0.37</v>
      </c>
      <c r="DE91" s="228">
        <v>49.41</v>
      </c>
      <c r="DF91" s="228">
        <v>49.52</v>
      </c>
      <c r="DG91" s="228">
        <v>-18.399999999999999</v>
      </c>
      <c r="DH91" s="228">
        <v>-0.11</v>
      </c>
      <c r="DI91" s="228">
        <v>31.34</v>
      </c>
      <c r="DJ91" s="228">
        <v>30.79</v>
      </c>
      <c r="DK91" s="228">
        <v>0.55000000000000004</v>
      </c>
      <c r="DL91" s="228">
        <v>0.55000000000000004</v>
      </c>
      <c r="DM91" s="228">
        <v>29.55</v>
      </c>
      <c r="DN91" s="228">
        <v>29.96</v>
      </c>
      <c r="DO91" s="228">
        <v>-0.41</v>
      </c>
      <c r="DP91" s="228">
        <v>-0.41</v>
      </c>
      <c r="DQ91" s="228">
        <v>0.6</v>
      </c>
      <c r="DR91" s="228">
        <v>0.6</v>
      </c>
      <c r="DS91" s="228">
        <v>0</v>
      </c>
      <c r="DT91" s="229">
        <v>0</v>
      </c>
      <c r="DU91" s="228">
        <v>580</v>
      </c>
      <c r="DV91" s="228">
        <v>530</v>
      </c>
      <c r="DW91" s="228">
        <v>0.22</v>
      </c>
      <c r="DX91" s="228">
        <v>0.21</v>
      </c>
      <c r="DY91" s="228">
        <v>0.01</v>
      </c>
      <c r="DZ91" s="229">
        <v>4.7600000000000003E-2</v>
      </c>
      <c r="EA91" s="229">
        <v>3.4099999999999998E-2</v>
      </c>
      <c r="EB91" s="230">
        <v>396000</v>
      </c>
      <c r="EC91" s="229">
        <v>6.7000000000000002E-3</v>
      </c>
      <c r="ED91" s="229">
        <v>3.4099999999999998E-2</v>
      </c>
      <c r="EE91" s="228">
        <v>2.44</v>
      </c>
      <c r="EF91" s="229">
        <v>4.3E-3</v>
      </c>
      <c r="EG91" s="230">
        <v>114171</v>
      </c>
      <c r="EH91" s="230">
        <v>201118</v>
      </c>
      <c r="EI91" s="229">
        <v>-0.43230000000000002</v>
      </c>
      <c r="EJ91" s="229">
        <v>0.28260000000000002</v>
      </c>
      <c r="EK91" s="228">
        <v>579.82000000000005</v>
      </c>
      <c r="EL91" s="228">
        <v>119.21</v>
      </c>
      <c r="EM91" s="228">
        <v>88.34</v>
      </c>
      <c r="EN91" s="228">
        <v>16.38</v>
      </c>
      <c r="EO91" s="228">
        <v>787.37</v>
      </c>
      <c r="EP91" s="228">
        <v>968.34</v>
      </c>
      <c r="EQ91" s="228">
        <v>-180.96</v>
      </c>
      <c r="ER91" s="229">
        <v>-0.18690000000000001</v>
      </c>
      <c r="ES91" s="228">
        <v>445.34</v>
      </c>
      <c r="ET91" s="228">
        <v>250.42</v>
      </c>
      <c r="EU91" s="228">
        <v>681.74</v>
      </c>
      <c r="EV91" s="231">
        <v>47888370</v>
      </c>
      <c r="EW91" s="231">
        <v>1377.5</v>
      </c>
      <c r="EX91" s="231">
        <v>1355.76</v>
      </c>
      <c r="EY91" s="228">
        <v>21.74</v>
      </c>
      <c r="EZ91" s="229">
        <v>1.6E-2</v>
      </c>
      <c r="FA91" s="229">
        <v>0.50690000000000002</v>
      </c>
      <c r="FB91" s="227" t="s">
        <v>567</v>
      </c>
      <c r="FC91">
        <f t="shared" si="1"/>
        <v>24</v>
      </c>
    </row>
    <row r="92" spans="1:159" ht="17.25" thickBot="1" x14ac:dyDescent="0.3">
      <c r="A92" s="226">
        <v>46008</v>
      </c>
      <c r="B92" s="227" t="s">
        <v>206</v>
      </c>
      <c r="C92" s="227" t="s">
        <v>501</v>
      </c>
      <c r="D92" s="228">
        <v>1000</v>
      </c>
      <c r="E92" s="228">
        <v>13</v>
      </c>
      <c r="F92" s="228">
        <v>715.75</v>
      </c>
      <c r="G92" s="228">
        <v>727.45</v>
      </c>
      <c r="H92" s="228">
        <v>-11.7</v>
      </c>
      <c r="I92" s="229">
        <v>-1.61E-2</v>
      </c>
      <c r="J92" s="228">
        <v>713.2</v>
      </c>
      <c r="K92" s="228">
        <v>725.25</v>
      </c>
      <c r="L92" s="228">
        <v>-12.05</v>
      </c>
      <c r="M92" s="229">
        <v>-1.66E-2</v>
      </c>
      <c r="N92" s="228">
        <v>715.75</v>
      </c>
      <c r="O92" s="228">
        <v>727.45</v>
      </c>
      <c r="P92" s="228">
        <v>-11.7</v>
      </c>
      <c r="Q92" s="229">
        <v>-1.61E-2</v>
      </c>
      <c r="R92" s="228">
        <v>720.05</v>
      </c>
      <c r="S92" s="228">
        <v>732.15</v>
      </c>
      <c r="T92" s="228">
        <v>-12.1</v>
      </c>
      <c r="U92" s="229">
        <v>-1.6500000000000001E-2</v>
      </c>
      <c r="V92" s="228">
        <v>724.95</v>
      </c>
      <c r="W92" s="228">
        <v>735.6</v>
      </c>
      <c r="X92" s="228">
        <v>-10.65</v>
      </c>
      <c r="Y92" s="229">
        <v>-1.4500000000000001E-2</v>
      </c>
      <c r="Z92" s="228">
        <v>2.5499999999999998</v>
      </c>
      <c r="AA92" s="228">
        <v>2.2000000000000002</v>
      </c>
      <c r="AB92" s="228">
        <v>0.35</v>
      </c>
      <c r="AC92" s="229">
        <v>3.5999999999999999E-3</v>
      </c>
      <c r="AD92" s="228">
        <v>2.5499999999999998</v>
      </c>
      <c r="AE92" s="228">
        <v>2.2000000000000002</v>
      </c>
      <c r="AF92" s="228">
        <v>0.35</v>
      </c>
      <c r="AG92" s="229">
        <v>3.5999999999999999E-3</v>
      </c>
      <c r="AH92" s="228">
        <v>6.85</v>
      </c>
      <c r="AI92" s="228">
        <v>6.9</v>
      </c>
      <c r="AJ92" s="228">
        <v>-0.05</v>
      </c>
      <c r="AK92" s="229">
        <v>9.5999999999999992E-3</v>
      </c>
      <c r="AL92" s="228">
        <v>11.75</v>
      </c>
      <c r="AM92" s="228">
        <v>10.35</v>
      </c>
      <c r="AN92" s="228">
        <v>1.4</v>
      </c>
      <c r="AO92" s="229">
        <v>1.6500000000000001E-2</v>
      </c>
      <c r="AP92" s="228">
        <v>720.58</v>
      </c>
      <c r="AQ92" s="228">
        <v>724.49</v>
      </c>
      <c r="AR92" s="228">
        <v>0</v>
      </c>
      <c r="AS92" s="228">
        <v>249</v>
      </c>
      <c r="AT92" s="228">
        <v>165</v>
      </c>
      <c r="AU92" s="228">
        <v>84</v>
      </c>
      <c r="AV92" s="229">
        <v>0.50800000000000001</v>
      </c>
      <c r="AW92" s="228">
        <v>207</v>
      </c>
      <c r="AX92" s="228">
        <v>150</v>
      </c>
      <c r="AY92" s="228">
        <v>57</v>
      </c>
      <c r="AZ92" s="229">
        <v>0.38290000000000002</v>
      </c>
      <c r="BA92" s="228">
        <v>39</v>
      </c>
      <c r="BB92" s="228">
        <v>14</v>
      </c>
      <c r="BC92" s="228">
        <v>24</v>
      </c>
      <c r="BD92" s="229">
        <v>1.7015</v>
      </c>
      <c r="BE92" s="228">
        <v>3</v>
      </c>
      <c r="BF92" s="228">
        <v>1</v>
      </c>
      <c r="BG92" s="228">
        <v>2</v>
      </c>
      <c r="BH92" s="229">
        <v>2.3332999999999999</v>
      </c>
      <c r="BI92" s="228">
        <v>627</v>
      </c>
      <c r="BJ92" s="228">
        <v>365</v>
      </c>
      <c r="BK92" s="228">
        <v>262</v>
      </c>
      <c r="BL92" s="229">
        <v>0.71799999999999997</v>
      </c>
      <c r="BM92" s="228">
        <v>254</v>
      </c>
      <c r="BN92" s="228">
        <v>139</v>
      </c>
      <c r="BO92" s="228">
        <v>115</v>
      </c>
      <c r="BP92" s="229">
        <v>0.83040000000000003</v>
      </c>
      <c r="BQ92" s="230">
        <v>1130</v>
      </c>
      <c r="BR92" s="228">
        <v>669</v>
      </c>
      <c r="BS92" s="228">
        <v>461</v>
      </c>
      <c r="BT92" s="229">
        <v>0.68959999999999999</v>
      </c>
      <c r="BU92" s="230">
        <v>2598042</v>
      </c>
      <c r="BV92" s="230">
        <v>2142454</v>
      </c>
      <c r="BW92" s="230">
        <v>455588</v>
      </c>
      <c r="BX92" s="229">
        <v>0.21260000000000001</v>
      </c>
      <c r="BY92" s="230">
        <v>1948</v>
      </c>
      <c r="BZ92" s="230">
        <v>1897</v>
      </c>
      <c r="CA92" s="228">
        <v>51</v>
      </c>
      <c r="CB92" s="229">
        <v>2.7099999999999999E-2</v>
      </c>
      <c r="CC92" s="230">
        <v>1815</v>
      </c>
      <c r="CD92" s="230">
        <v>1786</v>
      </c>
      <c r="CE92" s="228">
        <v>29</v>
      </c>
      <c r="CF92" s="229">
        <v>1.6299999999999999E-2</v>
      </c>
      <c r="CG92" s="228">
        <v>122</v>
      </c>
      <c r="CH92" s="228">
        <v>102</v>
      </c>
      <c r="CI92" s="228">
        <v>21</v>
      </c>
      <c r="CJ92" s="229">
        <v>0.20200000000000001</v>
      </c>
      <c r="CK92" s="228">
        <v>11</v>
      </c>
      <c r="CL92" s="228">
        <v>10</v>
      </c>
      <c r="CM92" s="228">
        <v>2</v>
      </c>
      <c r="CN92" s="229">
        <v>0.18659999999999999</v>
      </c>
      <c r="CO92" s="228">
        <v>787</v>
      </c>
      <c r="CP92" s="228">
        <v>687</v>
      </c>
      <c r="CQ92" s="228">
        <v>100</v>
      </c>
      <c r="CR92" s="229">
        <v>0.14549999999999999</v>
      </c>
      <c r="CS92" s="228">
        <v>470</v>
      </c>
      <c r="CT92" s="228">
        <v>446</v>
      </c>
      <c r="CU92" s="228">
        <v>24</v>
      </c>
      <c r="CV92" s="229">
        <v>5.28E-2</v>
      </c>
      <c r="CW92" s="230">
        <v>3206</v>
      </c>
      <c r="CX92" s="230">
        <v>3031</v>
      </c>
      <c r="CY92" s="228">
        <v>175</v>
      </c>
      <c r="CZ92" s="229">
        <v>5.7700000000000001E-2</v>
      </c>
      <c r="DA92" s="228">
        <v>22.63</v>
      </c>
      <c r="DB92" s="228">
        <v>21.06</v>
      </c>
      <c r="DC92" s="228">
        <v>1.57</v>
      </c>
      <c r="DD92" s="228">
        <v>1.57</v>
      </c>
      <c r="DE92" s="228">
        <v>34.08</v>
      </c>
      <c r="DF92" s="228">
        <v>34.090000000000003</v>
      </c>
      <c r="DG92" s="228">
        <v>-11.45</v>
      </c>
      <c r="DH92" s="228">
        <v>-0.01</v>
      </c>
      <c r="DI92" s="228">
        <v>23.46</v>
      </c>
      <c r="DJ92" s="228">
        <v>21.44</v>
      </c>
      <c r="DK92" s="228">
        <v>2.02</v>
      </c>
      <c r="DL92" s="228">
        <v>2.02</v>
      </c>
      <c r="DM92" s="228">
        <v>20.6</v>
      </c>
      <c r="DN92" s="228">
        <v>20.059999999999999</v>
      </c>
      <c r="DO92" s="228">
        <v>0.54</v>
      </c>
      <c r="DP92" s="228">
        <v>0.54</v>
      </c>
      <c r="DQ92" s="228">
        <v>0.6</v>
      </c>
      <c r="DR92" s="228">
        <v>0.65</v>
      </c>
      <c r="DS92" s="228">
        <v>-0.05</v>
      </c>
      <c r="DT92" s="229">
        <v>-7.6899999999999996E-2</v>
      </c>
      <c r="DU92" s="228">
        <v>750</v>
      </c>
      <c r="DV92" s="228">
        <v>720</v>
      </c>
      <c r="DW92" s="228">
        <v>0.41</v>
      </c>
      <c r="DX92" s="228">
        <v>0.38</v>
      </c>
      <c r="DY92" s="228">
        <v>0.03</v>
      </c>
      <c r="DZ92" s="229">
        <v>7.8899999999999998E-2</v>
      </c>
      <c r="EA92" s="229">
        <v>6.8599999999999994E-2</v>
      </c>
      <c r="EB92" s="230">
        <v>1555000</v>
      </c>
      <c r="EC92" s="229">
        <v>6.0000000000000001E-3</v>
      </c>
      <c r="ED92" s="229">
        <v>6.8599999999999994E-2</v>
      </c>
      <c r="EE92" s="228">
        <v>3.91</v>
      </c>
      <c r="EF92" s="229">
        <v>5.4000000000000003E-3</v>
      </c>
      <c r="EG92" s="230">
        <v>1860536</v>
      </c>
      <c r="EH92" s="230">
        <v>1444056</v>
      </c>
      <c r="EI92" s="229">
        <v>0.28839999999999999</v>
      </c>
      <c r="EJ92" s="229">
        <v>0.71609999999999996</v>
      </c>
      <c r="EK92" s="228">
        <v>659.58</v>
      </c>
      <c r="EL92" s="228">
        <v>254.73</v>
      </c>
      <c r="EM92" s="228">
        <v>250.71</v>
      </c>
      <c r="EN92" s="228">
        <v>30.56</v>
      </c>
      <c r="EO92" s="231">
        <v>1165.02</v>
      </c>
      <c r="EP92" s="228">
        <v>695.05</v>
      </c>
      <c r="EQ92" s="228">
        <v>469.97</v>
      </c>
      <c r="ER92" s="229">
        <v>0.67620000000000002</v>
      </c>
      <c r="ES92" s="228">
        <v>832.13</v>
      </c>
      <c r="ET92" s="228">
        <v>473.06</v>
      </c>
      <c r="EU92" s="231">
        <v>1949.37</v>
      </c>
      <c r="EV92" s="231">
        <v>111956321</v>
      </c>
      <c r="EW92" s="231">
        <v>3254.56</v>
      </c>
      <c r="EX92" s="231">
        <v>3109.06</v>
      </c>
      <c r="EY92" s="228">
        <v>145.5</v>
      </c>
      <c r="EZ92" s="229">
        <v>4.6800000000000001E-2</v>
      </c>
      <c r="FA92" s="229">
        <v>0.4</v>
      </c>
      <c r="FB92" s="227" t="s">
        <v>567</v>
      </c>
      <c r="FC92">
        <f t="shared" si="1"/>
        <v>133</v>
      </c>
    </row>
    <row r="93" spans="1:159" ht="17.25" thickBot="1" x14ac:dyDescent="0.3">
      <c r="A93" s="226">
        <v>46008</v>
      </c>
      <c r="B93" s="227" t="s">
        <v>172</v>
      </c>
      <c r="C93" s="227" t="s">
        <v>578</v>
      </c>
      <c r="D93" s="228">
        <v>1000</v>
      </c>
      <c r="E93" s="228">
        <v>13</v>
      </c>
      <c r="F93" s="228">
        <v>776.35</v>
      </c>
      <c r="G93" s="228">
        <v>774.75</v>
      </c>
      <c r="H93" s="228">
        <v>1.6</v>
      </c>
      <c r="I93" s="229">
        <v>2.0999999999999999E-3</v>
      </c>
      <c r="J93" s="228">
        <v>775</v>
      </c>
      <c r="K93" s="228">
        <v>773.15</v>
      </c>
      <c r="L93" s="228">
        <v>1.85</v>
      </c>
      <c r="M93" s="229">
        <v>2.3999999999999998E-3</v>
      </c>
      <c r="N93" s="228">
        <v>776.35</v>
      </c>
      <c r="O93" s="228">
        <v>774.75</v>
      </c>
      <c r="P93" s="228">
        <v>1.6</v>
      </c>
      <c r="Q93" s="229">
        <v>2.0999999999999999E-3</v>
      </c>
      <c r="R93" s="228">
        <v>779.85</v>
      </c>
      <c r="S93" s="228">
        <v>779.35</v>
      </c>
      <c r="T93" s="228">
        <v>0.5</v>
      </c>
      <c r="U93" s="229">
        <v>5.9999999999999995E-4</v>
      </c>
      <c r="V93" s="228">
        <v>781.65</v>
      </c>
      <c r="W93" s="228">
        <v>783.3</v>
      </c>
      <c r="X93" s="228">
        <v>-1.65</v>
      </c>
      <c r="Y93" s="229">
        <v>-2.0999999999999999E-3</v>
      </c>
      <c r="Z93" s="228">
        <v>1.35</v>
      </c>
      <c r="AA93" s="228">
        <v>1.6</v>
      </c>
      <c r="AB93" s="228">
        <v>-0.25</v>
      </c>
      <c r="AC93" s="229">
        <v>1.6999999999999999E-3</v>
      </c>
      <c r="AD93" s="228">
        <v>1.35</v>
      </c>
      <c r="AE93" s="228">
        <v>1.6</v>
      </c>
      <c r="AF93" s="228">
        <v>-0.25</v>
      </c>
      <c r="AG93" s="229">
        <v>1.6999999999999999E-3</v>
      </c>
      <c r="AH93" s="228">
        <v>4.8499999999999996</v>
      </c>
      <c r="AI93" s="228">
        <v>6.2</v>
      </c>
      <c r="AJ93" s="228">
        <v>-1.35</v>
      </c>
      <c r="AK93" s="229">
        <v>6.3E-3</v>
      </c>
      <c r="AL93" s="228">
        <v>6.65</v>
      </c>
      <c r="AM93" s="228">
        <v>10.15</v>
      </c>
      <c r="AN93" s="228">
        <v>-3.5</v>
      </c>
      <c r="AO93" s="229">
        <v>8.6E-3</v>
      </c>
      <c r="AP93" s="228">
        <v>778.09</v>
      </c>
      <c r="AQ93" s="228">
        <v>781.28</v>
      </c>
      <c r="AR93" s="228">
        <v>0</v>
      </c>
      <c r="AS93" s="228">
        <v>118</v>
      </c>
      <c r="AT93" s="228">
        <v>203</v>
      </c>
      <c r="AU93" s="228">
        <v>-84</v>
      </c>
      <c r="AV93" s="229">
        <v>-0.41599999999999998</v>
      </c>
      <c r="AW93" s="228">
        <v>109</v>
      </c>
      <c r="AX93" s="228">
        <v>184</v>
      </c>
      <c r="AY93" s="228">
        <v>-75</v>
      </c>
      <c r="AZ93" s="229">
        <v>-0.40839999999999999</v>
      </c>
      <c r="BA93" s="228">
        <v>9</v>
      </c>
      <c r="BB93" s="228">
        <v>18</v>
      </c>
      <c r="BC93" s="228">
        <v>-9</v>
      </c>
      <c r="BD93" s="229">
        <v>-0.51070000000000004</v>
      </c>
      <c r="BE93" s="228">
        <v>1</v>
      </c>
      <c r="BF93" s="228">
        <v>1</v>
      </c>
      <c r="BG93" s="228">
        <v>0</v>
      </c>
      <c r="BH93" s="229">
        <v>-8.3299999999999999E-2</v>
      </c>
      <c r="BI93" s="228">
        <v>371</v>
      </c>
      <c r="BJ93" s="228">
        <v>627</v>
      </c>
      <c r="BK93" s="228">
        <v>-256</v>
      </c>
      <c r="BL93" s="229">
        <v>-0.40839999999999999</v>
      </c>
      <c r="BM93" s="228">
        <v>133</v>
      </c>
      <c r="BN93" s="228">
        <v>201</v>
      </c>
      <c r="BO93" s="228">
        <v>-68</v>
      </c>
      <c r="BP93" s="229">
        <v>-0.3377</v>
      </c>
      <c r="BQ93" s="228">
        <v>623</v>
      </c>
      <c r="BR93" s="230">
        <v>1032</v>
      </c>
      <c r="BS93" s="228">
        <v>-409</v>
      </c>
      <c r="BT93" s="229">
        <v>-0.39610000000000001</v>
      </c>
      <c r="BU93" s="230">
        <v>929594</v>
      </c>
      <c r="BV93" s="230">
        <v>1787765</v>
      </c>
      <c r="BW93" s="230">
        <v>-858171</v>
      </c>
      <c r="BX93" s="229">
        <v>-0.48</v>
      </c>
      <c r="BY93" s="228">
        <v>911</v>
      </c>
      <c r="BZ93" s="228">
        <v>925</v>
      </c>
      <c r="CA93" s="228">
        <v>-15</v>
      </c>
      <c r="CB93" s="229">
        <v>-1.6E-2</v>
      </c>
      <c r="CC93" s="228">
        <v>860</v>
      </c>
      <c r="CD93" s="228">
        <v>877</v>
      </c>
      <c r="CE93" s="228">
        <v>-17</v>
      </c>
      <c r="CF93" s="229">
        <v>-1.89E-2</v>
      </c>
      <c r="CG93" s="228">
        <v>45</v>
      </c>
      <c r="CH93" s="228">
        <v>43</v>
      </c>
      <c r="CI93" s="228">
        <v>2</v>
      </c>
      <c r="CJ93" s="229">
        <v>4.4999999999999998E-2</v>
      </c>
      <c r="CK93" s="228">
        <v>5</v>
      </c>
      <c r="CL93" s="228">
        <v>5</v>
      </c>
      <c r="CM93" s="228">
        <v>0</v>
      </c>
      <c r="CN93" s="229">
        <v>-2.9899999999999999E-2</v>
      </c>
      <c r="CO93" s="228">
        <v>974</v>
      </c>
      <c r="CP93" s="228">
        <v>955</v>
      </c>
      <c r="CQ93" s="228">
        <v>18</v>
      </c>
      <c r="CR93" s="229">
        <v>1.9199999999999998E-2</v>
      </c>
      <c r="CS93" s="228">
        <v>394</v>
      </c>
      <c r="CT93" s="228">
        <v>393</v>
      </c>
      <c r="CU93" s="228">
        <v>2</v>
      </c>
      <c r="CV93" s="229">
        <v>4.8999999999999998E-3</v>
      </c>
      <c r="CW93" s="230">
        <v>2279</v>
      </c>
      <c r="CX93" s="230">
        <v>2273</v>
      </c>
      <c r="CY93" s="228">
        <v>5</v>
      </c>
      <c r="CZ93" s="229">
        <v>2.3999999999999998E-3</v>
      </c>
      <c r="DA93" s="228">
        <v>27.51</v>
      </c>
      <c r="DB93" s="228">
        <v>28.39</v>
      </c>
      <c r="DC93" s="228">
        <v>-0.88</v>
      </c>
      <c r="DD93" s="228">
        <v>-0.88</v>
      </c>
      <c r="DE93" s="228">
        <v>37.71</v>
      </c>
      <c r="DF93" s="228">
        <v>37.81</v>
      </c>
      <c r="DG93" s="228">
        <v>-10.199999999999999</v>
      </c>
      <c r="DH93" s="228">
        <v>-0.1</v>
      </c>
      <c r="DI93" s="228">
        <v>27.94</v>
      </c>
      <c r="DJ93" s="228">
        <v>29.1</v>
      </c>
      <c r="DK93" s="228">
        <v>-1.1599999999999999</v>
      </c>
      <c r="DL93" s="228">
        <v>-1.1599999999999999</v>
      </c>
      <c r="DM93" s="228">
        <v>26.32</v>
      </c>
      <c r="DN93" s="228">
        <v>26.18</v>
      </c>
      <c r="DO93" s="228">
        <v>0.14000000000000001</v>
      </c>
      <c r="DP93" s="228">
        <v>0.14000000000000001</v>
      </c>
      <c r="DQ93" s="228">
        <v>0.41</v>
      </c>
      <c r="DR93" s="228">
        <v>0.41</v>
      </c>
      <c r="DS93" s="228">
        <v>0</v>
      </c>
      <c r="DT93" s="229">
        <v>0</v>
      </c>
      <c r="DU93" s="228">
        <v>900</v>
      </c>
      <c r="DV93" s="228">
        <v>850</v>
      </c>
      <c r="DW93" s="228">
        <v>0.36</v>
      </c>
      <c r="DX93" s="228">
        <v>0.32</v>
      </c>
      <c r="DY93" s="228">
        <v>0.04</v>
      </c>
      <c r="DZ93" s="229">
        <v>0.125</v>
      </c>
      <c r="EA93" s="229">
        <v>5.5100000000000003E-2</v>
      </c>
      <c r="EB93" s="230">
        <v>623000</v>
      </c>
      <c r="EC93" s="229">
        <v>4.4999999999999997E-3</v>
      </c>
      <c r="ED93" s="229">
        <v>5.5100000000000003E-2</v>
      </c>
      <c r="EE93" s="228">
        <v>3.19</v>
      </c>
      <c r="EF93" s="229">
        <v>4.1000000000000003E-3</v>
      </c>
      <c r="EG93" s="230">
        <v>380391</v>
      </c>
      <c r="EH93" s="230">
        <v>930477</v>
      </c>
      <c r="EI93" s="229">
        <v>-0.59119999999999995</v>
      </c>
      <c r="EJ93" s="229">
        <v>0.40920000000000001</v>
      </c>
      <c r="EK93" s="228">
        <v>393.16</v>
      </c>
      <c r="EL93" s="228">
        <v>131.12</v>
      </c>
      <c r="EM93" s="228">
        <v>118.78</v>
      </c>
      <c r="EN93" s="228">
        <v>22.02</v>
      </c>
      <c r="EO93" s="228">
        <v>643.05999999999995</v>
      </c>
      <c r="EP93" s="231">
        <v>1072.02</v>
      </c>
      <c r="EQ93" s="228">
        <v>-428.96</v>
      </c>
      <c r="ER93" s="229">
        <v>-0.40010000000000001</v>
      </c>
      <c r="ES93" s="231">
        <v>1080.43</v>
      </c>
      <c r="ET93" s="228">
        <v>405.67</v>
      </c>
      <c r="EU93" s="228">
        <v>910.74</v>
      </c>
      <c r="EV93" s="231">
        <v>52862157</v>
      </c>
      <c r="EW93" s="231">
        <v>2396.84</v>
      </c>
      <c r="EX93" s="231">
        <v>2389.58</v>
      </c>
      <c r="EY93" s="228">
        <v>7.26</v>
      </c>
      <c r="EZ93" s="229">
        <v>3.0000000000000001E-3</v>
      </c>
      <c r="FA93" s="229">
        <v>0.55520000000000003</v>
      </c>
      <c r="FB93" s="227" t="s">
        <v>556</v>
      </c>
      <c r="FC93">
        <f t="shared" si="1"/>
        <v>51</v>
      </c>
    </row>
    <row r="94" spans="1:159" ht="17.25" thickBot="1" x14ac:dyDescent="0.3">
      <c r="A94" s="226">
        <v>46008</v>
      </c>
      <c r="B94" s="227" t="s">
        <v>181</v>
      </c>
      <c r="C94" s="227" t="s">
        <v>689</v>
      </c>
      <c r="D94" s="228">
        <v>1</v>
      </c>
      <c r="E94" s="228">
        <v>13</v>
      </c>
      <c r="F94" s="228">
        <v>9.84</v>
      </c>
      <c r="G94" s="228">
        <v>10.06</v>
      </c>
      <c r="H94" s="228">
        <v>-0.22</v>
      </c>
      <c r="I94" s="229">
        <v>-2.2100000000000002E-2</v>
      </c>
      <c r="J94" s="228">
        <v>9.84</v>
      </c>
      <c r="K94" s="228">
        <v>10.06</v>
      </c>
      <c r="L94" s="228">
        <v>-0.22</v>
      </c>
      <c r="M94" s="229">
        <v>-2.2100000000000002E-2</v>
      </c>
      <c r="N94" s="228">
        <v>0</v>
      </c>
      <c r="O94" s="228">
        <v>0</v>
      </c>
      <c r="P94" s="228">
        <v>0</v>
      </c>
      <c r="Q94" s="229">
        <v>0</v>
      </c>
      <c r="R94" s="228">
        <v>0</v>
      </c>
      <c r="S94" s="228">
        <v>0</v>
      </c>
      <c r="T94" s="228">
        <v>0</v>
      </c>
      <c r="U94" s="229">
        <v>0</v>
      </c>
      <c r="V94" s="228">
        <v>0</v>
      </c>
      <c r="W94" s="228">
        <v>0</v>
      </c>
      <c r="X94" s="228">
        <v>0</v>
      </c>
      <c r="Y94" s="229">
        <v>0</v>
      </c>
      <c r="Z94" s="228">
        <v>0</v>
      </c>
      <c r="AA94" s="228">
        <v>0</v>
      </c>
      <c r="AB94" s="228">
        <v>0</v>
      </c>
      <c r="AC94" s="229">
        <v>0</v>
      </c>
      <c r="AD94" s="228">
        <v>0</v>
      </c>
      <c r="AE94" s="228">
        <v>0</v>
      </c>
      <c r="AF94" s="228">
        <v>0</v>
      </c>
      <c r="AG94" s="229">
        <v>0</v>
      </c>
      <c r="AH94" s="228">
        <v>0</v>
      </c>
      <c r="AI94" s="228">
        <v>0</v>
      </c>
      <c r="AJ94" s="228">
        <v>0</v>
      </c>
      <c r="AK94" s="229">
        <v>0</v>
      </c>
      <c r="AL94" s="228">
        <v>0</v>
      </c>
      <c r="AM94" s="228">
        <v>0</v>
      </c>
      <c r="AN94" s="228">
        <v>0</v>
      </c>
      <c r="AO94" s="229">
        <v>0</v>
      </c>
      <c r="AP94" s="228">
        <v>0</v>
      </c>
      <c r="AQ94" s="228">
        <v>0</v>
      </c>
      <c r="AR94" s="228">
        <v>0</v>
      </c>
      <c r="AS94" s="228">
        <v>0</v>
      </c>
      <c r="AT94" s="228">
        <v>0</v>
      </c>
      <c r="AU94" s="228">
        <v>0</v>
      </c>
      <c r="AV94" s="229">
        <v>0</v>
      </c>
      <c r="AW94" s="228">
        <v>0</v>
      </c>
      <c r="AX94" s="228">
        <v>0</v>
      </c>
      <c r="AY94" s="228">
        <v>0</v>
      </c>
      <c r="AZ94" s="229">
        <v>0</v>
      </c>
      <c r="BA94" s="228">
        <v>0</v>
      </c>
      <c r="BB94" s="228">
        <v>0</v>
      </c>
      <c r="BC94" s="228">
        <v>0</v>
      </c>
      <c r="BD94" s="229">
        <v>0</v>
      </c>
      <c r="BE94" s="228">
        <v>0</v>
      </c>
      <c r="BF94" s="228">
        <v>0</v>
      </c>
      <c r="BG94" s="228">
        <v>0</v>
      </c>
      <c r="BH94" s="229">
        <v>0</v>
      </c>
      <c r="BI94" s="228">
        <v>0</v>
      </c>
      <c r="BJ94" s="228">
        <v>0</v>
      </c>
      <c r="BK94" s="228">
        <v>0</v>
      </c>
      <c r="BL94" s="229">
        <v>0</v>
      </c>
      <c r="BM94" s="228">
        <v>0</v>
      </c>
      <c r="BN94" s="228">
        <v>0</v>
      </c>
      <c r="BO94" s="228">
        <v>0</v>
      </c>
      <c r="BP94" s="229">
        <v>0</v>
      </c>
      <c r="BQ94" s="228">
        <v>0</v>
      </c>
      <c r="BR94" s="228">
        <v>0</v>
      </c>
      <c r="BS94" s="228">
        <v>0</v>
      </c>
      <c r="BT94" s="229">
        <v>0</v>
      </c>
      <c r="BU94" s="228">
        <v>0</v>
      </c>
      <c r="BV94" s="228">
        <v>0</v>
      </c>
      <c r="BW94" s="228">
        <v>0</v>
      </c>
      <c r="BX94" s="229">
        <v>0</v>
      </c>
      <c r="BY94" s="228">
        <v>0</v>
      </c>
      <c r="BZ94" s="228">
        <v>0</v>
      </c>
      <c r="CA94" s="228">
        <v>0</v>
      </c>
      <c r="CB94" s="229">
        <v>0</v>
      </c>
      <c r="CC94" s="228">
        <v>0</v>
      </c>
      <c r="CD94" s="228">
        <v>0</v>
      </c>
      <c r="CE94" s="228">
        <v>0</v>
      </c>
      <c r="CF94" s="229">
        <v>0</v>
      </c>
      <c r="CG94" s="228">
        <v>0</v>
      </c>
      <c r="CH94" s="228">
        <v>0</v>
      </c>
      <c r="CI94" s="228">
        <v>0</v>
      </c>
      <c r="CJ94" s="229">
        <v>0</v>
      </c>
      <c r="CK94" s="228">
        <v>0</v>
      </c>
      <c r="CL94" s="228">
        <v>0</v>
      </c>
      <c r="CM94" s="228">
        <v>0</v>
      </c>
      <c r="CN94" s="229">
        <v>0</v>
      </c>
      <c r="CO94" s="228">
        <v>0</v>
      </c>
      <c r="CP94" s="228">
        <v>0</v>
      </c>
      <c r="CQ94" s="228">
        <v>0</v>
      </c>
      <c r="CR94" s="229">
        <v>0</v>
      </c>
      <c r="CS94" s="228">
        <v>0</v>
      </c>
      <c r="CT94" s="228">
        <v>0</v>
      </c>
      <c r="CU94" s="228">
        <v>0</v>
      </c>
      <c r="CV94" s="229">
        <v>0</v>
      </c>
      <c r="CW94" s="228">
        <v>0</v>
      </c>
      <c r="CX94" s="228">
        <v>0</v>
      </c>
      <c r="CY94" s="228">
        <v>0</v>
      </c>
      <c r="CZ94" s="229">
        <v>0</v>
      </c>
      <c r="DA94" s="228">
        <v>0</v>
      </c>
      <c r="DB94" s="228">
        <v>0</v>
      </c>
      <c r="DC94" s="228">
        <v>0</v>
      </c>
      <c r="DD94" s="228">
        <v>0</v>
      </c>
      <c r="DE94" s="228">
        <v>0</v>
      </c>
      <c r="DF94" s="228">
        <v>0</v>
      </c>
      <c r="DG94" s="228">
        <v>0</v>
      </c>
      <c r="DH94" s="228">
        <v>0</v>
      </c>
      <c r="DI94" s="228">
        <v>0</v>
      </c>
      <c r="DJ94" s="228">
        <v>0</v>
      </c>
      <c r="DK94" s="228">
        <v>0</v>
      </c>
      <c r="DL94" s="228">
        <v>0</v>
      </c>
      <c r="DM94" s="228">
        <v>0</v>
      </c>
      <c r="DN94" s="228">
        <v>0</v>
      </c>
      <c r="DO94" s="228">
        <v>0</v>
      </c>
      <c r="DP94" s="228">
        <v>0</v>
      </c>
      <c r="DQ94" s="228">
        <v>0</v>
      </c>
      <c r="DR94" s="228">
        <v>0</v>
      </c>
      <c r="DS94" s="228">
        <v>0</v>
      </c>
      <c r="DT94" s="229">
        <v>0</v>
      </c>
      <c r="DU94" s="228">
        <v>0</v>
      </c>
      <c r="DV94" s="228">
        <v>0</v>
      </c>
      <c r="DW94" s="228">
        <v>0</v>
      </c>
      <c r="DX94" s="228">
        <v>0</v>
      </c>
      <c r="DY94" s="228">
        <v>0</v>
      </c>
      <c r="DZ94" s="229">
        <v>0</v>
      </c>
      <c r="EA94" s="229">
        <v>0</v>
      </c>
      <c r="EB94" s="228">
        <v>0</v>
      </c>
      <c r="EC94" s="229">
        <v>0</v>
      </c>
      <c r="ED94" s="229">
        <v>0</v>
      </c>
      <c r="EE94" s="228">
        <v>0</v>
      </c>
      <c r="EF94" s="229">
        <v>0</v>
      </c>
      <c r="EG94" s="228">
        <v>0</v>
      </c>
      <c r="EH94" s="228">
        <v>0</v>
      </c>
      <c r="EI94" s="229">
        <v>0</v>
      </c>
      <c r="EJ94" s="229">
        <v>0</v>
      </c>
      <c r="EK94" s="228">
        <v>0</v>
      </c>
      <c r="EL94" s="228">
        <v>0</v>
      </c>
      <c r="EM94" s="228">
        <v>0</v>
      </c>
      <c r="EN94" s="228">
        <v>0</v>
      </c>
      <c r="EO94" s="228">
        <v>0</v>
      </c>
      <c r="EP94" s="228">
        <v>0</v>
      </c>
      <c r="EQ94" s="228">
        <v>0</v>
      </c>
      <c r="ER94" s="229">
        <v>0</v>
      </c>
      <c r="ES94" s="228">
        <v>0</v>
      </c>
      <c r="ET94" s="228">
        <v>0</v>
      </c>
      <c r="EU94" s="228">
        <v>0</v>
      </c>
      <c r="EV94" s="228">
        <v>0</v>
      </c>
      <c r="EW94" s="228">
        <v>0</v>
      </c>
      <c r="EX94" s="228">
        <v>0</v>
      </c>
      <c r="EY94" s="228">
        <v>0</v>
      </c>
      <c r="EZ94" s="229">
        <v>0</v>
      </c>
      <c r="FA94" s="229">
        <v>0</v>
      </c>
      <c r="FB94" s="227" t="s">
        <v>237</v>
      </c>
      <c r="FC94">
        <f t="shared" si="1"/>
        <v>0</v>
      </c>
    </row>
    <row r="95" spans="1:159" ht="17.25" thickBot="1" x14ac:dyDescent="0.3">
      <c r="A95" s="226">
        <v>46008</v>
      </c>
      <c r="B95" s="227" t="s">
        <v>215</v>
      </c>
      <c r="C95" s="227" t="s">
        <v>238</v>
      </c>
      <c r="D95" s="228">
        <v>150</v>
      </c>
      <c r="E95" s="228">
        <v>13</v>
      </c>
      <c r="F95" s="231">
        <v>4984</v>
      </c>
      <c r="G95" s="231">
        <v>4979.5</v>
      </c>
      <c r="H95" s="228">
        <v>4.5</v>
      </c>
      <c r="I95" s="229">
        <v>8.9999999999999998E-4</v>
      </c>
      <c r="J95" s="231">
        <v>4980.5</v>
      </c>
      <c r="K95" s="231">
        <v>4974</v>
      </c>
      <c r="L95" s="228">
        <v>6.5</v>
      </c>
      <c r="M95" s="229">
        <v>1.2999999999999999E-3</v>
      </c>
      <c r="N95" s="231">
        <v>4984</v>
      </c>
      <c r="O95" s="231">
        <v>4979.5</v>
      </c>
      <c r="P95" s="228">
        <v>4.5</v>
      </c>
      <c r="Q95" s="229">
        <v>8.9999999999999998E-4</v>
      </c>
      <c r="R95" s="231">
        <v>5009.5</v>
      </c>
      <c r="S95" s="231">
        <v>5002</v>
      </c>
      <c r="T95" s="228">
        <v>7.5</v>
      </c>
      <c r="U95" s="229">
        <v>1.5E-3</v>
      </c>
      <c r="V95" s="231">
        <v>5039.5</v>
      </c>
      <c r="W95" s="231">
        <v>5034.5</v>
      </c>
      <c r="X95" s="228">
        <v>5</v>
      </c>
      <c r="Y95" s="229">
        <v>1E-3</v>
      </c>
      <c r="Z95" s="228">
        <v>3.5</v>
      </c>
      <c r="AA95" s="228">
        <v>5.5</v>
      </c>
      <c r="AB95" s="228">
        <v>-2</v>
      </c>
      <c r="AC95" s="229">
        <v>6.9999999999999999E-4</v>
      </c>
      <c r="AD95" s="228">
        <v>3.5</v>
      </c>
      <c r="AE95" s="228">
        <v>5.5</v>
      </c>
      <c r="AF95" s="228">
        <v>-2</v>
      </c>
      <c r="AG95" s="229">
        <v>6.9999999999999999E-4</v>
      </c>
      <c r="AH95" s="228">
        <v>29</v>
      </c>
      <c r="AI95" s="228">
        <v>28</v>
      </c>
      <c r="AJ95" s="228">
        <v>1</v>
      </c>
      <c r="AK95" s="229">
        <v>5.7999999999999996E-3</v>
      </c>
      <c r="AL95" s="228">
        <v>59</v>
      </c>
      <c r="AM95" s="228">
        <v>60.5</v>
      </c>
      <c r="AN95" s="228">
        <v>-1.5</v>
      </c>
      <c r="AO95" s="229">
        <v>1.18E-2</v>
      </c>
      <c r="AP95" s="231">
        <v>4977.93</v>
      </c>
      <c r="AQ95" s="231">
        <v>5001.1099999999997</v>
      </c>
      <c r="AR95" s="228">
        <v>0</v>
      </c>
      <c r="AS95" s="228">
        <v>562</v>
      </c>
      <c r="AT95" s="228">
        <v>990</v>
      </c>
      <c r="AU95" s="228">
        <v>-428</v>
      </c>
      <c r="AV95" s="229">
        <v>-0.43209999999999998</v>
      </c>
      <c r="AW95" s="228">
        <v>461</v>
      </c>
      <c r="AX95" s="228">
        <v>849</v>
      </c>
      <c r="AY95" s="228">
        <v>-388</v>
      </c>
      <c r="AZ95" s="229">
        <v>-0.4572</v>
      </c>
      <c r="BA95" s="228">
        <v>93</v>
      </c>
      <c r="BB95" s="228">
        <v>128</v>
      </c>
      <c r="BC95" s="228">
        <v>-35</v>
      </c>
      <c r="BD95" s="229">
        <v>-0.27539999999999998</v>
      </c>
      <c r="BE95" s="228">
        <v>8</v>
      </c>
      <c r="BF95" s="228">
        <v>13</v>
      </c>
      <c r="BG95" s="228">
        <v>-4</v>
      </c>
      <c r="BH95" s="229">
        <v>-0.33729999999999999</v>
      </c>
      <c r="BI95" s="230">
        <v>4263</v>
      </c>
      <c r="BJ95" s="230">
        <v>6332</v>
      </c>
      <c r="BK95" s="230">
        <v>-2069</v>
      </c>
      <c r="BL95" s="229">
        <v>-0.32679999999999998</v>
      </c>
      <c r="BM95" s="230">
        <v>2156</v>
      </c>
      <c r="BN95" s="230">
        <v>3134</v>
      </c>
      <c r="BO95" s="228">
        <v>-979</v>
      </c>
      <c r="BP95" s="229">
        <v>-0.31219999999999998</v>
      </c>
      <c r="BQ95" s="230">
        <v>6981</v>
      </c>
      <c r="BR95" s="230">
        <v>10457</v>
      </c>
      <c r="BS95" s="230">
        <v>-3476</v>
      </c>
      <c r="BT95" s="229">
        <v>-0.33239999999999997</v>
      </c>
      <c r="BU95" s="230">
        <v>1662896</v>
      </c>
      <c r="BV95" s="230">
        <v>2577890</v>
      </c>
      <c r="BW95" s="230">
        <v>-914994</v>
      </c>
      <c r="BX95" s="229">
        <v>-0.35489999999999999</v>
      </c>
      <c r="BY95" s="230">
        <v>6122</v>
      </c>
      <c r="BZ95" s="230">
        <v>6228</v>
      </c>
      <c r="CA95" s="228">
        <v>-107</v>
      </c>
      <c r="CB95" s="229">
        <v>-1.7100000000000001E-2</v>
      </c>
      <c r="CC95" s="230">
        <v>5450</v>
      </c>
      <c r="CD95" s="230">
        <v>5571</v>
      </c>
      <c r="CE95" s="228">
        <v>-121</v>
      </c>
      <c r="CF95" s="229">
        <v>-2.1700000000000001E-2</v>
      </c>
      <c r="CG95" s="228">
        <v>579</v>
      </c>
      <c r="CH95" s="228">
        <v>565</v>
      </c>
      <c r="CI95" s="228">
        <v>14</v>
      </c>
      <c r="CJ95" s="229">
        <v>2.5399999999999999E-2</v>
      </c>
      <c r="CK95" s="228">
        <v>92</v>
      </c>
      <c r="CL95" s="228">
        <v>92</v>
      </c>
      <c r="CM95" s="228">
        <v>0</v>
      </c>
      <c r="CN95" s="229">
        <v>0</v>
      </c>
      <c r="CO95" s="230">
        <v>8534</v>
      </c>
      <c r="CP95" s="230">
        <v>8761</v>
      </c>
      <c r="CQ95" s="228">
        <v>-227</v>
      </c>
      <c r="CR95" s="229">
        <v>-2.5899999999999999E-2</v>
      </c>
      <c r="CS95" s="230">
        <v>4109</v>
      </c>
      <c r="CT95" s="230">
        <v>4252</v>
      </c>
      <c r="CU95" s="228">
        <v>-143</v>
      </c>
      <c r="CV95" s="229">
        <v>-3.3599999999999998E-2</v>
      </c>
      <c r="CW95" s="230">
        <v>18764</v>
      </c>
      <c r="CX95" s="230">
        <v>19241</v>
      </c>
      <c r="CY95" s="228">
        <v>-477</v>
      </c>
      <c r="CZ95" s="229">
        <v>-2.4799999999999999E-2</v>
      </c>
      <c r="DA95" s="228">
        <v>29.86</v>
      </c>
      <c r="DB95" s="228">
        <v>30.91</v>
      </c>
      <c r="DC95" s="228">
        <v>-1.05</v>
      </c>
      <c r="DD95" s="228">
        <v>-1.05</v>
      </c>
      <c r="DE95" s="228">
        <v>33.799999999999997</v>
      </c>
      <c r="DF95" s="228">
        <v>33.880000000000003</v>
      </c>
      <c r="DG95" s="228">
        <v>-3.94</v>
      </c>
      <c r="DH95" s="228">
        <v>-0.08</v>
      </c>
      <c r="DI95" s="228">
        <v>29.87</v>
      </c>
      <c r="DJ95" s="228">
        <v>30.79</v>
      </c>
      <c r="DK95" s="228">
        <v>-0.92</v>
      </c>
      <c r="DL95" s="228">
        <v>-0.92</v>
      </c>
      <c r="DM95" s="228">
        <v>29.83</v>
      </c>
      <c r="DN95" s="228">
        <v>31.13</v>
      </c>
      <c r="DO95" s="228">
        <v>-1.3</v>
      </c>
      <c r="DP95" s="228">
        <v>-1.3</v>
      </c>
      <c r="DQ95" s="228">
        <v>0.48</v>
      </c>
      <c r="DR95" s="228">
        <v>0.49</v>
      </c>
      <c r="DS95" s="228">
        <v>-0.01</v>
      </c>
      <c r="DT95" s="229">
        <v>-2.0400000000000001E-2</v>
      </c>
      <c r="DU95" s="231">
        <v>5500</v>
      </c>
      <c r="DV95" s="231">
        <v>4500</v>
      </c>
      <c r="DW95" s="228">
        <v>0.51</v>
      </c>
      <c r="DX95" s="228">
        <v>0.49</v>
      </c>
      <c r="DY95" s="228">
        <v>0.02</v>
      </c>
      <c r="DZ95" s="229">
        <v>4.0800000000000003E-2</v>
      </c>
      <c r="EA95" s="229">
        <v>0.1096</v>
      </c>
      <c r="EB95" s="230">
        <v>1317900</v>
      </c>
      <c r="EC95" s="229">
        <v>5.1000000000000004E-3</v>
      </c>
      <c r="ED95" s="229">
        <v>0.1096</v>
      </c>
      <c r="EE95" s="228">
        <v>23.18</v>
      </c>
      <c r="EF95" s="229">
        <v>4.7000000000000002E-3</v>
      </c>
      <c r="EG95" s="230">
        <v>930071</v>
      </c>
      <c r="EH95" s="230">
        <v>1559460</v>
      </c>
      <c r="EI95" s="229">
        <v>-0.40360000000000001</v>
      </c>
      <c r="EJ95" s="229">
        <v>0.55930000000000002</v>
      </c>
      <c r="EK95" s="231">
        <v>4551.3900000000003</v>
      </c>
      <c r="EL95" s="231">
        <v>2091.46</v>
      </c>
      <c r="EM95" s="228">
        <v>562.1</v>
      </c>
      <c r="EN95" s="228">
        <v>267.66000000000003</v>
      </c>
      <c r="EO95" s="231">
        <v>7204.94</v>
      </c>
      <c r="EP95" s="231">
        <v>10777.05</v>
      </c>
      <c r="EQ95" s="231">
        <v>-3572.11</v>
      </c>
      <c r="ER95" s="229">
        <v>-0.33150000000000002</v>
      </c>
      <c r="ES95" s="231">
        <v>9314.44</v>
      </c>
      <c r="ET95" s="231">
        <v>4019.53</v>
      </c>
      <c r="EU95" s="231">
        <v>6125.63</v>
      </c>
      <c r="EV95" s="231">
        <v>32732860</v>
      </c>
      <c r="EW95" s="231">
        <v>19459.599999999999</v>
      </c>
      <c r="EX95" s="231">
        <v>19943.580000000002</v>
      </c>
      <c r="EY95" s="228">
        <v>-483.98</v>
      </c>
      <c r="EZ95" s="229">
        <v>-2.4299999999999999E-2</v>
      </c>
      <c r="FA95" s="229">
        <v>1.1501999999999999</v>
      </c>
      <c r="FB95" s="227" t="s">
        <v>556</v>
      </c>
      <c r="FC95">
        <f t="shared" si="1"/>
        <v>672</v>
      </c>
    </row>
    <row r="96" spans="1:159" ht="17.25" thickBot="1" x14ac:dyDescent="0.3">
      <c r="A96" s="226">
        <v>46008</v>
      </c>
      <c r="B96" s="227" t="s">
        <v>172</v>
      </c>
      <c r="C96" s="227" t="s">
        <v>239</v>
      </c>
      <c r="D96" s="228">
        <v>700</v>
      </c>
      <c r="E96" s="228">
        <v>13</v>
      </c>
      <c r="F96" s="228">
        <v>834.65</v>
      </c>
      <c r="G96" s="228">
        <v>846.6</v>
      </c>
      <c r="H96" s="228">
        <v>-11.95</v>
      </c>
      <c r="I96" s="229">
        <v>-1.41E-2</v>
      </c>
      <c r="J96" s="228">
        <v>833.85</v>
      </c>
      <c r="K96" s="228">
        <v>845.05</v>
      </c>
      <c r="L96" s="228">
        <v>-11.2</v>
      </c>
      <c r="M96" s="229">
        <v>-1.3299999999999999E-2</v>
      </c>
      <c r="N96" s="228">
        <v>834.65</v>
      </c>
      <c r="O96" s="228">
        <v>846.6</v>
      </c>
      <c r="P96" s="228">
        <v>-11.95</v>
      </c>
      <c r="Q96" s="229">
        <v>-1.41E-2</v>
      </c>
      <c r="R96" s="228">
        <v>839.8</v>
      </c>
      <c r="S96" s="228">
        <v>851.9</v>
      </c>
      <c r="T96" s="228">
        <v>-12.1</v>
      </c>
      <c r="U96" s="229">
        <v>-1.4200000000000001E-2</v>
      </c>
      <c r="V96" s="228">
        <v>844.8</v>
      </c>
      <c r="W96" s="228">
        <v>855.4</v>
      </c>
      <c r="X96" s="228">
        <v>-10.6</v>
      </c>
      <c r="Y96" s="229">
        <v>-1.24E-2</v>
      </c>
      <c r="Z96" s="228">
        <v>0.8</v>
      </c>
      <c r="AA96" s="228">
        <v>1.55</v>
      </c>
      <c r="AB96" s="228">
        <v>-0.75</v>
      </c>
      <c r="AC96" s="229">
        <v>1E-3</v>
      </c>
      <c r="AD96" s="228">
        <v>0.8</v>
      </c>
      <c r="AE96" s="228">
        <v>1.55</v>
      </c>
      <c r="AF96" s="228">
        <v>-0.75</v>
      </c>
      <c r="AG96" s="229">
        <v>1E-3</v>
      </c>
      <c r="AH96" s="228">
        <v>5.95</v>
      </c>
      <c r="AI96" s="228">
        <v>6.85</v>
      </c>
      <c r="AJ96" s="228">
        <v>-0.9</v>
      </c>
      <c r="AK96" s="229">
        <v>7.1000000000000004E-3</v>
      </c>
      <c r="AL96" s="228">
        <v>10.95</v>
      </c>
      <c r="AM96" s="228">
        <v>10.35</v>
      </c>
      <c r="AN96" s="228">
        <v>0.6</v>
      </c>
      <c r="AO96" s="229">
        <v>1.3100000000000001E-2</v>
      </c>
      <c r="AP96" s="228">
        <v>835.64</v>
      </c>
      <c r="AQ96" s="228">
        <v>840.99</v>
      </c>
      <c r="AR96" s="228">
        <v>0</v>
      </c>
      <c r="AS96" s="228">
        <v>587</v>
      </c>
      <c r="AT96" s="228">
        <v>360</v>
      </c>
      <c r="AU96" s="228">
        <v>227</v>
      </c>
      <c r="AV96" s="229">
        <v>0.63009999999999999</v>
      </c>
      <c r="AW96" s="228">
        <v>467</v>
      </c>
      <c r="AX96" s="228">
        <v>302</v>
      </c>
      <c r="AY96" s="228">
        <v>166</v>
      </c>
      <c r="AZ96" s="229">
        <v>0.5494</v>
      </c>
      <c r="BA96" s="228">
        <v>102</v>
      </c>
      <c r="BB96" s="228">
        <v>56</v>
      </c>
      <c r="BC96" s="228">
        <v>46</v>
      </c>
      <c r="BD96" s="229">
        <v>0.82789999999999997</v>
      </c>
      <c r="BE96" s="228">
        <v>17</v>
      </c>
      <c r="BF96" s="228">
        <v>3</v>
      </c>
      <c r="BG96" s="228">
        <v>15</v>
      </c>
      <c r="BH96" s="229">
        <v>5.907</v>
      </c>
      <c r="BI96" s="230">
        <v>1467</v>
      </c>
      <c r="BJ96" s="228">
        <v>900</v>
      </c>
      <c r="BK96" s="228">
        <v>567</v>
      </c>
      <c r="BL96" s="229">
        <v>0.63009999999999999</v>
      </c>
      <c r="BM96" s="230">
        <v>1292</v>
      </c>
      <c r="BN96" s="228">
        <v>364</v>
      </c>
      <c r="BO96" s="228">
        <v>928</v>
      </c>
      <c r="BP96" s="229">
        <v>2.5529999999999999</v>
      </c>
      <c r="BQ96" s="230">
        <v>3346</v>
      </c>
      <c r="BR96" s="230">
        <v>1624</v>
      </c>
      <c r="BS96" s="230">
        <v>1722</v>
      </c>
      <c r="BT96" s="229">
        <v>1.0606</v>
      </c>
      <c r="BU96" s="230">
        <v>3214781</v>
      </c>
      <c r="BV96" s="230">
        <v>2874681</v>
      </c>
      <c r="BW96" s="230">
        <v>340100</v>
      </c>
      <c r="BX96" s="229">
        <v>0.1183</v>
      </c>
      <c r="BY96" s="230">
        <v>3989</v>
      </c>
      <c r="BZ96" s="230">
        <v>4007</v>
      </c>
      <c r="CA96" s="228">
        <v>-18</v>
      </c>
      <c r="CB96" s="229">
        <v>-4.5999999999999999E-3</v>
      </c>
      <c r="CC96" s="230">
        <v>3600</v>
      </c>
      <c r="CD96" s="230">
        <v>3685</v>
      </c>
      <c r="CE96" s="228">
        <v>-85</v>
      </c>
      <c r="CF96" s="229">
        <v>-2.3199999999999998E-2</v>
      </c>
      <c r="CG96" s="228">
        <v>350</v>
      </c>
      <c r="CH96" s="228">
        <v>291</v>
      </c>
      <c r="CI96" s="228">
        <v>59</v>
      </c>
      <c r="CJ96" s="229">
        <v>0.20369999999999999</v>
      </c>
      <c r="CK96" s="228">
        <v>39</v>
      </c>
      <c r="CL96" s="228">
        <v>31</v>
      </c>
      <c r="CM96" s="228">
        <v>8</v>
      </c>
      <c r="CN96" s="229">
        <v>0.25659999999999999</v>
      </c>
      <c r="CO96" s="230">
        <v>1186</v>
      </c>
      <c r="CP96" s="230">
        <v>1148</v>
      </c>
      <c r="CQ96" s="228">
        <v>38</v>
      </c>
      <c r="CR96" s="229">
        <v>3.3099999999999997E-2</v>
      </c>
      <c r="CS96" s="228">
        <v>829</v>
      </c>
      <c r="CT96" s="228">
        <v>798</v>
      </c>
      <c r="CU96" s="228">
        <v>31</v>
      </c>
      <c r="CV96" s="229">
        <v>3.9300000000000002E-2</v>
      </c>
      <c r="CW96" s="230">
        <v>6004</v>
      </c>
      <c r="CX96" s="230">
        <v>5953</v>
      </c>
      <c r="CY96" s="228">
        <v>51</v>
      </c>
      <c r="CZ96" s="229">
        <v>8.6E-3</v>
      </c>
      <c r="DA96" s="228">
        <v>27.21</v>
      </c>
      <c r="DB96" s="228">
        <v>26.35</v>
      </c>
      <c r="DC96" s="228">
        <v>0.86</v>
      </c>
      <c r="DD96" s="228">
        <v>0.86</v>
      </c>
      <c r="DE96" s="228">
        <v>44.31</v>
      </c>
      <c r="DF96" s="228">
        <v>44.39</v>
      </c>
      <c r="DG96" s="228">
        <v>-17.100000000000001</v>
      </c>
      <c r="DH96" s="228">
        <v>-0.08</v>
      </c>
      <c r="DI96" s="228">
        <v>27.55</v>
      </c>
      <c r="DJ96" s="228">
        <v>26.47</v>
      </c>
      <c r="DK96" s="228">
        <v>1.08</v>
      </c>
      <c r="DL96" s="228">
        <v>1.08</v>
      </c>
      <c r="DM96" s="228">
        <v>26.82</v>
      </c>
      <c r="DN96" s="228">
        <v>26.06</v>
      </c>
      <c r="DO96" s="228">
        <v>0.76</v>
      </c>
      <c r="DP96" s="228">
        <v>0.76</v>
      </c>
      <c r="DQ96" s="228">
        <v>0.7</v>
      </c>
      <c r="DR96" s="228">
        <v>0.69</v>
      </c>
      <c r="DS96" s="228">
        <v>0.01</v>
      </c>
      <c r="DT96" s="229">
        <v>1.4500000000000001E-2</v>
      </c>
      <c r="DU96" s="228">
        <v>900</v>
      </c>
      <c r="DV96" s="228">
        <v>820</v>
      </c>
      <c r="DW96" s="228">
        <v>0.88</v>
      </c>
      <c r="DX96" s="228">
        <v>0.4</v>
      </c>
      <c r="DY96" s="228">
        <v>0.48</v>
      </c>
      <c r="DZ96" s="229">
        <v>1.2</v>
      </c>
      <c r="EA96" s="229">
        <v>9.7500000000000003E-2</v>
      </c>
      <c r="EB96" s="230">
        <v>3855600</v>
      </c>
      <c r="EC96" s="229">
        <v>6.1999999999999998E-3</v>
      </c>
      <c r="ED96" s="229">
        <v>9.7500000000000003E-2</v>
      </c>
      <c r="EE96" s="228">
        <v>5.35</v>
      </c>
      <c r="EF96" s="229">
        <v>6.4000000000000003E-3</v>
      </c>
      <c r="EG96" s="230">
        <v>1509934</v>
      </c>
      <c r="EH96" s="230">
        <v>1481232</v>
      </c>
      <c r="EI96" s="229">
        <v>1.9400000000000001E-2</v>
      </c>
      <c r="EJ96" s="229">
        <v>0.46970000000000001</v>
      </c>
      <c r="EK96" s="231">
        <v>1542.11</v>
      </c>
      <c r="EL96" s="231">
        <v>1276.6500000000001</v>
      </c>
      <c r="EM96" s="228">
        <v>588.80999999999995</v>
      </c>
      <c r="EN96" s="228">
        <v>76.150000000000006</v>
      </c>
      <c r="EO96" s="231">
        <v>3407.56</v>
      </c>
      <c r="EP96" s="231">
        <v>1683.5</v>
      </c>
      <c r="EQ96" s="231">
        <v>1724.06</v>
      </c>
      <c r="ER96" s="229">
        <v>1.0241</v>
      </c>
      <c r="ES96" s="231">
        <v>1259.5999999999999</v>
      </c>
      <c r="ET96" s="228">
        <v>819.49</v>
      </c>
      <c r="EU96" s="231">
        <v>3991.64</v>
      </c>
      <c r="EV96" s="231">
        <v>93805784</v>
      </c>
      <c r="EW96" s="231">
        <v>6070.73</v>
      </c>
      <c r="EX96" s="231">
        <v>6079.79</v>
      </c>
      <c r="EY96" s="228">
        <v>-9.06</v>
      </c>
      <c r="EZ96" s="229">
        <v>-1.5E-3</v>
      </c>
      <c r="FA96" s="229">
        <v>0.76690000000000003</v>
      </c>
      <c r="FB96" s="227" t="s">
        <v>568</v>
      </c>
      <c r="FC96">
        <f t="shared" si="1"/>
        <v>389</v>
      </c>
    </row>
    <row r="97" spans="1:159" ht="17.25" thickBot="1" x14ac:dyDescent="0.3">
      <c r="A97" s="226">
        <v>46008</v>
      </c>
      <c r="B97" s="227" t="s">
        <v>188</v>
      </c>
      <c r="C97" s="227" t="s">
        <v>473</v>
      </c>
      <c r="D97" s="228">
        <v>1700</v>
      </c>
      <c r="E97" s="228">
        <v>13</v>
      </c>
      <c r="F97" s="228">
        <v>408.6</v>
      </c>
      <c r="G97" s="228">
        <v>409.6</v>
      </c>
      <c r="H97" s="228">
        <v>-1</v>
      </c>
      <c r="I97" s="229">
        <v>-2.3999999999999998E-3</v>
      </c>
      <c r="J97" s="228">
        <v>407.2</v>
      </c>
      <c r="K97" s="228">
        <v>408.15</v>
      </c>
      <c r="L97" s="228">
        <v>-0.95</v>
      </c>
      <c r="M97" s="229">
        <v>-2.3E-3</v>
      </c>
      <c r="N97" s="228">
        <v>408.6</v>
      </c>
      <c r="O97" s="228">
        <v>409.6</v>
      </c>
      <c r="P97" s="228">
        <v>-1</v>
      </c>
      <c r="Q97" s="229">
        <v>-2.3999999999999998E-3</v>
      </c>
      <c r="R97" s="228">
        <v>410.95</v>
      </c>
      <c r="S97" s="228">
        <v>412.4</v>
      </c>
      <c r="T97" s="228">
        <v>-1.45</v>
      </c>
      <c r="U97" s="229">
        <v>-3.5000000000000001E-3</v>
      </c>
      <c r="V97" s="228">
        <v>413.5</v>
      </c>
      <c r="W97" s="228">
        <v>415</v>
      </c>
      <c r="X97" s="228">
        <v>-1.5</v>
      </c>
      <c r="Y97" s="229">
        <v>-3.5999999999999999E-3</v>
      </c>
      <c r="Z97" s="228">
        <v>1.4</v>
      </c>
      <c r="AA97" s="228">
        <v>1.45</v>
      </c>
      <c r="AB97" s="228">
        <v>-0.05</v>
      </c>
      <c r="AC97" s="229">
        <v>3.3999999999999998E-3</v>
      </c>
      <c r="AD97" s="228">
        <v>1.4</v>
      </c>
      <c r="AE97" s="228">
        <v>1.45</v>
      </c>
      <c r="AF97" s="228">
        <v>-0.05</v>
      </c>
      <c r="AG97" s="229">
        <v>3.3999999999999998E-3</v>
      </c>
      <c r="AH97" s="228">
        <v>3.75</v>
      </c>
      <c r="AI97" s="228">
        <v>4.25</v>
      </c>
      <c r="AJ97" s="228">
        <v>-0.5</v>
      </c>
      <c r="AK97" s="229">
        <v>9.1999999999999998E-3</v>
      </c>
      <c r="AL97" s="228">
        <v>6.3</v>
      </c>
      <c r="AM97" s="228">
        <v>6.85</v>
      </c>
      <c r="AN97" s="228">
        <v>-0.55000000000000004</v>
      </c>
      <c r="AO97" s="229">
        <v>1.55E-2</v>
      </c>
      <c r="AP97" s="228">
        <v>407.58</v>
      </c>
      <c r="AQ97" s="228">
        <v>410.26</v>
      </c>
      <c r="AR97" s="228">
        <v>0</v>
      </c>
      <c r="AS97" s="228">
        <v>243</v>
      </c>
      <c r="AT97" s="228">
        <v>311</v>
      </c>
      <c r="AU97" s="228">
        <v>-68</v>
      </c>
      <c r="AV97" s="229">
        <v>-0.21859999999999999</v>
      </c>
      <c r="AW97" s="228">
        <v>212</v>
      </c>
      <c r="AX97" s="228">
        <v>267</v>
      </c>
      <c r="AY97" s="228">
        <v>-55</v>
      </c>
      <c r="AZ97" s="229">
        <v>-0.20610000000000001</v>
      </c>
      <c r="BA97" s="228">
        <v>30</v>
      </c>
      <c r="BB97" s="228">
        <v>43</v>
      </c>
      <c r="BC97" s="228">
        <v>-13</v>
      </c>
      <c r="BD97" s="229">
        <v>-0.29470000000000002</v>
      </c>
      <c r="BE97" s="228">
        <v>0</v>
      </c>
      <c r="BF97" s="228">
        <v>1</v>
      </c>
      <c r="BG97" s="228">
        <v>0</v>
      </c>
      <c r="BH97" s="229">
        <v>-0.3</v>
      </c>
      <c r="BI97" s="228">
        <v>717</v>
      </c>
      <c r="BJ97" s="228">
        <v>798</v>
      </c>
      <c r="BK97" s="228">
        <v>-82</v>
      </c>
      <c r="BL97" s="229">
        <v>-0.1026</v>
      </c>
      <c r="BM97" s="228">
        <v>177</v>
      </c>
      <c r="BN97" s="228">
        <v>292</v>
      </c>
      <c r="BO97" s="228">
        <v>-115</v>
      </c>
      <c r="BP97" s="229">
        <v>-0.39419999999999999</v>
      </c>
      <c r="BQ97" s="230">
        <v>1136</v>
      </c>
      <c r="BR97" s="230">
        <v>1401</v>
      </c>
      <c r="BS97" s="228">
        <v>-265</v>
      </c>
      <c r="BT97" s="229">
        <v>-0.189</v>
      </c>
      <c r="BU97" s="230">
        <v>4617669</v>
      </c>
      <c r="BV97" s="230">
        <v>4545247</v>
      </c>
      <c r="BW97" s="230">
        <v>72422</v>
      </c>
      <c r="BX97" s="229">
        <v>1.5900000000000001E-2</v>
      </c>
      <c r="BY97" s="230">
        <v>3417</v>
      </c>
      <c r="BZ97" s="230">
        <v>3454</v>
      </c>
      <c r="CA97" s="228">
        <v>-38</v>
      </c>
      <c r="CB97" s="229">
        <v>-1.09E-2</v>
      </c>
      <c r="CC97" s="230">
        <v>3299</v>
      </c>
      <c r="CD97" s="230">
        <v>3347</v>
      </c>
      <c r="CE97" s="228">
        <v>-47</v>
      </c>
      <c r="CF97" s="229">
        <v>-1.41E-2</v>
      </c>
      <c r="CG97" s="228">
        <v>110</v>
      </c>
      <c r="CH97" s="228">
        <v>100</v>
      </c>
      <c r="CI97" s="228">
        <v>10</v>
      </c>
      <c r="CJ97" s="229">
        <v>9.5100000000000004E-2</v>
      </c>
      <c r="CK97" s="228">
        <v>8</v>
      </c>
      <c r="CL97" s="228">
        <v>8</v>
      </c>
      <c r="CM97" s="228">
        <v>0</v>
      </c>
      <c r="CN97" s="229">
        <v>-8.9999999999999993E-3</v>
      </c>
      <c r="CO97" s="230">
        <v>1099</v>
      </c>
      <c r="CP97" s="230">
        <v>1109</v>
      </c>
      <c r="CQ97" s="228">
        <v>-10</v>
      </c>
      <c r="CR97" s="229">
        <v>-8.9999999999999993E-3</v>
      </c>
      <c r="CS97" s="228">
        <v>645</v>
      </c>
      <c r="CT97" s="228">
        <v>639</v>
      </c>
      <c r="CU97" s="228">
        <v>6</v>
      </c>
      <c r="CV97" s="229">
        <v>9.7999999999999997E-3</v>
      </c>
      <c r="CW97" s="230">
        <v>5161</v>
      </c>
      <c r="CX97" s="230">
        <v>5202</v>
      </c>
      <c r="CY97" s="228">
        <v>-41</v>
      </c>
      <c r="CZ97" s="229">
        <v>-8.0000000000000002E-3</v>
      </c>
      <c r="DA97" s="228">
        <v>26.8</v>
      </c>
      <c r="DB97" s="228">
        <v>28.19</v>
      </c>
      <c r="DC97" s="228">
        <v>-1.39</v>
      </c>
      <c r="DD97" s="228">
        <v>-1.39</v>
      </c>
      <c r="DE97" s="228">
        <v>38.61</v>
      </c>
      <c r="DF97" s="228">
        <v>38.71</v>
      </c>
      <c r="DG97" s="228">
        <v>-11.81</v>
      </c>
      <c r="DH97" s="228">
        <v>-0.1</v>
      </c>
      <c r="DI97" s="228">
        <v>26.84</v>
      </c>
      <c r="DJ97" s="228">
        <v>28.21</v>
      </c>
      <c r="DK97" s="228">
        <v>-1.37</v>
      </c>
      <c r="DL97" s="228">
        <v>-1.37</v>
      </c>
      <c r="DM97" s="228">
        <v>26.65</v>
      </c>
      <c r="DN97" s="228">
        <v>28.15</v>
      </c>
      <c r="DO97" s="228">
        <v>-1.5</v>
      </c>
      <c r="DP97" s="228">
        <v>-1.5</v>
      </c>
      <c r="DQ97" s="228">
        <v>0.59</v>
      </c>
      <c r="DR97" s="228">
        <v>0.57999999999999996</v>
      </c>
      <c r="DS97" s="228">
        <v>0.01</v>
      </c>
      <c r="DT97" s="229">
        <v>1.72E-2</v>
      </c>
      <c r="DU97" s="228">
        <v>420</v>
      </c>
      <c r="DV97" s="228">
        <v>400</v>
      </c>
      <c r="DW97" s="228">
        <v>0.25</v>
      </c>
      <c r="DX97" s="228">
        <v>0.37</v>
      </c>
      <c r="DY97" s="228">
        <v>-0.12</v>
      </c>
      <c r="DZ97" s="229">
        <v>-0.32429999999999998</v>
      </c>
      <c r="EA97" s="229">
        <v>3.4299999999999997E-2</v>
      </c>
      <c r="EB97" s="230">
        <v>2636700</v>
      </c>
      <c r="EC97" s="229">
        <v>5.7999999999999996E-3</v>
      </c>
      <c r="ED97" s="229">
        <v>3.4299999999999997E-2</v>
      </c>
      <c r="EE97" s="228">
        <v>2.68</v>
      </c>
      <c r="EF97" s="229">
        <v>6.6E-3</v>
      </c>
      <c r="EG97" s="230">
        <v>3299742</v>
      </c>
      <c r="EH97" s="230">
        <v>2724097</v>
      </c>
      <c r="EI97" s="229">
        <v>0.21129999999999999</v>
      </c>
      <c r="EJ97" s="229">
        <v>0.71460000000000001</v>
      </c>
      <c r="EK97" s="228">
        <v>749.8</v>
      </c>
      <c r="EL97" s="228">
        <v>174.41</v>
      </c>
      <c r="EM97" s="228">
        <v>242.44</v>
      </c>
      <c r="EN97" s="228">
        <v>59.59</v>
      </c>
      <c r="EO97" s="231">
        <v>1166.6500000000001</v>
      </c>
      <c r="EP97" s="231">
        <v>1433.03</v>
      </c>
      <c r="EQ97" s="228">
        <v>-266.38</v>
      </c>
      <c r="ER97" s="229">
        <v>-0.18590000000000001</v>
      </c>
      <c r="ES97" s="231">
        <v>1139.25</v>
      </c>
      <c r="ET97" s="228">
        <v>619.63</v>
      </c>
      <c r="EU97" s="231">
        <v>3417.35</v>
      </c>
      <c r="EV97" s="231">
        <v>197705578</v>
      </c>
      <c r="EW97" s="231">
        <v>5176.24</v>
      </c>
      <c r="EX97" s="231">
        <v>5226.67</v>
      </c>
      <c r="EY97" s="228">
        <v>-50.43</v>
      </c>
      <c r="EZ97" s="229">
        <v>-9.5999999999999992E-3</v>
      </c>
      <c r="FA97" s="229">
        <v>0.63880000000000003</v>
      </c>
      <c r="FB97" s="227" t="s">
        <v>568</v>
      </c>
      <c r="FC97">
        <f t="shared" si="1"/>
        <v>118</v>
      </c>
    </row>
    <row r="98" spans="1:159" ht="17.25" thickBot="1" x14ac:dyDescent="0.3">
      <c r="A98" s="226">
        <v>46008</v>
      </c>
      <c r="B98" s="227" t="s">
        <v>221</v>
      </c>
      <c r="C98" s="227" t="s">
        <v>240</v>
      </c>
      <c r="D98" s="228">
        <v>400</v>
      </c>
      <c r="E98" s="228">
        <v>13</v>
      </c>
      <c r="F98" s="231">
        <v>1605.8</v>
      </c>
      <c r="G98" s="231">
        <v>1596.8</v>
      </c>
      <c r="H98" s="228">
        <v>9</v>
      </c>
      <c r="I98" s="229">
        <v>5.5999999999999999E-3</v>
      </c>
      <c r="J98" s="231">
        <v>1602</v>
      </c>
      <c r="K98" s="231">
        <v>1592.9</v>
      </c>
      <c r="L98" s="228">
        <v>9.1</v>
      </c>
      <c r="M98" s="229">
        <v>5.7000000000000002E-3</v>
      </c>
      <c r="N98" s="231">
        <v>1605.8</v>
      </c>
      <c r="O98" s="231">
        <v>1596.8</v>
      </c>
      <c r="P98" s="228">
        <v>9</v>
      </c>
      <c r="Q98" s="229">
        <v>5.5999999999999999E-3</v>
      </c>
      <c r="R98" s="231">
        <v>1615.9</v>
      </c>
      <c r="S98" s="231">
        <v>1606.8</v>
      </c>
      <c r="T98" s="228">
        <v>9.1</v>
      </c>
      <c r="U98" s="229">
        <v>5.7000000000000002E-3</v>
      </c>
      <c r="V98" s="231">
        <v>1624.7</v>
      </c>
      <c r="W98" s="231">
        <v>1616.1</v>
      </c>
      <c r="X98" s="228">
        <v>8.6</v>
      </c>
      <c r="Y98" s="229">
        <v>5.3E-3</v>
      </c>
      <c r="Z98" s="228">
        <v>3.8</v>
      </c>
      <c r="AA98" s="228">
        <v>3.9</v>
      </c>
      <c r="AB98" s="228">
        <v>-0.1</v>
      </c>
      <c r="AC98" s="229">
        <v>2.3999999999999998E-3</v>
      </c>
      <c r="AD98" s="228">
        <v>3.8</v>
      </c>
      <c r="AE98" s="228">
        <v>3.9</v>
      </c>
      <c r="AF98" s="228">
        <v>-0.1</v>
      </c>
      <c r="AG98" s="229">
        <v>2.3999999999999998E-3</v>
      </c>
      <c r="AH98" s="228">
        <v>13.9</v>
      </c>
      <c r="AI98" s="228">
        <v>13.9</v>
      </c>
      <c r="AJ98" s="228">
        <v>0</v>
      </c>
      <c r="AK98" s="229">
        <v>8.6999999999999994E-3</v>
      </c>
      <c r="AL98" s="228">
        <v>22.7</v>
      </c>
      <c r="AM98" s="228">
        <v>23.2</v>
      </c>
      <c r="AN98" s="228">
        <v>-0.5</v>
      </c>
      <c r="AO98" s="229">
        <v>1.4200000000000001E-2</v>
      </c>
      <c r="AP98" s="231">
        <v>1604.09</v>
      </c>
      <c r="AQ98" s="231">
        <v>1614.6</v>
      </c>
      <c r="AR98" s="228">
        <v>0</v>
      </c>
      <c r="AS98" s="230">
        <v>1455</v>
      </c>
      <c r="AT98" s="230">
        <v>1783</v>
      </c>
      <c r="AU98" s="228">
        <v>-327</v>
      </c>
      <c r="AV98" s="229">
        <v>-0.18360000000000001</v>
      </c>
      <c r="AW98" s="230">
        <v>1015</v>
      </c>
      <c r="AX98" s="230">
        <v>1299</v>
      </c>
      <c r="AY98" s="228">
        <v>-284</v>
      </c>
      <c r="AZ98" s="229">
        <v>-0.21879999999999999</v>
      </c>
      <c r="BA98" s="228">
        <v>436</v>
      </c>
      <c r="BB98" s="228">
        <v>473</v>
      </c>
      <c r="BC98" s="228">
        <v>-37</v>
      </c>
      <c r="BD98" s="229">
        <v>-7.8E-2</v>
      </c>
      <c r="BE98" s="228">
        <v>5</v>
      </c>
      <c r="BF98" s="228">
        <v>11</v>
      </c>
      <c r="BG98" s="228">
        <v>-6</v>
      </c>
      <c r="BH98" s="229">
        <v>-0.5575</v>
      </c>
      <c r="BI98" s="230">
        <v>3541</v>
      </c>
      <c r="BJ98" s="230">
        <v>3431</v>
      </c>
      <c r="BK98" s="228">
        <v>110</v>
      </c>
      <c r="BL98" s="229">
        <v>3.2099999999999997E-2</v>
      </c>
      <c r="BM98" s="230">
        <v>1911</v>
      </c>
      <c r="BN98" s="230">
        <v>2111</v>
      </c>
      <c r="BO98" s="228">
        <v>-200</v>
      </c>
      <c r="BP98" s="229">
        <v>-9.4600000000000004E-2</v>
      </c>
      <c r="BQ98" s="230">
        <v>6908</v>
      </c>
      <c r="BR98" s="230">
        <v>7324</v>
      </c>
      <c r="BS98" s="228">
        <v>-417</v>
      </c>
      <c r="BT98" s="229">
        <v>-5.6899999999999999E-2</v>
      </c>
      <c r="BU98" s="230">
        <v>4991558</v>
      </c>
      <c r="BV98" s="230">
        <v>5842021</v>
      </c>
      <c r="BW98" s="230">
        <v>-850463</v>
      </c>
      <c r="BX98" s="229">
        <v>-0.14560000000000001</v>
      </c>
      <c r="BY98" s="230">
        <v>11355</v>
      </c>
      <c r="BZ98" s="230">
        <v>11186</v>
      </c>
      <c r="CA98" s="228">
        <v>169</v>
      </c>
      <c r="CB98" s="229">
        <v>1.5100000000000001E-2</v>
      </c>
      <c r="CC98" s="230">
        <v>9588</v>
      </c>
      <c r="CD98" s="230">
        <v>9804</v>
      </c>
      <c r="CE98" s="228">
        <v>-217</v>
      </c>
      <c r="CF98" s="229">
        <v>-2.2100000000000002E-2</v>
      </c>
      <c r="CG98" s="230">
        <v>1711</v>
      </c>
      <c r="CH98" s="230">
        <v>1326</v>
      </c>
      <c r="CI98" s="228">
        <v>385</v>
      </c>
      <c r="CJ98" s="229">
        <v>0.29039999999999999</v>
      </c>
      <c r="CK98" s="228">
        <v>56</v>
      </c>
      <c r="CL98" s="228">
        <v>55</v>
      </c>
      <c r="CM98" s="228">
        <v>1</v>
      </c>
      <c r="CN98" s="229">
        <v>1.04E-2</v>
      </c>
      <c r="CO98" s="230">
        <v>4468</v>
      </c>
      <c r="CP98" s="230">
        <v>4326</v>
      </c>
      <c r="CQ98" s="228">
        <v>142</v>
      </c>
      <c r="CR98" s="229">
        <v>3.2899999999999999E-2</v>
      </c>
      <c r="CS98" s="230">
        <v>2889</v>
      </c>
      <c r="CT98" s="230">
        <v>2773</v>
      </c>
      <c r="CU98" s="228">
        <v>116</v>
      </c>
      <c r="CV98" s="229">
        <v>4.1700000000000001E-2</v>
      </c>
      <c r="CW98" s="230">
        <v>18712</v>
      </c>
      <c r="CX98" s="230">
        <v>18285</v>
      </c>
      <c r="CY98" s="228">
        <v>427</v>
      </c>
      <c r="CZ98" s="229">
        <v>2.3400000000000001E-2</v>
      </c>
      <c r="DA98" s="228">
        <v>17.12</v>
      </c>
      <c r="DB98" s="228">
        <v>18.079999999999998</v>
      </c>
      <c r="DC98" s="228">
        <v>-0.96</v>
      </c>
      <c r="DD98" s="228">
        <v>-0.96</v>
      </c>
      <c r="DE98" s="228">
        <v>28.4</v>
      </c>
      <c r="DF98" s="228">
        <v>28.46</v>
      </c>
      <c r="DG98" s="228">
        <v>-11.28</v>
      </c>
      <c r="DH98" s="228">
        <v>-0.06</v>
      </c>
      <c r="DI98" s="228">
        <v>16.32</v>
      </c>
      <c r="DJ98" s="228">
        <v>17.59</v>
      </c>
      <c r="DK98" s="228">
        <v>-1.27</v>
      </c>
      <c r="DL98" s="228">
        <v>-1.27</v>
      </c>
      <c r="DM98" s="228">
        <v>18.61</v>
      </c>
      <c r="DN98" s="228">
        <v>18.89</v>
      </c>
      <c r="DO98" s="228">
        <v>-0.28000000000000003</v>
      </c>
      <c r="DP98" s="228">
        <v>-0.28000000000000003</v>
      </c>
      <c r="DQ98" s="228">
        <v>0.65</v>
      </c>
      <c r="DR98" s="228">
        <v>0.64</v>
      </c>
      <c r="DS98" s="228">
        <v>0.01</v>
      </c>
      <c r="DT98" s="229">
        <v>1.5599999999999999E-2</v>
      </c>
      <c r="DU98" s="231">
        <v>1600</v>
      </c>
      <c r="DV98" s="231">
        <v>1600</v>
      </c>
      <c r="DW98" s="228">
        <v>0.54</v>
      </c>
      <c r="DX98" s="228">
        <v>0.62</v>
      </c>
      <c r="DY98" s="228">
        <v>-0.08</v>
      </c>
      <c r="DZ98" s="229">
        <v>-0.129</v>
      </c>
      <c r="EA98" s="229">
        <v>0.15559999999999999</v>
      </c>
      <c r="EB98" s="230">
        <v>8604000</v>
      </c>
      <c r="EC98" s="229">
        <v>6.3E-3</v>
      </c>
      <c r="ED98" s="229">
        <v>0.15559999999999999</v>
      </c>
      <c r="EE98" s="228">
        <v>10.51</v>
      </c>
      <c r="EF98" s="229">
        <v>6.6E-3</v>
      </c>
      <c r="EG98" s="230">
        <v>2592673</v>
      </c>
      <c r="EH98" s="230">
        <v>3009285</v>
      </c>
      <c r="EI98" s="229">
        <v>-0.1384</v>
      </c>
      <c r="EJ98" s="229">
        <v>0.51939999999999997</v>
      </c>
      <c r="EK98" s="231">
        <v>3628.19</v>
      </c>
      <c r="EL98" s="231">
        <v>1883.03</v>
      </c>
      <c r="EM98" s="231">
        <v>1456.79</v>
      </c>
      <c r="EN98" s="228">
        <v>179.74</v>
      </c>
      <c r="EO98" s="231">
        <v>6968.01</v>
      </c>
      <c r="EP98" s="231">
        <v>7362.69</v>
      </c>
      <c r="EQ98" s="228">
        <v>-394.68</v>
      </c>
      <c r="ER98" s="229">
        <v>-5.3600000000000002E-2</v>
      </c>
      <c r="ES98" s="231">
        <v>4537.09</v>
      </c>
      <c r="ET98" s="231">
        <v>2759.3</v>
      </c>
      <c r="EU98" s="231">
        <v>11366.29</v>
      </c>
      <c r="EV98" s="231">
        <v>341789333</v>
      </c>
      <c r="EW98" s="231">
        <v>18662.68</v>
      </c>
      <c r="EX98" s="231">
        <v>18170.27</v>
      </c>
      <c r="EY98" s="228">
        <v>492.41</v>
      </c>
      <c r="EZ98" s="229">
        <v>2.7099999999999999E-2</v>
      </c>
      <c r="FA98" s="229">
        <v>0.34089999999999998</v>
      </c>
      <c r="FB98" s="227" t="s">
        <v>555</v>
      </c>
      <c r="FC98">
        <f t="shared" si="1"/>
        <v>1767</v>
      </c>
    </row>
    <row r="99" spans="1:159" ht="17.25" thickBot="1" x14ac:dyDescent="0.3">
      <c r="A99" s="226">
        <v>46008</v>
      </c>
      <c r="B99" s="227" t="s">
        <v>161</v>
      </c>
      <c r="C99" s="227" t="s">
        <v>670</v>
      </c>
      <c r="D99" s="228">
        <v>3272</v>
      </c>
      <c r="E99" s="228">
        <v>13</v>
      </c>
      <c r="F99" s="228">
        <v>126.43</v>
      </c>
      <c r="G99" s="228">
        <v>127.2</v>
      </c>
      <c r="H99" s="228">
        <v>-0.77</v>
      </c>
      <c r="I99" s="229">
        <v>-6.1000000000000004E-3</v>
      </c>
      <c r="J99" s="228">
        <v>126.04</v>
      </c>
      <c r="K99" s="228">
        <v>126.92</v>
      </c>
      <c r="L99" s="228">
        <v>-0.88</v>
      </c>
      <c r="M99" s="229">
        <v>-6.8999999999999999E-3</v>
      </c>
      <c r="N99" s="228">
        <v>126.43</v>
      </c>
      <c r="O99" s="228">
        <v>127.2</v>
      </c>
      <c r="P99" s="228">
        <v>-0.77</v>
      </c>
      <c r="Q99" s="229">
        <v>-6.1000000000000004E-3</v>
      </c>
      <c r="R99" s="228">
        <v>127.1</v>
      </c>
      <c r="S99" s="228">
        <v>127.94</v>
      </c>
      <c r="T99" s="228">
        <v>-0.84</v>
      </c>
      <c r="U99" s="229">
        <v>-6.6E-3</v>
      </c>
      <c r="V99" s="228">
        <v>127.36</v>
      </c>
      <c r="W99" s="228">
        <v>128.72999999999999</v>
      </c>
      <c r="X99" s="228">
        <v>-1.37</v>
      </c>
      <c r="Y99" s="229">
        <v>-1.06E-2</v>
      </c>
      <c r="Z99" s="228">
        <v>0.39</v>
      </c>
      <c r="AA99" s="228">
        <v>0.28000000000000003</v>
      </c>
      <c r="AB99" s="228">
        <v>0.11</v>
      </c>
      <c r="AC99" s="229">
        <v>3.0999999999999999E-3</v>
      </c>
      <c r="AD99" s="228">
        <v>0.39</v>
      </c>
      <c r="AE99" s="228">
        <v>0.28000000000000003</v>
      </c>
      <c r="AF99" s="228">
        <v>0.11</v>
      </c>
      <c r="AG99" s="229">
        <v>3.0999999999999999E-3</v>
      </c>
      <c r="AH99" s="228">
        <v>1.06</v>
      </c>
      <c r="AI99" s="228">
        <v>1.02</v>
      </c>
      <c r="AJ99" s="228">
        <v>0.04</v>
      </c>
      <c r="AK99" s="229">
        <v>8.3999999999999995E-3</v>
      </c>
      <c r="AL99" s="228">
        <v>1.32</v>
      </c>
      <c r="AM99" s="228">
        <v>1.81</v>
      </c>
      <c r="AN99" s="228">
        <v>-0.49</v>
      </c>
      <c r="AO99" s="229">
        <v>1.0500000000000001E-2</v>
      </c>
      <c r="AP99" s="228">
        <v>126.74</v>
      </c>
      <c r="AQ99" s="228">
        <v>127.39</v>
      </c>
      <c r="AR99" s="228">
        <v>0</v>
      </c>
      <c r="AS99" s="228">
        <v>95</v>
      </c>
      <c r="AT99" s="228">
        <v>106</v>
      </c>
      <c r="AU99" s="228">
        <v>-11</v>
      </c>
      <c r="AV99" s="229">
        <v>-0.1057</v>
      </c>
      <c r="AW99" s="228">
        <v>84</v>
      </c>
      <c r="AX99" s="228">
        <v>97</v>
      </c>
      <c r="AY99" s="228">
        <v>-13</v>
      </c>
      <c r="AZ99" s="229">
        <v>-0.1361</v>
      </c>
      <c r="BA99" s="228">
        <v>11</v>
      </c>
      <c r="BB99" s="228">
        <v>9</v>
      </c>
      <c r="BC99" s="228">
        <v>2</v>
      </c>
      <c r="BD99" s="229">
        <v>0.2329</v>
      </c>
      <c r="BE99" s="228">
        <v>0</v>
      </c>
      <c r="BF99" s="228">
        <v>0</v>
      </c>
      <c r="BG99" s="228">
        <v>0</v>
      </c>
      <c r="BH99" s="229">
        <v>-0.57140000000000002</v>
      </c>
      <c r="BI99" s="228">
        <v>129</v>
      </c>
      <c r="BJ99" s="228">
        <v>198</v>
      </c>
      <c r="BK99" s="228">
        <v>-69</v>
      </c>
      <c r="BL99" s="229">
        <v>-0.34839999999999999</v>
      </c>
      <c r="BM99" s="228">
        <v>77</v>
      </c>
      <c r="BN99" s="228">
        <v>99</v>
      </c>
      <c r="BO99" s="228">
        <v>-22</v>
      </c>
      <c r="BP99" s="229">
        <v>-0.22320000000000001</v>
      </c>
      <c r="BQ99" s="228">
        <v>301</v>
      </c>
      <c r="BR99" s="228">
        <v>403</v>
      </c>
      <c r="BS99" s="228">
        <v>-102</v>
      </c>
      <c r="BT99" s="229">
        <v>-0.25380000000000003</v>
      </c>
      <c r="BU99" s="230">
        <v>10257293</v>
      </c>
      <c r="BV99" s="230">
        <v>6165623</v>
      </c>
      <c r="BW99" s="230">
        <v>4091670</v>
      </c>
      <c r="BX99" s="229">
        <v>0.66359999999999997</v>
      </c>
      <c r="BY99" s="230">
        <v>1116</v>
      </c>
      <c r="BZ99" s="230">
        <v>1123</v>
      </c>
      <c r="CA99" s="228">
        <v>-7</v>
      </c>
      <c r="CB99" s="229">
        <v>-6.0000000000000001E-3</v>
      </c>
      <c r="CC99" s="230">
        <v>1034</v>
      </c>
      <c r="CD99" s="230">
        <v>1044</v>
      </c>
      <c r="CE99" s="228">
        <v>-10</v>
      </c>
      <c r="CF99" s="229">
        <v>-9.1999999999999998E-3</v>
      </c>
      <c r="CG99" s="228">
        <v>72</v>
      </c>
      <c r="CH99" s="228">
        <v>69</v>
      </c>
      <c r="CI99" s="228">
        <v>3</v>
      </c>
      <c r="CJ99" s="229">
        <v>4.0500000000000001E-2</v>
      </c>
      <c r="CK99" s="228">
        <v>10</v>
      </c>
      <c r="CL99" s="228">
        <v>10</v>
      </c>
      <c r="CM99" s="228">
        <v>0</v>
      </c>
      <c r="CN99" s="229">
        <v>4.4999999999999997E-3</v>
      </c>
      <c r="CO99" s="228">
        <v>588</v>
      </c>
      <c r="CP99" s="228">
        <v>590</v>
      </c>
      <c r="CQ99" s="228">
        <v>-2</v>
      </c>
      <c r="CR99" s="229">
        <v>-2.8E-3</v>
      </c>
      <c r="CS99" s="228">
        <v>287</v>
      </c>
      <c r="CT99" s="228">
        <v>296</v>
      </c>
      <c r="CU99" s="228">
        <v>-9</v>
      </c>
      <c r="CV99" s="229">
        <v>-2.9700000000000001E-2</v>
      </c>
      <c r="CW99" s="230">
        <v>1991</v>
      </c>
      <c r="CX99" s="230">
        <v>2008</v>
      </c>
      <c r="CY99" s="228">
        <v>-17</v>
      </c>
      <c r="CZ99" s="229">
        <v>-8.5000000000000006E-3</v>
      </c>
      <c r="DA99" s="228">
        <v>31.19</v>
      </c>
      <c r="DB99" s="228">
        <v>31.13</v>
      </c>
      <c r="DC99" s="228">
        <v>0.06</v>
      </c>
      <c r="DD99" s="228">
        <v>0.06</v>
      </c>
      <c r="DE99" s="228">
        <v>53.1</v>
      </c>
      <c r="DF99" s="228">
        <v>53.22</v>
      </c>
      <c r="DG99" s="228">
        <v>-21.91</v>
      </c>
      <c r="DH99" s="228">
        <v>-0.12</v>
      </c>
      <c r="DI99" s="228">
        <v>32.22</v>
      </c>
      <c r="DJ99" s="228">
        <v>32.020000000000003</v>
      </c>
      <c r="DK99" s="228">
        <v>0.2</v>
      </c>
      <c r="DL99" s="228">
        <v>0.2</v>
      </c>
      <c r="DM99" s="228">
        <v>29.46</v>
      </c>
      <c r="DN99" s="228">
        <v>29.35</v>
      </c>
      <c r="DO99" s="228">
        <v>0.11</v>
      </c>
      <c r="DP99" s="228">
        <v>0.11</v>
      </c>
      <c r="DQ99" s="228">
        <v>0.49</v>
      </c>
      <c r="DR99" s="228">
        <v>0.5</v>
      </c>
      <c r="DS99" s="228">
        <v>-0.01</v>
      </c>
      <c r="DT99" s="229">
        <v>-0.02</v>
      </c>
      <c r="DU99" s="228">
        <v>140</v>
      </c>
      <c r="DV99" s="228">
        <v>120</v>
      </c>
      <c r="DW99" s="228">
        <v>0.6</v>
      </c>
      <c r="DX99" s="228">
        <v>0.5</v>
      </c>
      <c r="DY99" s="228">
        <v>0.1</v>
      </c>
      <c r="DZ99" s="229">
        <v>0.2</v>
      </c>
      <c r="EA99" s="229">
        <v>7.3499999999999996E-2</v>
      </c>
      <c r="EB99" s="230">
        <v>6259825</v>
      </c>
      <c r="EC99" s="229">
        <v>5.3E-3</v>
      </c>
      <c r="ED99" s="229">
        <v>7.3499999999999996E-2</v>
      </c>
      <c r="EE99" s="228">
        <v>0.65</v>
      </c>
      <c r="EF99" s="229">
        <v>5.1000000000000004E-3</v>
      </c>
      <c r="EG99" s="230">
        <v>7708949</v>
      </c>
      <c r="EH99" s="230">
        <v>2498025</v>
      </c>
      <c r="EI99" s="229">
        <v>2.0859999999999999</v>
      </c>
      <c r="EJ99" s="229">
        <v>0.75160000000000005</v>
      </c>
      <c r="EK99" s="228">
        <v>139.05000000000001</v>
      </c>
      <c r="EL99" s="228">
        <v>77.69</v>
      </c>
      <c r="EM99" s="228">
        <v>96.16</v>
      </c>
      <c r="EN99" s="228">
        <v>40.42</v>
      </c>
      <c r="EO99" s="228">
        <v>312.89999999999998</v>
      </c>
      <c r="EP99" s="228">
        <v>415.3</v>
      </c>
      <c r="EQ99" s="228">
        <v>-102.4</v>
      </c>
      <c r="ER99" s="229">
        <v>-0.24660000000000001</v>
      </c>
      <c r="ES99" s="228">
        <v>651.04999999999995</v>
      </c>
      <c r="ET99" s="228">
        <v>293.18</v>
      </c>
      <c r="EU99" s="231">
        <v>1116.44</v>
      </c>
      <c r="EV99" s="231">
        <v>144708707</v>
      </c>
      <c r="EW99" s="231">
        <v>2060.67</v>
      </c>
      <c r="EX99" s="231">
        <v>2083.86</v>
      </c>
      <c r="EY99" s="228">
        <v>-23.19</v>
      </c>
      <c r="EZ99" s="229">
        <v>-1.11E-2</v>
      </c>
      <c r="FA99" s="229">
        <v>1.0884</v>
      </c>
      <c r="FB99" s="227" t="s">
        <v>568</v>
      </c>
      <c r="FC99">
        <f t="shared" si="1"/>
        <v>82</v>
      </c>
    </row>
    <row r="100" spans="1:159" ht="17.25" thickBot="1" x14ac:dyDescent="0.3">
      <c r="A100" s="226">
        <v>46008</v>
      </c>
      <c r="B100" s="227" t="s">
        <v>193</v>
      </c>
      <c r="C100" s="227" t="s">
        <v>241</v>
      </c>
      <c r="D100" s="228">
        <v>4875</v>
      </c>
      <c r="E100" s="228">
        <v>13</v>
      </c>
      <c r="F100" s="228">
        <v>168.64</v>
      </c>
      <c r="G100" s="228">
        <v>168.07</v>
      </c>
      <c r="H100" s="228">
        <v>0.56999999999999995</v>
      </c>
      <c r="I100" s="229">
        <v>3.3999999999999998E-3</v>
      </c>
      <c r="J100" s="228">
        <v>168.16</v>
      </c>
      <c r="K100" s="228">
        <v>167.74</v>
      </c>
      <c r="L100" s="228">
        <v>0.42</v>
      </c>
      <c r="M100" s="229">
        <v>2.5000000000000001E-3</v>
      </c>
      <c r="N100" s="228">
        <v>168.64</v>
      </c>
      <c r="O100" s="228">
        <v>168.07</v>
      </c>
      <c r="P100" s="228">
        <v>0.56999999999999995</v>
      </c>
      <c r="Q100" s="229">
        <v>3.3999999999999998E-3</v>
      </c>
      <c r="R100" s="228">
        <v>169.56</v>
      </c>
      <c r="S100" s="228">
        <v>168.92</v>
      </c>
      <c r="T100" s="228">
        <v>0.64</v>
      </c>
      <c r="U100" s="229">
        <v>3.8E-3</v>
      </c>
      <c r="V100" s="228">
        <v>170.17</v>
      </c>
      <c r="W100" s="228">
        <v>169.81</v>
      </c>
      <c r="X100" s="228">
        <v>0.36</v>
      </c>
      <c r="Y100" s="229">
        <v>2.0999999999999999E-3</v>
      </c>
      <c r="Z100" s="228">
        <v>0.48</v>
      </c>
      <c r="AA100" s="228">
        <v>0.33</v>
      </c>
      <c r="AB100" s="228">
        <v>0.15</v>
      </c>
      <c r="AC100" s="229">
        <v>2.8999999999999998E-3</v>
      </c>
      <c r="AD100" s="228">
        <v>0.48</v>
      </c>
      <c r="AE100" s="228">
        <v>0.33</v>
      </c>
      <c r="AF100" s="228">
        <v>0.15</v>
      </c>
      <c r="AG100" s="229">
        <v>2.8999999999999998E-3</v>
      </c>
      <c r="AH100" s="228">
        <v>1.4</v>
      </c>
      <c r="AI100" s="228">
        <v>1.18</v>
      </c>
      <c r="AJ100" s="228">
        <v>0.22</v>
      </c>
      <c r="AK100" s="229">
        <v>8.3000000000000001E-3</v>
      </c>
      <c r="AL100" s="228">
        <v>2.0099999999999998</v>
      </c>
      <c r="AM100" s="228">
        <v>2.0699999999999998</v>
      </c>
      <c r="AN100" s="228">
        <v>-0.06</v>
      </c>
      <c r="AO100" s="229">
        <v>1.2E-2</v>
      </c>
      <c r="AP100" s="228">
        <v>168.67</v>
      </c>
      <c r="AQ100" s="228">
        <v>169.69</v>
      </c>
      <c r="AR100" s="228">
        <v>0</v>
      </c>
      <c r="AS100" s="228">
        <v>326</v>
      </c>
      <c r="AT100" s="228">
        <v>473</v>
      </c>
      <c r="AU100" s="228">
        <v>-147</v>
      </c>
      <c r="AV100" s="229">
        <v>-0.31130000000000002</v>
      </c>
      <c r="AW100" s="228">
        <v>291</v>
      </c>
      <c r="AX100" s="228">
        <v>414</v>
      </c>
      <c r="AY100" s="228">
        <v>-122</v>
      </c>
      <c r="AZ100" s="229">
        <v>-0.29599999999999999</v>
      </c>
      <c r="BA100" s="228">
        <v>31</v>
      </c>
      <c r="BB100" s="228">
        <v>55</v>
      </c>
      <c r="BC100" s="228">
        <v>-24</v>
      </c>
      <c r="BD100" s="229">
        <v>-0.43090000000000001</v>
      </c>
      <c r="BE100" s="228">
        <v>3</v>
      </c>
      <c r="BF100" s="228">
        <v>4</v>
      </c>
      <c r="BG100" s="228">
        <v>-1</v>
      </c>
      <c r="BH100" s="229">
        <v>-0.26419999999999999</v>
      </c>
      <c r="BI100" s="230">
        <v>1614</v>
      </c>
      <c r="BJ100" s="230">
        <v>2127</v>
      </c>
      <c r="BK100" s="228">
        <v>-513</v>
      </c>
      <c r="BL100" s="229">
        <v>-0.24099999999999999</v>
      </c>
      <c r="BM100" s="228">
        <v>935</v>
      </c>
      <c r="BN100" s="230">
        <v>1049</v>
      </c>
      <c r="BO100" s="228">
        <v>-113</v>
      </c>
      <c r="BP100" s="229">
        <v>-0.1081</v>
      </c>
      <c r="BQ100" s="230">
        <v>2875</v>
      </c>
      <c r="BR100" s="230">
        <v>3648</v>
      </c>
      <c r="BS100" s="228">
        <v>-773</v>
      </c>
      <c r="BT100" s="229">
        <v>-0.21190000000000001</v>
      </c>
      <c r="BU100" s="230">
        <v>18164482</v>
      </c>
      <c r="BV100" s="230">
        <v>28365313</v>
      </c>
      <c r="BW100" s="230">
        <v>-10200831</v>
      </c>
      <c r="BX100" s="229">
        <v>-0.35959999999999998</v>
      </c>
      <c r="BY100" s="230">
        <v>1632</v>
      </c>
      <c r="BZ100" s="230">
        <v>1611</v>
      </c>
      <c r="CA100" s="228">
        <v>21</v>
      </c>
      <c r="CB100" s="229">
        <v>1.3299999999999999E-2</v>
      </c>
      <c r="CC100" s="230">
        <v>1534</v>
      </c>
      <c r="CD100" s="230">
        <v>1519</v>
      </c>
      <c r="CE100" s="228">
        <v>15</v>
      </c>
      <c r="CF100" s="229">
        <v>9.9000000000000008E-3</v>
      </c>
      <c r="CG100" s="228">
        <v>87</v>
      </c>
      <c r="CH100" s="228">
        <v>81</v>
      </c>
      <c r="CI100" s="228">
        <v>6</v>
      </c>
      <c r="CJ100" s="229">
        <v>7.9399999999999998E-2</v>
      </c>
      <c r="CK100" s="228">
        <v>12</v>
      </c>
      <c r="CL100" s="228">
        <v>12</v>
      </c>
      <c r="CM100" s="228">
        <v>0</v>
      </c>
      <c r="CN100" s="229">
        <v>0</v>
      </c>
      <c r="CO100" s="230">
        <v>1066</v>
      </c>
      <c r="CP100" s="230">
        <v>1107</v>
      </c>
      <c r="CQ100" s="228">
        <v>-41</v>
      </c>
      <c r="CR100" s="229">
        <v>-3.7400000000000003E-2</v>
      </c>
      <c r="CS100" s="228">
        <v>705</v>
      </c>
      <c r="CT100" s="228">
        <v>644</v>
      </c>
      <c r="CU100" s="228">
        <v>61</v>
      </c>
      <c r="CV100" s="229">
        <v>9.4500000000000001E-2</v>
      </c>
      <c r="CW100" s="230">
        <v>3403</v>
      </c>
      <c r="CX100" s="230">
        <v>3362</v>
      </c>
      <c r="CY100" s="228">
        <v>41</v>
      </c>
      <c r="CZ100" s="229">
        <v>1.2200000000000001E-2</v>
      </c>
      <c r="DA100" s="228">
        <v>22.08</v>
      </c>
      <c r="DB100" s="228">
        <v>23.03</v>
      </c>
      <c r="DC100" s="228">
        <v>-0.95</v>
      </c>
      <c r="DD100" s="228">
        <v>-0.95</v>
      </c>
      <c r="DE100" s="228">
        <v>31.05</v>
      </c>
      <c r="DF100" s="228">
        <v>31.12</v>
      </c>
      <c r="DG100" s="228">
        <v>-8.9700000000000006</v>
      </c>
      <c r="DH100" s="228">
        <v>-7.0000000000000007E-2</v>
      </c>
      <c r="DI100" s="228">
        <v>21.72</v>
      </c>
      <c r="DJ100" s="228">
        <v>23.13</v>
      </c>
      <c r="DK100" s="228">
        <v>-1.41</v>
      </c>
      <c r="DL100" s="228">
        <v>-1.41</v>
      </c>
      <c r="DM100" s="228">
        <v>22.68</v>
      </c>
      <c r="DN100" s="228">
        <v>22.83</v>
      </c>
      <c r="DO100" s="228">
        <v>-0.15</v>
      </c>
      <c r="DP100" s="228">
        <v>-0.15</v>
      </c>
      <c r="DQ100" s="228">
        <v>0.66</v>
      </c>
      <c r="DR100" s="228">
        <v>0.57999999999999996</v>
      </c>
      <c r="DS100" s="228">
        <v>0.08</v>
      </c>
      <c r="DT100" s="229">
        <v>0.13789999999999999</v>
      </c>
      <c r="DU100" s="228">
        <v>170</v>
      </c>
      <c r="DV100" s="228">
        <v>160</v>
      </c>
      <c r="DW100" s="228">
        <v>0.57999999999999996</v>
      </c>
      <c r="DX100" s="228">
        <v>0.49</v>
      </c>
      <c r="DY100" s="228">
        <v>0.09</v>
      </c>
      <c r="DZ100" s="229">
        <v>0.1837</v>
      </c>
      <c r="EA100" s="229">
        <v>6.0400000000000002E-2</v>
      </c>
      <c r="EB100" s="230">
        <v>5469750</v>
      </c>
      <c r="EC100" s="229">
        <v>5.4999999999999997E-3</v>
      </c>
      <c r="ED100" s="229">
        <v>6.0400000000000002E-2</v>
      </c>
      <c r="EE100" s="228">
        <v>1.02</v>
      </c>
      <c r="EF100" s="229">
        <v>6.0000000000000001E-3</v>
      </c>
      <c r="EG100" s="230">
        <v>10362553</v>
      </c>
      <c r="EH100" s="230">
        <v>15298721</v>
      </c>
      <c r="EI100" s="229">
        <v>-0.32269999999999999</v>
      </c>
      <c r="EJ100" s="229">
        <v>0.57050000000000001</v>
      </c>
      <c r="EK100" s="231">
        <v>1659.93</v>
      </c>
      <c r="EL100" s="228">
        <v>923.06</v>
      </c>
      <c r="EM100" s="228">
        <v>325.83999999999997</v>
      </c>
      <c r="EN100" s="228">
        <v>45.45</v>
      </c>
      <c r="EO100" s="231">
        <v>2908.83</v>
      </c>
      <c r="EP100" s="231">
        <v>3694.63</v>
      </c>
      <c r="EQ100" s="228">
        <v>-785.8</v>
      </c>
      <c r="ER100" s="229">
        <v>-0.2127</v>
      </c>
      <c r="ES100" s="231">
        <v>1094.05</v>
      </c>
      <c r="ET100" s="228">
        <v>675.75</v>
      </c>
      <c r="EU100" s="231">
        <v>1632.98</v>
      </c>
      <c r="EV100" s="231">
        <v>684903861</v>
      </c>
      <c r="EW100" s="231">
        <v>3402.78</v>
      </c>
      <c r="EX100" s="231">
        <v>3356.63</v>
      </c>
      <c r="EY100" s="228">
        <v>46.15</v>
      </c>
      <c r="EZ100" s="229">
        <v>1.37E-2</v>
      </c>
      <c r="FA100" s="229">
        <v>0.29459999999999997</v>
      </c>
      <c r="FB100" s="227" t="s">
        <v>555</v>
      </c>
      <c r="FC100">
        <f t="shared" si="1"/>
        <v>98</v>
      </c>
    </row>
    <row r="101" spans="1:159" ht="17.25" thickBot="1" x14ac:dyDescent="0.3">
      <c r="A101" s="226">
        <v>46008</v>
      </c>
      <c r="B101" s="227" t="s">
        <v>215</v>
      </c>
      <c r="C101" s="227" t="s">
        <v>490</v>
      </c>
      <c r="D101" s="228">
        <v>875</v>
      </c>
      <c r="E101" s="228">
        <v>13</v>
      </c>
      <c r="F101" s="228">
        <v>667.25</v>
      </c>
      <c r="G101" s="228">
        <v>672.5</v>
      </c>
      <c r="H101" s="228">
        <v>-5.25</v>
      </c>
      <c r="I101" s="229">
        <v>-7.7999999999999996E-3</v>
      </c>
      <c r="J101" s="228">
        <v>666.1</v>
      </c>
      <c r="K101" s="228">
        <v>671.05</v>
      </c>
      <c r="L101" s="228">
        <v>-4.95</v>
      </c>
      <c r="M101" s="229">
        <v>-7.4000000000000003E-3</v>
      </c>
      <c r="N101" s="228">
        <v>667.25</v>
      </c>
      <c r="O101" s="228">
        <v>672.5</v>
      </c>
      <c r="P101" s="228">
        <v>-5.25</v>
      </c>
      <c r="Q101" s="229">
        <v>-7.7999999999999996E-3</v>
      </c>
      <c r="R101" s="228">
        <v>670.55</v>
      </c>
      <c r="S101" s="228">
        <v>675.95</v>
      </c>
      <c r="T101" s="228">
        <v>-5.4</v>
      </c>
      <c r="U101" s="229">
        <v>-8.0000000000000002E-3</v>
      </c>
      <c r="V101" s="228">
        <v>671.25</v>
      </c>
      <c r="W101" s="228">
        <v>677</v>
      </c>
      <c r="X101" s="228">
        <v>-5.75</v>
      </c>
      <c r="Y101" s="229">
        <v>-8.5000000000000006E-3</v>
      </c>
      <c r="Z101" s="228">
        <v>1.1499999999999999</v>
      </c>
      <c r="AA101" s="228">
        <v>1.45</v>
      </c>
      <c r="AB101" s="228">
        <v>-0.3</v>
      </c>
      <c r="AC101" s="229">
        <v>1.6999999999999999E-3</v>
      </c>
      <c r="AD101" s="228">
        <v>1.1499999999999999</v>
      </c>
      <c r="AE101" s="228">
        <v>1.45</v>
      </c>
      <c r="AF101" s="228">
        <v>-0.3</v>
      </c>
      <c r="AG101" s="229">
        <v>1.6999999999999999E-3</v>
      </c>
      <c r="AH101" s="228">
        <v>4.45</v>
      </c>
      <c r="AI101" s="228">
        <v>4.9000000000000004</v>
      </c>
      <c r="AJ101" s="228">
        <v>-0.45</v>
      </c>
      <c r="AK101" s="229">
        <v>6.7000000000000002E-3</v>
      </c>
      <c r="AL101" s="228">
        <v>5.15</v>
      </c>
      <c r="AM101" s="228">
        <v>5.95</v>
      </c>
      <c r="AN101" s="228">
        <v>-0.8</v>
      </c>
      <c r="AO101" s="229">
        <v>7.7000000000000002E-3</v>
      </c>
      <c r="AP101" s="228">
        <v>668.66</v>
      </c>
      <c r="AQ101" s="228">
        <v>671.77</v>
      </c>
      <c r="AR101" s="228">
        <v>0</v>
      </c>
      <c r="AS101" s="228">
        <v>105</v>
      </c>
      <c r="AT101" s="228">
        <v>96</v>
      </c>
      <c r="AU101" s="228">
        <v>9</v>
      </c>
      <c r="AV101" s="229">
        <v>9.0499999999999997E-2</v>
      </c>
      <c r="AW101" s="228">
        <v>74</v>
      </c>
      <c r="AX101" s="228">
        <v>68</v>
      </c>
      <c r="AY101" s="228">
        <v>6</v>
      </c>
      <c r="AZ101" s="229">
        <v>8.72E-2</v>
      </c>
      <c r="BA101" s="228">
        <v>25</v>
      </c>
      <c r="BB101" s="228">
        <v>20</v>
      </c>
      <c r="BC101" s="228">
        <v>5</v>
      </c>
      <c r="BD101" s="229">
        <v>0.23119999999999999</v>
      </c>
      <c r="BE101" s="228">
        <v>6</v>
      </c>
      <c r="BF101" s="228">
        <v>8</v>
      </c>
      <c r="BG101" s="228">
        <v>-2</v>
      </c>
      <c r="BH101" s="229">
        <v>-0.25380000000000003</v>
      </c>
      <c r="BI101" s="228">
        <v>360</v>
      </c>
      <c r="BJ101" s="228">
        <v>237</v>
      </c>
      <c r="BK101" s="228">
        <v>123</v>
      </c>
      <c r="BL101" s="229">
        <v>0.51970000000000005</v>
      </c>
      <c r="BM101" s="228">
        <v>226</v>
      </c>
      <c r="BN101" s="228">
        <v>89</v>
      </c>
      <c r="BO101" s="228">
        <v>137</v>
      </c>
      <c r="BP101" s="229">
        <v>1.5324</v>
      </c>
      <c r="BQ101" s="228">
        <v>691</v>
      </c>
      <c r="BR101" s="228">
        <v>422</v>
      </c>
      <c r="BS101" s="228">
        <v>268</v>
      </c>
      <c r="BT101" s="229">
        <v>0.63590000000000002</v>
      </c>
      <c r="BU101" s="230">
        <v>449392</v>
      </c>
      <c r="BV101" s="230">
        <v>310900</v>
      </c>
      <c r="BW101" s="230">
        <v>138492</v>
      </c>
      <c r="BX101" s="229">
        <v>0.44550000000000001</v>
      </c>
      <c r="BY101" s="230">
        <v>1381</v>
      </c>
      <c r="BZ101" s="230">
        <v>1362</v>
      </c>
      <c r="CA101" s="228">
        <v>19</v>
      </c>
      <c r="CB101" s="229">
        <v>1.3599999999999999E-2</v>
      </c>
      <c r="CC101" s="230">
        <v>1219</v>
      </c>
      <c r="CD101" s="230">
        <v>1211</v>
      </c>
      <c r="CE101" s="228">
        <v>8</v>
      </c>
      <c r="CF101" s="229">
        <v>6.4000000000000003E-3</v>
      </c>
      <c r="CG101" s="228">
        <v>133</v>
      </c>
      <c r="CH101" s="228">
        <v>126</v>
      </c>
      <c r="CI101" s="228">
        <v>8</v>
      </c>
      <c r="CJ101" s="229">
        <v>6.13E-2</v>
      </c>
      <c r="CK101" s="228">
        <v>29</v>
      </c>
      <c r="CL101" s="228">
        <v>26</v>
      </c>
      <c r="CM101" s="228">
        <v>3</v>
      </c>
      <c r="CN101" s="229">
        <v>0.12189999999999999</v>
      </c>
      <c r="CO101" s="228">
        <v>693</v>
      </c>
      <c r="CP101" s="228">
        <v>688</v>
      </c>
      <c r="CQ101" s="228">
        <v>5</v>
      </c>
      <c r="CR101" s="229">
        <v>6.8999999999999999E-3</v>
      </c>
      <c r="CS101" s="228">
        <v>487</v>
      </c>
      <c r="CT101" s="228">
        <v>464</v>
      </c>
      <c r="CU101" s="228">
        <v>23</v>
      </c>
      <c r="CV101" s="229">
        <v>5.0599999999999999E-2</v>
      </c>
      <c r="CW101" s="230">
        <v>2561</v>
      </c>
      <c r="CX101" s="230">
        <v>2514</v>
      </c>
      <c r="CY101" s="228">
        <v>47</v>
      </c>
      <c r="CZ101" s="229">
        <v>1.8599999999999998E-2</v>
      </c>
      <c r="DA101" s="228">
        <v>18.05</v>
      </c>
      <c r="DB101" s="228">
        <v>18.41</v>
      </c>
      <c r="DC101" s="228">
        <v>-0.36</v>
      </c>
      <c r="DD101" s="228">
        <v>-0.36</v>
      </c>
      <c r="DE101" s="228">
        <v>29.05</v>
      </c>
      <c r="DF101" s="228">
        <v>29.1</v>
      </c>
      <c r="DG101" s="228">
        <v>-11</v>
      </c>
      <c r="DH101" s="228">
        <v>-0.05</v>
      </c>
      <c r="DI101" s="228">
        <v>18.739999999999998</v>
      </c>
      <c r="DJ101" s="228">
        <v>18.71</v>
      </c>
      <c r="DK101" s="228">
        <v>0.03</v>
      </c>
      <c r="DL101" s="228">
        <v>0.03</v>
      </c>
      <c r="DM101" s="228">
        <v>16.940000000000001</v>
      </c>
      <c r="DN101" s="228">
        <v>17.59</v>
      </c>
      <c r="DO101" s="228">
        <v>-0.65</v>
      </c>
      <c r="DP101" s="228">
        <v>-0.65</v>
      </c>
      <c r="DQ101" s="228">
        <v>0.7</v>
      </c>
      <c r="DR101" s="228">
        <v>0.67</v>
      </c>
      <c r="DS101" s="228">
        <v>0.03</v>
      </c>
      <c r="DT101" s="229">
        <v>4.48E-2</v>
      </c>
      <c r="DU101" s="228">
        <v>700</v>
      </c>
      <c r="DV101" s="228">
        <v>700</v>
      </c>
      <c r="DW101" s="228">
        <v>0.63</v>
      </c>
      <c r="DX101" s="228">
        <v>0.38</v>
      </c>
      <c r="DY101" s="228">
        <v>0.25</v>
      </c>
      <c r="DZ101" s="229">
        <v>0.65790000000000004</v>
      </c>
      <c r="EA101" s="229">
        <v>0.1176</v>
      </c>
      <c r="EB101" s="230">
        <v>2270625</v>
      </c>
      <c r="EC101" s="229">
        <v>4.8999999999999998E-3</v>
      </c>
      <c r="ED101" s="229">
        <v>0.1176</v>
      </c>
      <c r="EE101" s="228">
        <v>3.11</v>
      </c>
      <c r="EF101" s="229">
        <v>4.7000000000000002E-3</v>
      </c>
      <c r="EG101" s="230">
        <v>206993</v>
      </c>
      <c r="EH101" s="230">
        <v>176554</v>
      </c>
      <c r="EI101" s="229">
        <v>0.1724</v>
      </c>
      <c r="EJ101" s="229">
        <v>0.46060000000000001</v>
      </c>
      <c r="EK101" s="228">
        <v>372.83</v>
      </c>
      <c r="EL101" s="228">
        <v>228.54</v>
      </c>
      <c r="EM101" s="228">
        <v>105.17</v>
      </c>
      <c r="EN101" s="228">
        <v>13.6</v>
      </c>
      <c r="EO101" s="228">
        <v>706.55</v>
      </c>
      <c r="EP101" s="228">
        <v>433.2</v>
      </c>
      <c r="EQ101" s="228">
        <v>273.35000000000002</v>
      </c>
      <c r="ER101" s="229">
        <v>0.63100000000000001</v>
      </c>
      <c r="ES101" s="228">
        <v>733.08</v>
      </c>
      <c r="ET101" s="228">
        <v>501.51</v>
      </c>
      <c r="EU101" s="231">
        <v>1381.86</v>
      </c>
      <c r="EV101" s="231">
        <v>30082783</v>
      </c>
      <c r="EW101" s="231">
        <v>2616.4499999999998</v>
      </c>
      <c r="EX101" s="231">
        <v>2582.11</v>
      </c>
      <c r="EY101" s="228">
        <v>34.340000000000003</v>
      </c>
      <c r="EZ101" s="229">
        <v>1.3299999999999999E-2</v>
      </c>
      <c r="FA101" s="229">
        <v>1.2759</v>
      </c>
      <c r="FB101" s="227" t="s">
        <v>567</v>
      </c>
      <c r="FC101">
        <f t="shared" si="1"/>
        <v>162</v>
      </c>
    </row>
    <row r="102" spans="1:159" ht="17.25" thickBot="1" x14ac:dyDescent="0.3">
      <c r="A102" s="226">
        <v>46008</v>
      </c>
      <c r="B102" s="227" t="s">
        <v>175</v>
      </c>
      <c r="C102" s="227" t="s">
        <v>665</v>
      </c>
      <c r="D102" s="228">
        <v>3450</v>
      </c>
      <c r="E102" s="228">
        <v>13</v>
      </c>
      <c r="F102" s="228">
        <v>131.16999999999999</v>
      </c>
      <c r="G102" s="228">
        <v>133.68</v>
      </c>
      <c r="H102" s="228">
        <v>-2.5099999999999998</v>
      </c>
      <c r="I102" s="229">
        <v>-1.8800000000000001E-2</v>
      </c>
      <c r="J102" s="228">
        <v>131.43</v>
      </c>
      <c r="K102" s="228">
        <v>133.87</v>
      </c>
      <c r="L102" s="228">
        <v>-2.44</v>
      </c>
      <c r="M102" s="229">
        <v>-1.8200000000000001E-2</v>
      </c>
      <c r="N102" s="228">
        <v>131.16999999999999</v>
      </c>
      <c r="O102" s="228">
        <v>133.68</v>
      </c>
      <c r="P102" s="228">
        <v>-2.5099999999999998</v>
      </c>
      <c r="Q102" s="229">
        <v>-1.8800000000000001E-2</v>
      </c>
      <c r="R102" s="228">
        <v>130.66</v>
      </c>
      <c r="S102" s="228">
        <v>133.16</v>
      </c>
      <c r="T102" s="228">
        <v>-2.5</v>
      </c>
      <c r="U102" s="229">
        <v>-1.8800000000000001E-2</v>
      </c>
      <c r="V102" s="228">
        <v>130.34</v>
      </c>
      <c r="W102" s="228">
        <v>133.31</v>
      </c>
      <c r="X102" s="228">
        <v>-2.97</v>
      </c>
      <c r="Y102" s="229">
        <v>-2.23E-2</v>
      </c>
      <c r="Z102" s="228">
        <v>-0.26</v>
      </c>
      <c r="AA102" s="228">
        <v>-0.19</v>
      </c>
      <c r="AB102" s="228">
        <v>-7.0000000000000007E-2</v>
      </c>
      <c r="AC102" s="229">
        <v>-2E-3</v>
      </c>
      <c r="AD102" s="228">
        <v>-0.26</v>
      </c>
      <c r="AE102" s="228">
        <v>-0.19</v>
      </c>
      <c r="AF102" s="228">
        <v>-7.0000000000000007E-2</v>
      </c>
      <c r="AG102" s="229">
        <v>-2E-3</v>
      </c>
      <c r="AH102" s="228">
        <v>-0.77</v>
      </c>
      <c r="AI102" s="228">
        <v>-0.71</v>
      </c>
      <c r="AJ102" s="228">
        <v>-0.06</v>
      </c>
      <c r="AK102" s="229">
        <v>-5.8999999999999999E-3</v>
      </c>
      <c r="AL102" s="228">
        <v>-1.0900000000000001</v>
      </c>
      <c r="AM102" s="228">
        <v>-0.56000000000000005</v>
      </c>
      <c r="AN102" s="228">
        <v>-0.53</v>
      </c>
      <c r="AO102" s="229">
        <v>-8.3000000000000001E-3</v>
      </c>
      <c r="AP102" s="228">
        <v>132.04</v>
      </c>
      <c r="AQ102" s="228">
        <v>131.53</v>
      </c>
      <c r="AR102" s="228">
        <v>0</v>
      </c>
      <c r="AS102" s="228">
        <v>138</v>
      </c>
      <c r="AT102" s="228">
        <v>84</v>
      </c>
      <c r="AU102" s="228">
        <v>54</v>
      </c>
      <c r="AV102" s="229">
        <v>0.63629999999999998</v>
      </c>
      <c r="AW102" s="228">
        <v>90</v>
      </c>
      <c r="AX102" s="228">
        <v>61</v>
      </c>
      <c r="AY102" s="228">
        <v>29</v>
      </c>
      <c r="AZ102" s="229">
        <v>0.47189999999999999</v>
      </c>
      <c r="BA102" s="228">
        <v>46</v>
      </c>
      <c r="BB102" s="228">
        <v>21</v>
      </c>
      <c r="BC102" s="228">
        <v>24</v>
      </c>
      <c r="BD102" s="229">
        <v>1.129</v>
      </c>
      <c r="BE102" s="228">
        <v>2</v>
      </c>
      <c r="BF102" s="228">
        <v>2</v>
      </c>
      <c r="BG102" s="228">
        <v>1</v>
      </c>
      <c r="BH102" s="229">
        <v>0.35899999999999999</v>
      </c>
      <c r="BI102" s="228">
        <v>186</v>
      </c>
      <c r="BJ102" s="228">
        <v>143</v>
      </c>
      <c r="BK102" s="228">
        <v>43</v>
      </c>
      <c r="BL102" s="229">
        <v>0.30420000000000003</v>
      </c>
      <c r="BM102" s="228">
        <v>60</v>
      </c>
      <c r="BN102" s="228">
        <v>35</v>
      </c>
      <c r="BO102" s="228">
        <v>25</v>
      </c>
      <c r="BP102" s="229">
        <v>0.69130000000000003</v>
      </c>
      <c r="BQ102" s="228">
        <v>384</v>
      </c>
      <c r="BR102" s="228">
        <v>262</v>
      </c>
      <c r="BS102" s="228">
        <v>122</v>
      </c>
      <c r="BT102" s="229">
        <v>0.46329999999999999</v>
      </c>
      <c r="BU102" s="230">
        <v>4219067</v>
      </c>
      <c r="BV102" s="230">
        <v>2701104</v>
      </c>
      <c r="BW102" s="230">
        <v>1517963</v>
      </c>
      <c r="BX102" s="229">
        <v>0.56200000000000006</v>
      </c>
      <c r="BY102" s="228">
        <v>721</v>
      </c>
      <c r="BZ102" s="228">
        <v>692</v>
      </c>
      <c r="CA102" s="228">
        <v>29</v>
      </c>
      <c r="CB102" s="229">
        <v>4.1599999999999998E-2</v>
      </c>
      <c r="CC102" s="228">
        <v>546</v>
      </c>
      <c r="CD102" s="228">
        <v>535</v>
      </c>
      <c r="CE102" s="228">
        <v>10</v>
      </c>
      <c r="CF102" s="229">
        <v>1.9300000000000001E-2</v>
      </c>
      <c r="CG102" s="228">
        <v>158</v>
      </c>
      <c r="CH102" s="228">
        <v>141</v>
      </c>
      <c r="CI102" s="228">
        <v>18</v>
      </c>
      <c r="CJ102" s="229">
        <v>0.125</v>
      </c>
      <c r="CK102" s="228">
        <v>17</v>
      </c>
      <c r="CL102" s="228">
        <v>17</v>
      </c>
      <c r="CM102" s="228">
        <v>1</v>
      </c>
      <c r="CN102" s="229">
        <v>5.7500000000000002E-2</v>
      </c>
      <c r="CO102" s="228">
        <v>505</v>
      </c>
      <c r="CP102" s="228">
        <v>496</v>
      </c>
      <c r="CQ102" s="228">
        <v>9</v>
      </c>
      <c r="CR102" s="229">
        <v>1.7999999999999999E-2</v>
      </c>
      <c r="CS102" s="228">
        <v>253</v>
      </c>
      <c r="CT102" s="228">
        <v>242</v>
      </c>
      <c r="CU102" s="228">
        <v>11</v>
      </c>
      <c r="CV102" s="229">
        <v>4.3499999999999997E-2</v>
      </c>
      <c r="CW102" s="230">
        <v>1479</v>
      </c>
      <c r="CX102" s="230">
        <v>1431</v>
      </c>
      <c r="CY102" s="228">
        <v>48</v>
      </c>
      <c r="CZ102" s="229">
        <v>3.3700000000000001E-2</v>
      </c>
      <c r="DA102" s="228">
        <v>32.090000000000003</v>
      </c>
      <c r="DB102" s="228">
        <v>32.1</v>
      </c>
      <c r="DC102" s="228">
        <v>-0.01</v>
      </c>
      <c r="DD102" s="228">
        <v>-0.01</v>
      </c>
      <c r="DE102" s="228">
        <v>48.72</v>
      </c>
      <c r="DF102" s="228">
        <v>48.78</v>
      </c>
      <c r="DG102" s="228">
        <v>-16.63</v>
      </c>
      <c r="DH102" s="228">
        <v>-0.06</v>
      </c>
      <c r="DI102" s="228">
        <v>32.450000000000003</v>
      </c>
      <c r="DJ102" s="228">
        <v>32</v>
      </c>
      <c r="DK102" s="228">
        <v>0.45</v>
      </c>
      <c r="DL102" s="228">
        <v>0.45</v>
      </c>
      <c r="DM102" s="228">
        <v>30.98</v>
      </c>
      <c r="DN102" s="228">
        <v>32.54</v>
      </c>
      <c r="DO102" s="228">
        <v>-1.56</v>
      </c>
      <c r="DP102" s="228">
        <v>-1.56</v>
      </c>
      <c r="DQ102" s="228">
        <v>0.5</v>
      </c>
      <c r="DR102" s="228">
        <v>0.49</v>
      </c>
      <c r="DS102" s="228">
        <v>0.01</v>
      </c>
      <c r="DT102" s="229">
        <v>2.0400000000000001E-2</v>
      </c>
      <c r="DU102" s="228">
        <v>145</v>
      </c>
      <c r="DV102" s="228">
        <v>125</v>
      </c>
      <c r="DW102" s="228">
        <v>0.32</v>
      </c>
      <c r="DX102" s="228">
        <v>0.25</v>
      </c>
      <c r="DY102" s="228">
        <v>7.0000000000000007E-2</v>
      </c>
      <c r="DZ102" s="229">
        <v>0.28000000000000003</v>
      </c>
      <c r="EA102" s="229">
        <v>0.24340000000000001</v>
      </c>
      <c r="EB102" s="230">
        <v>11971500</v>
      </c>
      <c r="EC102" s="229">
        <v>-3.8999999999999998E-3</v>
      </c>
      <c r="ED102" s="229">
        <v>0.24340000000000001</v>
      </c>
      <c r="EE102" s="228">
        <v>-0.51</v>
      </c>
      <c r="EF102" s="229">
        <v>-3.8999999999999998E-3</v>
      </c>
      <c r="EG102" s="230">
        <v>1658638</v>
      </c>
      <c r="EH102" s="230">
        <v>1102521</v>
      </c>
      <c r="EI102" s="229">
        <v>0.50439999999999996</v>
      </c>
      <c r="EJ102" s="229">
        <v>0.3931</v>
      </c>
      <c r="EK102" s="228">
        <v>201.71</v>
      </c>
      <c r="EL102" s="228">
        <v>62.63</v>
      </c>
      <c r="EM102" s="228">
        <v>138.75</v>
      </c>
      <c r="EN102" s="228">
        <v>18.8</v>
      </c>
      <c r="EO102" s="228">
        <v>403.09</v>
      </c>
      <c r="EP102" s="228">
        <v>280.57</v>
      </c>
      <c r="EQ102" s="228">
        <v>122.52</v>
      </c>
      <c r="ER102" s="229">
        <v>0.43669999999999998</v>
      </c>
      <c r="ES102" s="228">
        <v>561.5</v>
      </c>
      <c r="ET102" s="228">
        <v>263.62</v>
      </c>
      <c r="EU102" s="228">
        <v>720.57</v>
      </c>
      <c r="EV102" s="231">
        <v>119011160</v>
      </c>
      <c r="EW102" s="231">
        <v>1545.69</v>
      </c>
      <c r="EX102" s="231">
        <v>1511.83</v>
      </c>
      <c r="EY102" s="228">
        <v>33.86</v>
      </c>
      <c r="EZ102" s="229">
        <v>2.24E-2</v>
      </c>
      <c r="FA102" s="229">
        <v>0.94769999999999999</v>
      </c>
      <c r="FB102" s="227" t="s">
        <v>567</v>
      </c>
      <c r="FC102">
        <f t="shared" si="1"/>
        <v>175</v>
      </c>
    </row>
    <row r="103" spans="1:159" ht="17.25" thickBot="1" x14ac:dyDescent="0.3">
      <c r="A103" s="226">
        <v>46008</v>
      </c>
      <c r="B103" s="227" t="s">
        <v>215</v>
      </c>
      <c r="C103" s="227" t="s">
        <v>592</v>
      </c>
      <c r="D103" s="228">
        <v>4250</v>
      </c>
      <c r="E103" s="228">
        <v>13</v>
      </c>
      <c r="F103" s="228">
        <v>111.25</v>
      </c>
      <c r="G103" s="228">
        <v>112.07</v>
      </c>
      <c r="H103" s="228">
        <v>-0.82</v>
      </c>
      <c r="I103" s="229">
        <v>-7.3000000000000001E-3</v>
      </c>
      <c r="J103" s="228">
        <v>111.08</v>
      </c>
      <c r="K103" s="228">
        <v>112.01</v>
      </c>
      <c r="L103" s="228">
        <v>-0.93</v>
      </c>
      <c r="M103" s="229">
        <v>-8.3000000000000001E-3</v>
      </c>
      <c r="N103" s="228">
        <v>111.25</v>
      </c>
      <c r="O103" s="228">
        <v>112.07</v>
      </c>
      <c r="P103" s="228">
        <v>-0.82</v>
      </c>
      <c r="Q103" s="229">
        <v>-7.3000000000000001E-3</v>
      </c>
      <c r="R103" s="228">
        <v>111.96</v>
      </c>
      <c r="S103" s="228">
        <v>112.8</v>
      </c>
      <c r="T103" s="228">
        <v>-0.84</v>
      </c>
      <c r="U103" s="229">
        <v>-7.4000000000000003E-3</v>
      </c>
      <c r="V103" s="228">
        <v>112.63</v>
      </c>
      <c r="W103" s="228">
        <v>113.4</v>
      </c>
      <c r="X103" s="228">
        <v>-0.77</v>
      </c>
      <c r="Y103" s="229">
        <v>-6.7999999999999996E-3</v>
      </c>
      <c r="Z103" s="228">
        <v>0.17</v>
      </c>
      <c r="AA103" s="228">
        <v>0.06</v>
      </c>
      <c r="AB103" s="228">
        <v>0.11</v>
      </c>
      <c r="AC103" s="229">
        <v>1.5E-3</v>
      </c>
      <c r="AD103" s="228">
        <v>0.17</v>
      </c>
      <c r="AE103" s="228">
        <v>0.06</v>
      </c>
      <c r="AF103" s="228">
        <v>0.11</v>
      </c>
      <c r="AG103" s="229">
        <v>1.5E-3</v>
      </c>
      <c r="AH103" s="228">
        <v>0.88</v>
      </c>
      <c r="AI103" s="228">
        <v>0.79</v>
      </c>
      <c r="AJ103" s="228">
        <v>0.09</v>
      </c>
      <c r="AK103" s="229">
        <v>7.9000000000000008E-3</v>
      </c>
      <c r="AL103" s="228">
        <v>1.55</v>
      </c>
      <c r="AM103" s="228">
        <v>1.39</v>
      </c>
      <c r="AN103" s="228">
        <v>0.16</v>
      </c>
      <c r="AO103" s="229">
        <v>1.4E-2</v>
      </c>
      <c r="AP103" s="228">
        <v>111.57</v>
      </c>
      <c r="AQ103" s="228">
        <v>112.11</v>
      </c>
      <c r="AR103" s="228">
        <v>0</v>
      </c>
      <c r="AS103" s="228">
        <v>60</v>
      </c>
      <c r="AT103" s="228">
        <v>55</v>
      </c>
      <c r="AU103" s="228">
        <v>5</v>
      </c>
      <c r="AV103" s="229">
        <v>0.10059999999999999</v>
      </c>
      <c r="AW103" s="228">
        <v>38</v>
      </c>
      <c r="AX103" s="228">
        <v>42</v>
      </c>
      <c r="AY103" s="228">
        <v>-4</v>
      </c>
      <c r="AZ103" s="229">
        <v>-8.5400000000000004E-2</v>
      </c>
      <c r="BA103" s="228">
        <v>19</v>
      </c>
      <c r="BB103" s="228">
        <v>11</v>
      </c>
      <c r="BC103" s="228">
        <v>8</v>
      </c>
      <c r="BD103" s="229">
        <v>0.78069999999999995</v>
      </c>
      <c r="BE103" s="228">
        <v>2</v>
      </c>
      <c r="BF103" s="228">
        <v>2</v>
      </c>
      <c r="BG103" s="228">
        <v>1</v>
      </c>
      <c r="BH103" s="229">
        <v>0.4</v>
      </c>
      <c r="BI103" s="228">
        <v>243</v>
      </c>
      <c r="BJ103" s="228">
        <v>149</v>
      </c>
      <c r="BK103" s="228">
        <v>94</v>
      </c>
      <c r="BL103" s="229">
        <v>0.63239999999999996</v>
      </c>
      <c r="BM103" s="228">
        <v>102</v>
      </c>
      <c r="BN103" s="228">
        <v>68</v>
      </c>
      <c r="BO103" s="228">
        <v>34</v>
      </c>
      <c r="BP103" s="229">
        <v>0.49480000000000002</v>
      </c>
      <c r="BQ103" s="228">
        <v>405</v>
      </c>
      <c r="BR103" s="228">
        <v>272</v>
      </c>
      <c r="BS103" s="228">
        <v>134</v>
      </c>
      <c r="BT103" s="229">
        <v>0.49120000000000003</v>
      </c>
      <c r="BU103" s="230">
        <v>5360488</v>
      </c>
      <c r="BV103" s="230">
        <v>4638315</v>
      </c>
      <c r="BW103" s="230">
        <v>722173</v>
      </c>
      <c r="BX103" s="229">
        <v>0.15570000000000001</v>
      </c>
      <c r="BY103" s="228">
        <v>534</v>
      </c>
      <c r="BZ103" s="228">
        <v>521</v>
      </c>
      <c r="CA103" s="228">
        <v>13</v>
      </c>
      <c r="CB103" s="229">
        <v>2.5100000000000001E-2</v>
      </c>
      <c r="CC103" s="228">
        <v>461</v>
      </c>
      <c r="CD103" s="228">
        <v>457</v>
      </c>
      <c r="CE103" s="228">
        <v>4</v>
      </c>
      <c r="CF103" s="229">
        <v>9.4000000000000004E-3</v>
      </c>
      <c r="CG103" s="228">
        <v>63</v>
      </c>
      <c r="CH103" s="228">
        <v>55</v>
      </c>
      <c r="CI103" s="228">
        <v>8</v>
      </c>
      <c r="CJ103" s="229">
        <v>0.14779999999999999</v>
      </c>
      <c r="CK103" s="228">
        <v>10</v>
      </c>
      <c r="CL103" s="228">
        <v>9</v>
      </c>
      <c r="CM103" s="228">
        <v>1</v>
      </c>
      <c r="CN103" s="229">
        <v>7.3700000000000002E-2</v>
      </c>
      <c r="CO103" s="228">
        <v>489</v>
      </c>
      <c r="CP103" s="228">
        <v>487</v>
      </c>
      <c r="CQ103" s="228">
        <v>3</v>
      </c>
      <c r="CR103" s="229">
        <v>6.0000000000000001E-3</v>
      </c>
      <c r="CS103" s="228">
        <v>233</v>
      </c>
      <c r="CT103" s="228">
        <v>228</v>
      </c>
      <c r="CU103" s="228">
        <v>6</v>
      </c>
      <c r="CV103" s="229">
        <v>2.4500000000000001E-2</v>
      </c>
      <c r="CW103" s="230">
        <v>1256</v>
      </c>
      <c r="CX103" s="230">
        <v>1235</v>
      </c>
      <c r="CY103" s="228">
        <v>22</v>
      </c>
      <c r="CZ103" s="229">
        <v>1.7500000000000002E-2</v>
      </c>
      <c r="DA103" s="228">
        <v>25.13</v>
      </c>
      <c r="DB103" s="228">
        <v>25.55</v>
      </c>
      <c r="DC103" s="228">
        <v>-0.42</v>
      </c>
      <c r="DD103" s="228">
        <v>-0.42</v>
      </c>
      <c r="DE103" s="228">
        <v>43.89</v>
      </c>
      <c r="DF103" s="228">
        <v>43.99</v>
      </c>
      <c r="DG103" s="228">
        <v>-18.760000000000002</v>
      </c>
      <c r="DH103" s="228">
        <v>-0.1</v>
      </c>
      <c r="DI103" s="228">
        <v>26.31</v>
      </c>
      <c r="DJ103" s="228">
        <v>27.07</v>
      </c>
      <c r="DK103" s="228">
        <v>-0.76</v>
      </c>
      <c r="DL103" s="228">
        <v>-0.76</v>
      </c>
      <c r="DM103" s="228">
        <v>22.29</v>
      </c>
      <c r="DN103" s="228">
        <v>22.22</v>
      </c>
      <c r="DO103" s="228">
        <v>7.0000000000000007E-2</v>
      </c>
      <c r="DP103" s="228">
        <v>7.0000000000000007E-2</v>
      </c>
      <c r="DQ103" s="228">
        <v>0.48</v>
      </c>
      <c r="DR103" s="228">
        <v>0.47</v>
      </c>
      <c r="DS103" s="228">
        <v>0.01</v>
      </c>
      <c r="DT103" s="229">
        <v>2.1299999999999999E-2</v>
      </c>
      <c r="DU103" s="228">
        <v>120</v>
      </c>
      <c r="DV103" s="228">
        <v>120</v>
      </c>
      <c r="DW103" s="228">
        <v>0.42</v>
      </c>
      <c r="DX103" s="228">
        <v>0.46</v>
      </c>
      <c r="DY103" s="228">
        <v>-0.04</v>
      </c>
      <c r="DZ103" s="229">
        <v>-8.6999999999999994E-2</v>
      </c>
      <c r="EA103" s="229">
        <v>0.13569999999999999</v>
      </c>
      <c r="EB103" s="230">
        <v>5724750</v>
      </c>
      <c r="EC103" s="229">
        <v>6.4000000000000003E-3</v>
      </c>
      <c r="ED103" s="229">
        <v>0.13569999999999999</v>
      </c>
      <c r="EE103" s="228">
        <v>0.54</v>
      </c>
      <c r="EF103" s="229">
        <v>4.7999999999999996E-3</v>
      </c>
      <c r="EG103" s="230">
        <v>2180133</v>
      </c>
      <c r="EH103" s="230">
        <v>2352828</v>
      </c>
      <c r="EI103" s="229">
        <v>-7.3400000000000007E-2</v>
      </c>
      <c r="EJ103" s="229">
        <v>0.40670000000000001</v>
      </c>
      <c r="EK103" s="228">
        <v>260</v>
      </c>
      <c r="EL103" s="228">
        <v>101.79</v>
      </c>
      <c r="EM103" s="228">
        <v>60.29</v>
      </c>
      <c r="EN103" s="228">
        <v>10.93</v>
      </c>
      <c r="EO103" s="228">
        <v>422.08</v>
      </c>
      <c r="EP103" s="228">
        <v>285.26</v>
      </c>
      <c r="EQ103" s="228">
        <v>136.82</v>
      </c>
      <c r="ER103" s="229">
        <v>0.47960000000000003</v>
      </c>
      <c r="ES103" s="228">
        <v>535.16999999999996</v>
      </c>
      <c r="ET103" s="228">
        <v>240.55</v>
      </c>
      <c r="EU103" s="228">
        <v>534.23</v>
      </c>
      <c r="EV103" s="231">
        <v>226853356</v>
      </c>
      <c r="EW103" s="231">
        <v>1309.95</v>
      </c>
      <c r="EX103" s="231">
        <v>1294.33</v>
      </c>
      <c r="EY103" s="228">
        <v>15.62</v>
      </c>
      <c r="EZ103" s="229">
        <v>1.21E-2</v>
      </c>
      <c r="FA103" s="229">
        <v>0.49780000000000002</v>
      </c>
      <c r="FB103" s="227" t="s">
        <v>567</v>
      </c>
      <c r="FC103">
        <f t="shared" si="1"/>
        <v>73</v>
      </c>
    </row>
    <row r="104" spans="1:159" ht="17.25" thickBot="1" x14ac:dyDescent="0.3">
      <c r="A104" s="226">
        <v>46008</v>
      </c>
      <c r="B104" s="227" t="s">
        <v>168</v>
      </c>
      <c r="C104" s="227" t="s">
        <v>242</v>
      </c>
      <c r="D104" s="228">
        <v>1600</v>
      </c>
      <c r="E104" s="228">
        <v>13</v>
      </c>
      <c r="F104" s="228">
        <v>401.05</v>
      </c>
      <c r="G104" s="228">
        <v>403.2</v>
      </c>
      <c r="H104" s="228">
        <v>-2.15</v>
      </c>
      <c r="I104" s="229">
        <v>-5.3E-3</v>
      </c>
      <c r="J104" s="228">
        <v>399.8</v>
      </c>
      <c r="K104" s="228">
        <v>401.7</v>
      </c>
      <c r="L104" s="228">
        <v>-1.9</v>
      </c>
      <c r="M104" s="229">
        <v>-4.7000000000000002E-3</v>
      </c>
      <c r="N104" s="228">
        <v>401.05</v>
      </c>
      <c r="O104" s="228">
        <v>403.2</v>
      </c>
      <c r="P104" s="228">
        <v>-2.15</v>
      </c>
      <c r="Q104" s="229">
        <v>-5.3E-3</v>
      </c>
      <c r="R104" s="228">
        <v>403.55</v>
      </c>
      <c r="S104" s="228">
        <v>405.55</v>
      </c>
      <c r="T104" s="228">
        <v>-2</v>
      </c>
      <c r="U104" s="229">
        <v>-4.8999999999999998E-3</v>
      </c>
      <c r="V104" s="228">
        <v>400.95</v>
      </c>
      <c r="W104" s="228">
        <v>403.1</v>
      </c>
      <c r="X104" s="228">
        <v>-2.15</v>
      </c>
      <c r="Y104" s="229">
        <v>-5.3E-3</v>
      </c>
      <c r="Z104" s="228">
        <v>1.25</v>
      </c>
      <c r="AA104" s="228">
        <v>1.5</v>
      </c>
      <c r="AB104" s="228">
        <v>-0.25</v>
      </c>
      <c r="AC104" s="229">
        <v>3.0999999999999999E-3</v>
      </c>
      <c r="AD104" s="228">
        <v>1.25</v>
      </c>
      <c r="AE104" s="228">
        <v>1.5</v>
      </c>
      <c r="AF104" s="228">
        <v>-0.25</v>
      </c>
      <c r="AG104" s="229">
        <v>3.0999999999999999E-3</v>
      </c>
      <c r="AH104" s="228">
        <v>3.75</v>
      </c>
      <c r="AI104" s="228">
        <v>3.85</v>
      </c>
      <c r="AJ104" s="228">
        <v>-0.1</v>
      </c>
      <c r="AK104" s="229">
        <v>9.4000000000000004E-3</v>
      </c>
      <c r="AL104" s="228">
        <v>1.1499999999999999</v>
      </c>
      <c r="AM104" s="228">
        <v>1.4</v>
      </c>
      <c r="AN104" s="228">
        <v>-0.25</v>
      </c>
      <c r="AO104" s="229">
        <v>2.8999999999999998E-3</v>
      </c>
      <c r="AP104" s="228">
        <v>401.83</v>
      </c>
      <c r="AQ104" s="228">
        <v>404.07</v>
      </c>
      <c r="AR104" s="228">
        <v>0</v>
      </c>
      <c r="AS104" s="228">
        <v>551</v>
      </c>
      <c r="AT104" s="228">
        <v>708</v>
      </c>
      <c r="AU104" s="228">
        <v>-156</v>
      </c>
      <c r="AV104" s="229">
        <v>-0.221</v>
      </c>
      <c r="AW104" s="228">
        <v>396</v>
      </c>
      <c r="AX104" s="228">
        <v>582</v>
      </c>
      <c r="AY104" s="228">
        <v>-186</v>
      </c>
      <c r="AZ104" s="229">
        <v>-0.3201</v>
      </c>
      <c r="BA104" s="228">
        <v>143</v>
      </c>
      <c r="BB104" s="228">
        <v>113</v>
      </c>
      <c r="BC104" s="228">
        <v>29</v>
      </c>
      <c r="BD104" s="229">
        <v>0.25750000000000001</v>
      </c>
      <c r="BE104" s="228">
        <v>13</v>
      </c>
      <c r="BF104" s="228">
        <v>12</v>
      </c>
      <c r="BG104" s="228">
        <v>1</v>
      </c>
      <c r="BH104" s="229">
        <v>6.3799999999999996E-2</v>
      </c>
      <c r="BI104" s="230">
        <v>1596</v>
      </c>
      <c r="BJ104" s="230">
        <v>2277</v>
      </c>
      <c r="BK104" s="228">
        <v>-682</v>
      </c>
      <c r="BL104" s="229">
        <v>-0.29930000000000001</v>
      </c>
      <c r="BM104" s="228">
        <v>768</v>
      </c>
      <c r="BN104" s="230">
        <v>1390</v>
      </c>
      <c r="BO104" s="228">
        <v>-622</v>
      </c>
      <c r="BP104" s="229">
        <v>-0.44769999999999999</v>
      </c>
      <c r="BQ104" s="230">
        <v>2915</v>
      </c>
      <c r="BR104" s="230">
        <v>4375</v>
      </c>
      <c r="BS104" s="230">
        <v>-1460</v>
      </c>
      <c r="BT104" s="229">
        <v>-0.33379999999999999</v>
      </c>
      <c r="BU104" s="230">
        <v>12098504</v>
      </c>
      <c r="BV104" s="230">
        <v>12969711</v>
      </c>
      <c r="BW104" s="230">
        <v>-871207</v>
      </c>
      <c r="BX104" s="229">
        <v>-6.7199999999999996E-2</v>
      </c>
      <c r="BY104" s="230">
        <v>6976</v>
      </c>
      <c r="BZ104" s="230">
        <v>6916</v>
      </c>
      <c r="CA104" s="228">
        <v>60</v>
      </c>
      <c r="CB104" s="229">
        <v>8.6999999999999994E-3</v>
      </c>
      <c r="CC104" s="230">
        <v>6223</v>
      </c>
      <c r="CD104" s="230">
        <v>6294</v>
      </c>
      <c r="CE104" s="228">
        <v>-71</v>
      </c>
      <c r="CF104" s="229">
        <v>-1.14E-2</v>
      </c>
      <c r="CG104" s="228">
        <v>653</v>
      </c>
      <c r="CH104" s="228">
        <v>532</v>
      </c>
      <c r="CI104" s="228">
        <v>121</v>
      </c>
      <c r="CJ104" s="229">
        <v>0.22839999999999999</v>
      </c>
      <c r="CK104" s="228">
        <v>100</v>
      </c>
      <c r="CL104" s="228">
        <v>90</v>
      </c>
      <c r="CM104" s="228">
        <v>10</v>
      </c>
      <c r="CN104" s="229">
        <v>0.1125</v>
      </c>
      <c r="CO104" s="230">
        <v>2534</v>
      </c>
      <c r="CP104" s="230">
        <v>2432</v>
      </c>
      <c r="CQ104" s="228">
        <v>103</v>
      </c>
      <c r="CR104" s="229">
        <v>4.2200000000000001E-2</v>
      </c>
      <c r="CS104" s="230">
        <v>1567</v>
      </c>
      <c r="CT104" s="230">
        <v>1553</v>
      </c>
      <c r="CU104" s="228">
        <v>14</v>
      </c>
      <c r="CV104" s="229">
        <v>9.1000000000000004E-3</v>
      </c>
      <c r="CW104" s="230">
        <v>11077</v>
      </c>
      <c r="CX104" s="230">
        <v>10900</v>
      </c>
      <c r="CY104" s="228">
        <v>177</v>
      </c>
      <c r="CZ104" s="229">
        <v>1.6199999999999999E-2</v>
      </c>
      <c r="DA104" s="228">
        <v>13.12</v>
      </c>
      <c r="DB104" s="228">
        <v>12.77</v>
      </c>
      <c r="DC104" s="228">
        <v>0.35</v>
      </c>
      <c r="DD104" s="228">
        <v>0.35</v>
      </c>
      <c r="DE104" s="228">
        <v>18.48</v>
      </c>
      <c r="DF104" s="228">
        <v>18.510000000000002</v>
      </c>
      <c r="DG104" s="228">
        <v>-5.36</v>
      </c>
      <c r="DH104" s="228">
        <v>-0.03</v>
      </c>
      <c r="DI104" s="228">
        <v>13.35</v>
      </c>
      <c r="DJ104" s="228">
        <v>12.9</v>
      </c>
      <c r="DK104" s="228">
        <v>0.45</v>
      </c>
      <c r="DL104" s="228">
        <v>0.45</v>
      </c>
      <c r="DM104" s="228">
        <v>12.62</v>
      </c>
      <c r="DN104" s="228">
        <v>12.55</v>
      </c>
      <c r="DO104" s="228">
        <v>7.0000000000000007E-2</v>
      </c>
      <c r="DP104" s="228">
        <v>7.0000000000000007E-2</v>
      </c>
      <c r="DQ104" s="228">
        <v>0.62</v>
      </c>
      <c r="DR104" s="228">
        <v>0.64</v>
      </c>
      <c r="DS104" s="228">
        <v>-0.02</v>
      </c>
      <c r="DT104" s="229">
        <v>-3.1300000000000001E-2</v>
      </c>
      <c r="DU104" s="228">
        <v>410</v>
      </c>
      <c r="DV104" s="228">
        <v>390</v>
      </c>
      <c r="DW104" s="228">
        <v>0.48</v>
      </c>
      <c r="DX104" s="228">
        <v>0.61</v>
      </c>
      <c r="DY104" s="228">
        <v>-0.13</v>
      </c>
      <c r="DZ104" s="229">
        <v>-0.21310000000000001</v>
      </c>
      <c r="EA104" s="229">
        <v>0.108</v>
      </c>
      <c r="EB104" s="230">
        <v>15502400</v>
      </c>
      <c r="EC104" s="229">
        <v>6.1999999999999998E-3</v>
      </c>
      <c r="ED104" s="229">
        <v>0.108</v>
      </c>
      <c r="EE104" s="228">
        <v>2.2400000000000002</v>
      </c>
      <c r="EF104" s="229">
        <v>5.5999999999999999E-3</v>
      </c>
      <c r="EG104" s="230">
        <v>9400447</v>
      </c>
      <c r="EH104" s="230">
        <v>7948093</v>
      </c>
      <c r="EI104" s="229">
        <v>0.1827</v>
      </c>
      <c r="EJ104" s="229">
        <v>0.77700000000000002</v>
      </c>
      <c r="EK104" s="231">
        <v>1634.96</v>
      </c>
      <c r="EL104" s="228">
        <v>768.99</v>
      </c>
      <c r="EM104" s="228">
        <v>553</v>
      </c>
      <c r="EN104" s="228">
        <v>61.88</v>
      </c>
      <c r="EO104" s="231">
        <v>2956.95</v>
      </c>
      <c r="EP104" s="231">
        <v>4437.82</v>
      </c>
      <c r="EQ104" s="231">
        <v>-1480.87</v>
      </c>
      <c r="ER104" s="229">
        <v>-0.3337</v>
      </c>
      <c r="ES104" s="231">
        <v>2638.76</v>
      </c>
      <c r="ET104" s="231">
        <v>1554.17</v>
      </c>
      <c r="EU104" s="231">
        <v>6979.88</v>
      </c>
      <c r="EV104" s="231">
        <v>1251412841</v>
      </c>
      <c r="EW104" s="231">
        <v>11172.81</v>
      </c>
      <c r="EX104" s="231">
        <v>11033.15</v>
      </c>
      <c r="EY104" s="228">
        <v>139.66</v>
      </c>
      <c r="EZ104" s="229">
        <v>1.2699999999999999E-2</v>
      </c>
      <c r="FA104" s="229">
        <v>0.22070000000000001</v>
      </c>
      <c r="FB104" s="227" t="s">
        <v>567</v>
      </c>
      <c r="FC104">
        <f t="shared" si="1"/>
        <v>753</v>
      </c>
    </row>
    <row r="105" spans="1:159" ht="17.25" thickBot="1" x14ac:dyDescent="0.3">
      <c r="A105" s="226">
        <v>46008</v>
      </c>
      <c r="B105" s="227" t="s">
        <v>227</v>
      </c>
      <c r="C105" s="227" t="s">
        <v>243</v>
      </c>
      <c r="D105" s="228">
        <v>625</v>
      </c>
      <c r="E105" s="228">
        <v>13</v>
      </c>
      <c r="F105" s="231">
        <v>1003.9</v>
      </c>
      <c r="G105" s="231">
        <v>1012.5</v>
      </c>
      <c r="H105" s="228">
        <v>-8.6</v>
      </c>
      <c r="I105" s="229">
        <v>-8.5000000000000006E-3</v>
      </c>
      <c r="J105" s="231">
        <v>1001.5</v>
      </c>
      <c r="K105" s="231">
        <v>1011.2</v>
      </c>
      <c r="L105" s="228">
        <v>-9.6999999999999993</v>
      </c>
      <c r="M105" s="229">
        <v>-9.5999999999999992E-3</v>
      </c>
      <c r="N105" s="231">
        <v>1003.9</v>
      </c>
      <c r="O105" s="231">
        <v>1012.5</v>
      </c>
      <c r="P105" s="228">
        <v>-8.6</v>
      </c>
      <c r="Q105" s="229">
        <v>-8.5000000000000006E-3</v>
      </c>
      <c r="R105" s="231">
        <v>1010.5</v>
      </c>
      <c r="S105" s="231">
        <v>1017.6</v>
      </c>
      <c r="T105" s="228">
        <v>-7.1</v>
      </c>
      <c r="U105" s="229">
        <v>-7.0000000000000001E-3</v>
      </c>
      <c r="V105" s="231">
        <v>1015.2</v>
      </c>
      <c r="W105" s="231">
        <v>1022.5</v>
      </c>
      <c r="X105" s="228">
        <v>-7.3</v>
      </c>
      <c r="Y105" s="229">
        <v>-7.1000000000000004E-3</v>
      </c>
      <c r="Z105" s="228">
        <v>2.4</v>
      </c>
      <c r="AA105" s="228">
        <v>1.3</v>
      </c>
      <c r="AB105" s="228">
        <v>1.1000000000000001</v>
      </c>
      <c r="AC105" s="229">
        <v>2.3999999999999998E-3</v>
      </c>
      <c r="AD105" s="228">
        <v>2.4</v>
      </c>
      <c r="AE105" s="228">
        <v>1.3</v>
      </c>
      <c r="AF105" s="228">
        <v>1.1000000000000001</v>
      </c>
      <c r="AG105" s="229">
        <v>2.3999999999999998E-3</v>
      </c>
      <c r="AH105" s="228">
        <v>9</v>
      </c>
      <c r="AI105" s="228">
        <v>6.4</v>
      </c>
      <c r="AJ105" s="228">
        <v>2.6</v>
      </c>
      <c r="AK105" s="229">
        <v>8.9999999999999993E-3</v>
      </c>
      <c r="AL105" s="228">
        <v>13.7</v>
      </c>
      <c r="AM105" s="228">
        <v>11.3</v>
      </c>
      <c r="AN105" s="228">
        <v>2.4</v>
      </c>
      <c r="AO105" s="229">
        <v>1.37E-2</v>
      </c>
      <c r="AP105" s="231">
        <v>1007.98</v>
      </c>
      <c r="AQ105" s="231">
        <v>1015.44</v>
      </c>
      <c r="AR105" s="228">
        <v>0</v>
      </c>
      <c r="AS105" s="228">
        <v>175</v>
      </c>
      <c r="AT105" s="228">
        <v>196</v>
      </c>
      <c r="AU105" s="228">
        <v>-21</v>
      </c>
      <c r="AV105" s="229">
        <v>-0.10829999999999999</v>
      </c>
      <c r="AW105" s="228">
        <v>155</v>
      </c>
      <c r="AX105" s="228">
        <v>186</v>
      </c>
      <c r="AY105" s="228">
        <v>-31</v>
      </c>
      <c r="AZ105" s="229">
        <v>-0.16550000000000001</v>
      </c>
      <c r="BA105" s="228">
        <v>19</v>
      </c>
      <c r="BB105" s="228">
        <v>9</v>
      </c>
      <c r="BC105" s="228">
        <v>10</v>
      </c>
      <c r="BD105" s="229">
        <v>1.1286</v>
      </c>
      <c r="BE105" s="228">
        <v>1</v>
      </c>
      <c r="BF105" s="228">
        <v>1</v>
      </c>
      <c r="BG105" s="228">
        <v>0</v>
      </c>
      <c r="BH105" s="229">
        <v>-0.33329999999999999</v>
      </c>
      <c r="BI105" s="228">
        <v>416</v>
      </c>
      <c r="BJ105" s="228">
        <v>376</v>
      </c>
      <c r="BK105" s="228">
        <v>39</v>
      </c>
      <c r="BL105" s="229">
        <v>0.1045</v>
      </c>
      <c r="BM105" s="228">
        <v>228</v>
      </c>
      <c r="BN105" s="228">
        <v>312</v>
      </c>
      <c r="BO105" s="228">
        <v>-85</v>
      </c>
      <c r="BP105" s="229">
        <v>-0.2712</v>
      </c>
      <c r="BQ105" s="228">
        <v>818</v>
      </c>
      <c r="BR105" s="228">
        <v>884</v>
      </c>
      <c r="BS105" s="228">
        <v>-67</v>
      </c>
      <c r="BT105" s="229">
        <v>-7.5300000000000006E-2</v>
      </c>
      <c r="BU105" s="230">
        <v>660596</v>
      </c>
      <c r="BV105" s="230">
        <v>1573893</v>
      </c>
      <c r="BW105" s="230">
        <v>-913297</v>
      </c>
      <c r="BX105" s="229">
        <v>-0.58030000000000004</v>
      </c>
      <c r="BY105" s="230">
        <v>1263</v>
      </c>
      <c r="BZ105" s="230">
        <v>1233</v>
      </c>
      <c r="CA105" s="228">
        <v>30</v>
      </c>
      <c r="CB105" s="229">
        <v>2.41E-2</v>
      </c>
      <c r="CC105" s="230">
        <v>1228</v>
      </c>
      <c r="CD105" s="230">
        <v>1206</v>
      </c>
      <c r="CE105" s="228">
        <v>22</v>
      </c>
      <c r="CF105" s="229">
        <v>1.8200000000000001E-2</v>
      </c>
      <c r="CG105" s="228">
        <v>31</v>
      </c>
      <c r="CH105" s="228">
        <v>24</v>
      </c>
      <c r="CI105" s="228">
        <v>8</v>
      </c>
      <c r="CJ105" s="229">
        <v>0.32279999999999998</v>
      </c>
      <c r="CK105" s="228">
        <v>3</v>
      </c>
      <c r="CL105" s="228">
        <v>3</v>
      </c>
      <c r="CM105" s="228">
        <v>0</v>
      </c>
      <c r="CN105" s="229">
        <v>0.02</v>
      </c>
      <c r="CO105" s="228">
        <v>592</v>
      </c>
      <c r="CP105" s="228">
        <v>573</v>
      </c>
      <c r="CQ105" s="228">
        <v>19</v>
      </c>
      <c r="CR105" s="229">
        <v>3.3799999999999997E-2</v>
      </c>
      <c r="CS105" s="228">
        <v>354</v>
      </c>
      <c r="CT105" s="228">
        <v>353</v>
      </c>
      <c r="CU105" s="228">
        <v>1</v>
      </c>
      <c r="CV105" s="229">
        <v>2.5000000000000001E-3</v>
      </c>
      <c r="CW105" s="230">
        <v>2209</v>
      </c>
      <c r="CX105" s="230">
        <v>2159</v>
      </c>
      <c r="CY105" s="228">
        <v>50</v>
      </c>
      <c r="CZ105" s="229">
        <v>2.3099999999999999E-2</v>
      </c>
      <c r="DA105" s="228">
        <v>24.35</v>
      </c>
      <c r="DB105" s="228">
        <v>23.83</v>
      </c>
      <c r="DC105" s="228">
        <v>0.52</v>
      </c>
      <c r="DD105" s="228">
        <v>0.52</v>
      </c>
      <c r="DE105" s="228">
        <v>34.409999999999997</v>
      </c>
      <c r="DF105" s="228">
        <v>34.47</v>
      </c>
      <c r="DG105" s="228">
        <v>-10.06</v>
      </c>
      <c r="DH105" s="228">
        <v>-0.06</v>
      </c>
      <c r="DI105" s="228">
        <v>25</v>
      </c>
      <c r="DJ105" s="228">
        <v>24.21</v>
      </c>
      <c r="DK105" s="228">
        <v>0.79</v>
      </c>
      <c r="DL105" s="228">
        <v>0.79</v>
      </c>
      <c r="DM105" s="228">
        <v>23.17</v>
      </c>
      <c r="DN105" s="228">
        <v>23.36</v>
      </c>
      <c r="DO105" s="228">
        <v>-0.19</v>
      </c>
      <c r="DP105" s="228">
        <v>-0.19</v>
      </c>
      <c r="DQ105" s="228">
        <v>0.6</v>
      </c>
      <c r="DR105" s="228">
        <v>0.62</v>
      </c>
      <c r="DS105" s="228">
        <v>-0.02</v>
      </c>
      <c r="DT105" s="229">
        <v>-3.2300000000000002E-2</v>
      </c>
      <c r="DU105" s="231">
        <v>1070</v>
      </c>
      <c r="DV105" s="231">
        <v>1000</v>
      </c>
      <c r="DW105" s="228">
        <v>0.55000000000000004</v>
      </c>
      <c r="DX105" s="228">
        <v>0.83</v>
      </c>
      <c r="DY105" s="228">
        <v>-0.28000000000000003</v>
      </c>
      <c r="DZ105" s="229">
        <v>-0.33729999999999999</v>
      </c>
      <c r="EA105" s="229">
        <v>2.7400000000000001E-2</v>
      </c>
      <c r="EB105" s="230">
        <v>267500</v>
      </c>
      <c r="EC105" s="229">
        <v>6.6E-3</v>
      </c>
      <c r="ED105" s="229">
        <v>2.7400000000000001E-2</v>
      </c>
      <c r="EE105" s="228">
        <v>7.46</v>
      </c>
      <c r="EF105" s="229">
        <v>7.4000000000000003E-3</v>
      </c>
      <c r="EG105" s="230">
        <v>255410</v>
      </c>
      <c r="EH105" s="230">
        <v>1001897</v>
      </c>
      <c r="EI105" s="229">
        <v>-0.74509999999999998</v>
      </c>
      <c r="EJ105" s="229">
        <v>0.3866</v>
      </c>
      <c r="EK105" s="228">
        <v>437.08</v>
      </c>
      <c r="EL105" s="228">
        <v>228.17</v>
      </c>
      <c r="EM105" s="228">
        <v>175.54</v>
      </c>
      <c r="EN105" s="228">
        <v>27.67</v>
      </c>
      <c r="EO105" s="228">
        <v>840.78</v>
      </c>
      <c r="EP105" s="228">
        <v>908.83</v>
      </c>
      <c r="EQ105" s="228">
        <v>-68.05</v>
      </c>
      <c r="ER105" s="229">
        <v>-7.4899999999999994E-2</v>
      </c>
      <c r="ES105" s="228">
        <v>632.73</v>
      </c>
      <c r="ET105" s="228">
        <v>349.28</v>
      </c>
      <c r="EU105" s="231">
        <v>1263.02</v>
      </c>
      <c r="EV105" s="231">
        <v>54776702</v>
      </c>
      <c r="EW105" s="231">
        <v>2245.04</v>
      </c>
      <c r="EX105" s="231">
        <v>2204.87</v>
      </c>
      <c r="EY105" s="228">
        <v>40.17</v>
      </c>
      <c r="EZ105" s="229">
        <v>1.8200000000000001E-2</v>
      </c>
      <c r="FA105" s="229">
        <v>0.4017</v>
      </c>
      <c r="FB105" s="227" t="s">
        <v>567</v>
      </c>
      <c r="FC105">
        <f t="shared" si="1"/>
        <v>35</v>
      </c>
    </row>
    <row r="106" spans="1:159" ht="17.25" thickBot="1" x14ac:dyDescent="0.3">
      <c r="A106" s="226">
        <v>46008</v>
      </c>
      <c r="B106" s="227" t="s">
        <v>175</v>
      </c>
      <c r="C106" s="227" t="s">
        <v>570</v>
      </c>
      <c r="D106" s="228">
        <v>2350</v>
      </c>
      <c r="E106" s="228">
        <v>13</v>
      </c>
      <c r="F106" s="228">
        <v>293.7</v>
      </c>
      <c r="G106" s="228">
        <v>295.85000000000002</v>
      </c>
      <c r="H106" s="228">
        <v>-2.15</v>
      </c>
      <c r="I106" s="229">
        <v>-7.3000000000000001E-3</v>
      </c>
      <c r="J106" s="228">
        <v>293.14999999999998</v>
      </c>
      <c r="K106" s="228">
        <v>295.25</v>
      </c>
      <c r="L106" s="228">
        <v>-2.1</v>
      </c>
      <c r="M106" s="229">
        <v>-7.1000000000000004E-3</v>
      </c>
      <c r="N106" s="228">
        <v>293.7</v>
      </c>
      <c r="O106" s="228">
        <v>295.85000000000002</v>
      </c>
      <c r="P106" s="228">
        <v>-2.15</v>
      </c>
      <c r="Q106" s="229">
        <v>-7.3000000000000001E-3</v>
      </c>
      <c r="R106" s="228">
        <v>295.60000000000002</v>
      </c>
      <c r="S106" s="228">
        <v>297.5</v>
      </c>
      <c r="T106" s="228">
        <v>-1.9</v>
      </c>
      <c r="U106" s="229">
        <v>-6.4000000000000003E-3</v>
      </c>
      <c r="V106" s="228">
        <v>297.25</v>
      </c>
      <c r="W106" s="228">
        <v>299.14999999999998</v>
      </c>
      <c r="X106" s="228">
        <v>-1.9</v>
      </c>
      <c r="Y106" s="229">
        <v>-6.4000000000000003E-3</v>
      </c>
      <c r="Z106" s="228">
        <v>0.55000000000000004</v>
      </c>
      <c r="AA106" s="228">
        <v>0.6</v>
      </c>
      <c r="AB106" s="228">
        <v>-0.05</v>
      </c>
      <c r="AC106" s="229">
        <v>1.9E-3</v>
      </c>
      <c r="AD106" s="228">
        <v>0.55000000000000004</v>
      </c>
      <c r="AE106" s="228">
        <v>0.6</v>
      </c>
      <c r="AF106" s="228">
        <v>-0.05</v>
      </c>
      <c r="AG106" s="229">
        <v>1.9E-3</v>
      </c>
      <c r="AH106" s="228">
        <v>2.4500000000000002</v>
      </c>
      <c r="AI106" s="228">
        <v>2.25</v>
      </c>
      <c r="AJ106" s="228">
        <v>0.2</v>
      </c>
      <c r="AK106" s="229">
        <v>8.3999999999999995E-3</v>
      </c>
      <c r="AL106" s="228">
        <v>4.0999999999999996</v>
      </c>
      <c r="AM106" s="228">
        <v>3.9</v>
      </c>
      <c r="AN106" s="228">
        <v>0.2</v>
      </c>
      <c r="AO106" s="229">
        <v>1.4E-2</v>
      </c>
      <c r="AP106" s="228">
        <v>294.10000000000002</v>
      </c>
      <c r="AQ106" s="228">
        <v>295.91000000000003</v>
      </c>
      <c r="AR106" s="228">
        <v>0</v>
      </c>
      <c r="AS106" s="228">
        <v>272</v>
      </c>
      <c r="AT106" s="228">
        <v>396</v>
      </c>
      <c r="AU106" s="228">
        <v>-124</v>
      </c>
      <c r="AV106" s="229">
        <v>-0.31430000000000002</v>
      </c>
      <c r="AW106" s="228">
        <v>203</v>
      </c>
      <c r="AX106" s="228">
        <v>294</v>
      </c>
      <c r="AY106" s="228">
        <v>-91</v>
      </c>
      <c r="AZ106" s="229">
        <v>-0.31090000000000001</v>
      </c>
      <c r="BA106" s="228">
        <v>62</v>
      </c>
      <c r="BB106" s="228">
        <v>93</v>
      </c>
      <c r="BC106" s="228">
        <v>-31</v>
      </c>
      <c r="BD106" s="229">
        <v>-0.3301</v>
      </c>
      <c r="BE106" s="228">
        <v>7</v>
      </c>
      <c r="BF106" s="228">
        <v>9</v>
      </c>
      <c r="BG106" s="228">
        <v>-2</v>
      </c>
      <c r="BH106" s="229">
        <v>-0.26150000000000001</v>
      </c>
      <c r="BI106" s="230">
        <v>1091</v>
      </c>
      <c r="BJ106" s="228">
        <v>963</v>
      </c>
      <c r="BK106" s="228">
        <v>128</v>
      </c>
      <c r="BL106" s="229">
        <v>0.1333</v>
      </c>
      <c r="BM106" s="228">
        <v>388</v>
      </c>
      <c r="BN106" s="228">
        <v>408</v>
      </c>
      <c r="BO106" s="228">
        <v>-20</v>
      </c>
      <c r="BP106" s="229">
        <v>-4.8899999999999999E-2</v>
      </c>
      <c r="BQ106" s="230">
        <v>1751</v>
      </c>
      <c r="BR106" s="230">
        <v>1767</v>
      </c>
      <c r="BS106" s="228">
        <v>-16</v>
      </c>
      <c r="BT106" s="229">
        <v>-9.1000000000000004E-3</v>
      </c>
      <c r="BU106" s="230">
        <v>6139430</v>
      </c>
      <c r="BV106" s="230">
        <v>7488039</v>
      </c>
      <c r="BW106" s="230">
        <v>-1348609</v>
      </c>
      <c r="BX106" s="229">
        <v>-0.18010000000000001</v>
      </c>
      <c r="BY106" s="230">
        <v>4679</v>
      </c>
      <c r="BZ106" s="230">
        <v>4647</v>
      </c>
      <c r="CA106" s="228">
        <v>32</v>
      </c>
      <c r="CB106" s="229">
        <v>6.7999999999999996E-3</v>
      </c>
      <c r="CC106" s="230">
        <v>3982</v>
      </c>
      <c r="CD106" s="230">
        <v>3986</v>
      </c>
      <c r="CE106" s="228">
        <v>-3</v>
      </c>
      <c r="CF106" s="229">
        <v>-8.0000000000000004E-4</v>
      </c>
      <c r="CG106" s="228">
        <v>610</v>
      </c>
      <c r="CH106" s="228">
        <v>578</v>
      </c>
      <c r="CI106" s="228">
        <v>32</v>
      </c>
      <c r="CJ106" s="229">
        <v>5.5399999999999998E-2</v>
      </c>
      <c r="CK106" s="228">
        <v>87</v>
      </c>
      <c r="CL106" s="228">
        <v>84</v>
      </c>
      <c r="CM106" s="228">
        <v>3</v>
      </c>
      <c r="CN106" s="229">
        <v>3.5400000000000001E-2</v>
      </c>
      <c r="CO106" s="230">
        <v>2016</v>
      </c>
      <c r="CP106" s="230">
        <v>1954</v>
      </c>
      <c r="CQ106" s="228">
        <v>61</v>
      </c>
      <c r="CR106" s="229">
        <v>3.15E-2</v>
      </c>
      <c r="CS106" s="230">
        <v>1371</v>
      </c>
      <c r="CT106" s="230">
        <v>1371</v>
      </c>
      <c r="CU106" s="228">
        <v>0</v>
      </c>
      <c r="CV106" s="229">
        <v>2.0000000000000001E-4</v>
      </c>
      <c r="CW106" s="230">
        <v>8066</v>
      </c>
      <c r="CX106" s="230">
        <v>7972</v>
      </c>
      <c r="CY106" s="228">
        <v>94</v>
      </c>
      <c r="CZ106" s="229">
        <v>1.17E-2</v>
      </c>
      <c r="DA106" s="228">
        <v>23.08</v>
      </c>
      <c r="DB106" s="228">
        <v>23.15</v>
      </c>
      <c r="DC106" s="228">
        <v>-7.0000000000000007E-2</v>
      </c>
      <c r="DD106" s="228">
        <v>-7.0000000000000007E-2</v>
      </c>
      <c r="DE106" s="228">
        <v>34.049999999999997</v>
      </c>
      <c r="DF106" s="228">
        <v>34.119999999999997</v>
      </c>
      <c r="DG106" s="228">
        <v>-10.97</v>
      </c>
      <c r="DH106" s="228">
        <v>-7.0000000000000007E-2</v>
      </c>
      <c r="DI106" s="228">
        <v>23.74</v>
      </c>
      <c r="DJ106" s="228">
        <v>23.78</v>
      </c>
      <c r="DK106" s="228">
        <v>-0.04</v>
      </c>
      <c r="DL106" s="228">
        <v>-0.04</v>
      </c>
      <c r="DM106" s="228">
        <v>21.23</v>
      </c>
      <c r="DN106" s="228">
        <v>21.64</v>
      </c>
      <c r="DO106" s="228">
        <v>-0.41</v>
      </c>
      <c r="DP106" s="228">
        <v>-0.41</v>
      </c>
      <c r="DQ106" s="228">
        <v>0.68</v>
      </c>
      <c r="DR106" s="228">
        <v>0.7</v>
      </c>
      <c r="DS106" s="228">
        <v>-0.02</v>
      </c>
      <c r="DT106" s="229">
        <v>-2.86E-2</v>
      </c>
      <c r="DU106" s="228">
        <v>310</v>
      </c>
      <c r="DV106" s="228">
        <v>300</v>
      </c>
      <c r="DW106" s="228">
        <v>0.36</v>
      </c>
      <c r="DX106" s="228">
        <v>0.42</v>
      </c>
      <c r="DY106" s="228">
        <v>-0.06</v>
      </c>
      <c r="DZ106" s="229">
        <v>-0.1429</v>
      </c>
      <c r="EA106" s="229">
        <v>0.1489</v>
      </c>
      <c r="EB106" s="230">
        <v>22524750</v>
      </c>
      <c r="EC106" s="229">
        <v>6.4999999999999997E-3</v>
      </c>
      <c r="ED106" s="229">
        <v>0.1489</v>
      </c>
      <c r="EE106" s="228">
        <v>1.81</v>
      </c>
      <c r="EF106" s="229">
        <v>6.1999999999999998E-3</v>
      </c>
      <c r="EG106" s="230">
        <v>3095553</v>
      </c>
      <c r="EH106" s="230">
        <v>4091136</v>
      </c>
      <c r="EI106" s="229">
        <v>-0.24340000000000001</v>
      </c>
      <c r="EJ106" s="229">
        <v>0.50419999999999998</v>
      </c>
      <c r="EK106" s="231">
        <v>1150.93</v>
      </c>
      <c r="EL106" s="228">
        <v>390.22</v>
      </c>
      <c r="EM106" s="228">
        <v>272.35000000000002</v>
      </c>
      <c r="EN106" s="228">
        <v>64.25</v>
      </c>
      <c r="EO106" s="231">
        <v>1813.5</v>
      </c>
      <c r="EP106" s="231">
        <v>1831.36</v>
      </c>
      <c r="EQ106" s="228">
        <v>-17.86</v>
      </c>
      <c r="ER106" s="229">
        <v>-9.7999999999999997E-3</v>
      </c>
      <c r="ES106" s="231">
        <v>2159.88</v>
      </c>
      <c r="ET106" s="231">
        <v>1408.43</v>
      </c>
      <c r="EU106" s="231">
        <v>4684.03</v>
      </c>
      <c r="EV106" s="231">
        <v>446457456</v>
      </c>
      <c r="EW106" s="231">
        <v>8252.34</v>
      </c>
      <c r="EX106" s="231">
        <v>8192.81</v>
      </c>
      <c r="EY106" s="228">
        <v>59.53</v>
      </c>
      <c r="EZ106" s="229">
        <v>7.3000000000000001E-3</v>
      </c>
      <c r="FA106" s="229">
        <v>0.61509999999999998</v>
      </c>
      <c r="FB106" s="227" t="s">
        <v>567</v>
      </c>
      <c r="FC106">
        <f t="shared" si="1"/>
        <v>697</v>
      </c>
    </row>
    <row r="107" spans="1:159" ht="17.25" thickBot="1" x14ac:dyDescent="0.3">
      <c r="A107" s="226">
        <v>46008</v>
      </c>
      <c r="B107" s="227" t="s">
        <v>161</v>
      </c>
      <c r="C107" s="227" t="s">
        <v>580</v>
      </c>
      <c r="D107" s="228">
        <v>1000</v>
      </c>
      <c r="E107" s="228">
        <v>13</v>
      </c>
      <c r="F107" s="228">
        <v>475.8</v>
      </c>
      <c r="G107" s="228">
        <v>479.2</v>
      </c>
      <c r="H107" s="228">
        <v>-3.4</v>
      </c>
      <c r="I107" s="229">
        <v>-7.1000000000000004E-3</v>
      </c>
      <c r="J107" s="228">
        <v>475.25</v>
      </c>
      <c r="K107" s="228">
        <v>478.5</v>
      </c>
      <c r="L107" s="228">
        <v>-3.25</v>
      </c>
      <c r="M107" s="229">
        <v>-6.7999999999999996E-3</v>
      </c>
      <c r="N107" s="228">
        <v>475.8</v>
      </c>
      <c r="O107" s="228">
        <v>479.2</v>
      </c>
      <c r="P107" s="228">
        <v>-3.4</v>
      </c>
      <c r="Q107" s="229">
        <v>-7.1000000000000004E-3</v>
      </c>
      <c r="R107" s="228">
        <v>478.35</v>
      </c>
      <c r="S107" s="228">
        <v>482.25</v>
      </c>
      <c r="T107" s="228">
        <v>-3.9</v>
      </c>
      <c r="U107" s="229">
        <v>-8.0999999999999996E-3</v>
      </c>
      <c r="V107" s="228">
        <v>480</v>
      </c>
      <c r="W107" s="228">
        <v>483</v>
      </c>
      <c r="X107" s="228">
        <v>-3</v>
      </c>
      <c r="Y107" s="229">
        <v>-6.1999999999999998E-3</v>
      </c>
      <c r="Z107" s="228">
        <v>0.55000000000000004</v>
      </c>
      <c r="AA107" s="228">
        <v>0.7</v>
      </c>
      <c r="AB107" s="228">
        <v>-0.15</v>
      </c>
      <c r="AC107" s="229">
        <v>1.1999999999999999E-3</v>
      </c>
      <c r="AD107" s="228">
        <v>0.55000000000000004</v>
      </c>
      <c r="AE107" s="228">
        <v>0.7</v>
      </c>
      <c r="AF107" s="228">
        <v>-0.15</v>
      </c>
      <c r="AG107" s="229">
        <v>1.1999999999999999E-3</v>
      </c>
      <c r="AH107" s="228">
        <v>3.1</v>
      </c>
      <c r="AI107" s="228">
        <v>3.75</v>
      </c>
      <c r="AJ107" s="228">
        <v>-0.65</v>
      </c>
      <c r="AK107" s="229">
        <v>6.4999999999999997E-3</v>
      </c>
      <c r="AL107" s="228">
        <v>4.75</v>
      </c>
      <c r="AM107" s="228">
        <v>4.5</v>
      </c>
      <c r="AN107" s="228">
        <v>0.25</v>
      </c>
      <c r="AO107" s="229">
        <v>0.01</v>
      </c>
      <c r="AP107" s="228">
        <v>477.83</v>
      </c>
      <c r="AQ107" s="228">
        <v>479.46</v>
      </c>
      <c r="AR107" s="228">
        <v>0</v>
      </c>
      <c r="AS107" s="228">
        <v>164</v>
      </c>
      <c r="AT107" s="228">
        <v>196</v>
      </c>
      <c r="AU107" s="228">
        <v>-32</v>
      </c>
      <c r="AV107" s="229">
        <v>-0.16470000000000001</v>
      </c>
      <c r="AW107" s="228">
        <v>138</v>
      </c>
      <c r="AX107" s="228">
        <v>169</v>
      </c>
      <c r="AY107" s="228">
        <v>-31</v>
      </c>
      <c r="AZ107" s="229">
        <v>-0.18490000000000001</v>
      </c>
      <c r="BA107" s="228">
        <v>25</v>
      </c>
      <c r="BB107" s="228">
        <v>26</v>
      </c>
      <c r="BC107" s="228">
        <v>-1</v>
      </c>
      <c r="BD107" s="229">
        <v>-3.4700000000000002E-2</v>
      </c>
      <c r="BE107" s="228">
        <v>0</v>
      </c>
      <c r="BF107" s="228">
        <v>0</v>
      </c>
      <c r="BG107" s="228">
        <v>0</v>
      </c>
      <c r="BH107" s="229">
        <v>-0.1</v>
      </c>
      <c r="BI107" s="228">
        <v>464</v>
      </c>
      <c r="BJ107" s="228">
        <v>670</v>
      </c>
      <c r="BK107" s="228">
        <v>-206</v>
      </c>
      <c r="BL107" s="229">
        <v>-0.30769999999999997</v>
      </c>
      <c r="BM107" s="228">
        <v>279</v>
      </c>
      <c r="BN107" s="228">
        <v>506</v>
      </c>
      <c r="BO107" s="228">
        <v>-227</v>
      </c>
      <c r="BP107" s="229">
        <v>-0.44800000000000001</v>
      </c>
      <c r="BQ107" s="228">
        <v>907</v>
      </c>
      <c r="BR107" s="230">
        <v>1372</v>
      </c>
      <c r="BS107" s="228">
        <v>-465</v>
      </c>
      <c r="BT107" s="229">
        <v>-0.33910000000000001</v>
      </c>
      <c r="BU107" s="230">
        <v>1917031</v>
      </c>
      <c r="BV107" s="230">
        <v>2116527</v>
      </c>
      <c r="BW107" s="230">
        <v>-199496</v>
      </c>
      <c r="BX107" s="229">
        <v>-9.4299999999999995E-2</v>
      </c>
      <c r="BY107" s="230">
        <v>2226</v>
      </c>
      <c r="BZ107" s="230">
        <v>2259</v>
      </c>
      <c r="CA107" s="228">
        <v>-33</v>
      </c>
      <c r="CB107" s="229">
        <v>-1.4800000000000001E-2</v>
      </c>
      <c r="CC107" s="230">
        <v>2122</v>
      </c>
      <c r="CD107" s="230">
        <v>2165</v>
      </c>
      <c r="CE107" s="228">
        <v>-44</v>
      </c>
      <c r="CF107" s="229">
        <v>-2.01E-2</v>
      </c>
      <c r="CG107" s="228">
        <v>95</v>
      </c>
      <c r="CH107" s="228">
        <v>85</v>
      </c>
      <c r="CI107" s="228">
        <v>10</v>
      </c>
      <c r="CJ107" s="229">
        <v>0.1197</v>
      </c>
      <c r="CK107" s="228">
        <v>9</v>
      </c>
      <c r="CL107" s="228">
        <v>9</v>
      </c>
      <c r="CM107" s="228">
        <v>0</v>
      </c>
      <c r="CN107" s="229">
        <v>-1.0999999999999999E-2</v>
      </c>
      <c r="CO107" s="228">
        <v>748</v>
      </c>
      <c r="CP107" s="228">
        <v>749</v>
      </c>
      <c r="CQ107" s="228">
        <v>-1</v>
      </c>
      <c r="CR107" s="229">
        <v>-1.5E-3</v>
      </c>
      <c r="CS107" s="228">
        <v>510</v>
      </c>
      <c r="CT107" s="228">
        <v>511</v>
      </c>
      <c r="CU107" s="228">
        <v>-1</v>
      </c>
      <c r="CV107" s="229">
        <v>-1.8E-3</v>
      </c>
      <c r="CW107" s="230">
        <v>3483</v>
      </c>
      <c r="CX107" s="230">
        <v>3519</v>
      </c>
      <c r="CY107" s="228">
        <v>-36</v>
      </c>
      <c r="CZ107" s="229">
        <v>-1.01E-2</v>
      </c>
      <c r="DA107" s="228">
        <v>28.17</v>
      </c>
      <c r="DB107" s="228">
        <v>28.42</v>
      </c>
      <c r="DC107" s="228">
        <v>-0.25</v>
      </c>
      <c r="DD107" s="228">
        <v>-0.25</v>
      </c>
      <c r="DE107" s="228">
        <v>43.09</v>
      </c>
      <c r="DF107" s="228">
        <v>43.19</v>
      </c>
      <c r="DG107" s="228">
        <v>-14.92</v>
      </c>
      <c r="DH107" s="228">
        <v>-0.1</v>
      </c>
      <c r="DI107" s="228">
        <v>28.84</v>
      </c>
      <c r="DJ107" s="228">
        <v>29.65</v>
      </c>
      <c r="DK107" s="228">
        <v>-0.81</v>
      </c>
      <c r="DL107" s="228">
        <v>-0.81</v>
      </c>
      <c r="DM107" s="228">
        <v>27.05</v>
      </c>
      <c r="DN107" s="228">
        <v>26.79</v>
      </c>
      <c r="DO107" s="228">
        <v>0.26</v>
      </c>
      <c r="DP107" s="228">
        <v>0.26</v>
      </c>
      <c r="DQ107" s="228">
        <v>0.68</v>
      </c>
      <c r="DR107" s="228">
        <v>0.68</v>
      </c>
      <c r="DS107" s="228">
        <v>0</v>
      </c>
      <c r="DT107" s="229">
        <v>0</v>
      </c>
      <c r="DU107" s="228">
        <v>500</v>
      </c>
      <c r="DV107" s="228">
        <v>460</v>
      </c>
      <c r="DW107" s="228">
        <v>0.6</v>
      </c>
      <c r="DX107" s="228">
        <v>0.76</v>
      </c>
      <c r="DY107" s="228">
        <v>-0.16</v>
      </c>
      <c r="DZ107" s="229">
        <v>-0.21049999999999999</v>
      </c>
      <c r="EA107" s="229">
        <v>4.6600000000000003E-2</v>
      </c>
      <c r="EB107" s="230">
        <v>1970000</v>
      </c>
      <c r="EC107" s="229">
        <v>5.4000000000000003E-3</v>
      </c>
      <c r="ED107" s="229">
        <v>4.6600000000000003E-2</v>
      </c>
      <c r="EE107" s="228">
        <v>1.63</v>
      </c>
      <c r="EF107" s="229">
        <v>3.3999999999999998E-3</v>
      </c>
      <c r="EG107" s="230">
        <v>871885</v>
      </c>
      <c r="EH107" s="230">
        <v>1083034</v>
      </c>
      <c r="EI107" s="229">
        <v>-0.19500000000000001</v>
      </c>
      <c r="EJ107" s="229">
        <v>0.45479999999999998</v>
      </c>
      <c r="EK107" s="228">
        <v>487.61</v>
      </c>
      <c r="EL107" s="228">
        <v>278.33</v>
      </c>
      <c r="EM107" s="228">
        <v>164.42</v>
      </c>
      <c r="EN107" s="228">
        <v>85.7</v>
      </c>
      <c r="EO107" s="228">
        <v>930.36</v>
      </c>
      <c r="EP107" s="231">
        <v>1413.88</v>
      </c>
      <c r="EQ107" s="228">
        <v>-483.52</v>
      </c>
      <c r="ER107" s="229">
        <v>-0.34200000000000003</v>
      </c>
      <c r="ES107" s="228">
        <v>795.12</v>
      </c>
      <c r="ET107" s="228">
        <v>512.82000000000005</v>
      </c>
      <c r="EU107" s="231">
        <v>2226.2800000000002</v>
      </c>
      <c r="EV107" s="231">
        <v>80203755</v>
      </c>
      <c r="EW107" s="231">
        <v>3534.21</v>
      </c>
      <c r="EX107" s="231">
        <v>3587.01</v>
      </c>
      <c r="EY107" s="228">
        <v>-52.8</v>
      </c>
      <c r="EZ107" s="229">
        <v>-1.47E-2</v>
      </c>
      <c r="FA107" s="229">
        <v>0.91279999999999994</v>
      </c>
      <c r="FB107" s="227" t="s">
        <v>568</v>
      </c>
      <c r="FC107">
        <f t="shared" si="1"/>
        <v>104</v>
      </c>
    </row>
    <row r="108" spans="1:159" ht="17.25" thickBot="1" x14ac:dyDescent="0.3">
      <c r="A108" s="226">
        <v>46008</v>
      </c>
      <c r="B108" s="227" t="s">
        <v>227</v>
      </c>
      <c r="C108" s="227" t="s">
        <v>244</v>
      </c>
      <c r="D108" s="228">
        <v>675</v>
      </c>
      <c r="E108" s="228">
        <v>13</v>
      </c>
      <c r="F108" s="231">
        <v>1083.2</v>
      </c>
      <c r="G108" s="231">
        <v>1085.7</v>
      </c>
      <c r="H108" s="228">
        <v>-2.5</v>
      </c>
      <c r="I108" s="229">
        <v>-2.3E-3</v>
      </c>
      <c r="J108" s="231">
        <v>1079.3</v>
      </c>
      <c r="K108" s="231">
        <v>1082.5999999999999</v>
      </c>
      <c r="L108" s="228">
        <v>-3.3</v>
      </c>
      <c r="M108" s="229">
        <v>-3.0000000000000001E-3</v>
      </c>
      <c r="N108" s="231">
        <v>1083.2</v>
      </c>
      <c r="O108" s="231">
        <v>1085.7</v>
      </c>
      <c r="P108" s="228">
        <v>-2.5</v>
      </c>
      <c r="Q108" s="229">
        <v>-2.3E-3</v>
      </c>
      <c r="R108" s="231">
        <v>1089.0999999999999</v>
      </c>
      <c r="S108" s="231">
        <v>1092.7</v>
      </c>
      <c r="T108" s="228">
        <v>-3.6</v>
      </c>
      <c r="U108" s="229">
        <v>-3.3E-3</v>
      </c>
      <c r="V108" s="231">
        <v>1095.7</v>
      </c>
      <c r="W108" s="231">
        <v>1098.2</v>
      </c>
      <c r="X108" s="228">
        <v>-2.5</v>
      </c>
      <c r="Y108" s="229">
        <v>-2.3E-3</v>
      </c>
      <c r="Z108" s="228">
        <v>3.9</v>
      </c>
      <c r="AA108" s="228">
        <v>3.1</v>
      </c>
      <c r="AB108" s="228">
        <v>0.8</v>
      </c>
      <c r="AC108" s="229">
        <v>3.5999999999999999E-3</v>
      </c>
      <c r="AD108" s="228">
        <v>3.9</v>
      </c>
      <c r="AE108" s="228">
        <v>3.1</v>
      </c>
      <c r="AF108" s="228">
        <v>0.8</v>
      </c>
      <c r="AG108" s="229">
        <v>3.5999999999999999E-3</v>
      </c>
      <c r="AH108" s="228">
        <v>9.8000000000000007</v>
      </c>
      <c r="AI108" s="228">
        <v>10.1</v>
      </c>
      <c r="AJ108" s="228">
        <v>-0.3</v>
      </c>
      <c r="AK108" s="229">
        <v>9.1000000000000004E-3</v>
      </c>
      <c r="AL108" s="228">
        <v>16.399999999999999</v>
      </c>
      <c r="AM108" s="228">
        <v>15.6</v>
      </c>
      <c r="AN108" s="228">
        <v>0.8</v>
      </c>
      <c r="AO108" s="229">
        <v>1.52E-2</v>
      </c>
      <c r="AP108" s="231">
        <v>1084.95</v>
      </c>
      <c r="AQ108" s="231">
        <v>1091</v>
      </c>
      <c r="AR108" s="228">
        <v>0</v>
      </c>
      <c r="AS108" s="228">
        <v>367</v>
      </c>
      <c r="AT108" s="228">
        <v>651</v>
      </c>
      <c r="AU108" s="228">
        <v>-284</v>
      </c>
      <c r="AV108" s="229">
        <v>-0.43669999999999998</v>
      </c>
      <c r="AW108" s="228">
        <v>305</v>
      </c>
      <c r="AX108" s="228">
        <v>549</v>
      </c>
      <c r="AY108" s="228">
        <v>-244</v>
      </c>
      <c r="AZ108" s="229">
        <v>-0.44440000000000002</v>
      </c>
      <c r="BA108" s="228">
        <v>61</v>
      </c>
      <c r="BB108" s="228">
        <v>100</v>
      </c>
      <c r="BC108" s="228">
        <v>-39</v>
      </c>
      <c r="BD108" s="229">
        <v>-0.39019999999999999</v>
      </c>
      <c r="BE108" s="228">
        <v>1</v>
      </c>
      <c r="BF108" s="228">
        <v>3</v>
      </c>
      <c r="BG108" s="228">
        <v>-2</v>
      </c>
      <c r="BH108" s="229">
        <v>-0.57889999999999997</v>
      </c>
      <c r="BI108" s="230">
        <v>1496</v>
      </c>
      <c r="BJ108" s="230">
        <v>2209</v>
      </c>
      <c r="BK108" s="228">
        <v>-713</v>
      </c>
      <c r="BL108" s="229">
        <v>-0.32300000000000001</v>
      </c>
      <c r="BM108" s="228">
        <v>557</v>
      </c>
      <c r="BN108" s="230">
        <v>1203</v>
      </c>
      <c r="BO108" s="228">
        <v>-646</v>
      </c>
      <c r="BP108" s="229">
        <v>-0.5373</v>
      </c>
      <c r="BQ108" s="230">
        <v>2419</v>
      </c>
      <c r="BR108" s="230">
        <v>4063</v>
      </c>
      <c r="BS108" s="230">
        <v>-1644</v>
      </c>
      <c r="BT108" s="229">
        <v>-0.4047</v>
      </c>
      <c r="BU108" s="230">
        <v>1804059</v>
      </c>
      <c r="BV108" s="230">
        <v>2169417</v>
      </c>
      <c r="BW108" s="230">
        <v>-365358</v>
      </c>
      <c r="BX108" s="229">
        <v>-0.16839999999999999</v>
      </c>
      <c r="BY108" s="230">
        <v>5360</v>
      </c>
      <c r="BZ108" s="230">
        <v>5340</v>
      </c>
      <c r="CA108" s="228">
        <v>21</v>
      </c>
      <c r="CB108" s="229">
        <v>3.8999999999999998E-3</v>
      </c>
      <c r="CC108" s="230">
        <v>5088</v>
      </c>
      <c r="CD108" s="230">
        <v>5101</v>
      </c>
      <c r="CE108" s="228">
        <v>-12</v>
      </c>
      <c r="CF108" s="229">
        <v>-2.3999999999999998E-3</v>
      </c>
      <c r="CG108" s="228">
        <v>253</v>
      </c>
      <c r="CH108" s="228">
        <v>220</v>
      </c>
      <c r="CI108" s="228">
        <v>32</v>
      </c>
      <c r="CJ108" s="229">
        <v>0.1474</v>
      </c>
      <c r="CK108" s="228">
        <v>19</v>
      </c>
      <c r="CL108" s="228">
        <v>19</v>
      </c>
      <c r="CM108" s="228">
        <v>1</v>
      </c>
      <c r="CN108" s="229">
        <v>3.5400000000000001E-2</v>
      </c>
      <c r="CO108" s="230">
        <v>2213</v>
      </c>
      <c r="CP108" s="230">
        <v>2160</v>
      </c>
      <c r="CQ108" s="228">
        <v>54</v>
      </c>
      <c r="CR108" s="229">
        <v>2.4799999999999999E-2</v>
      </c>
      <c r="CS108" s="230">
        <v>1121</v>
      </c>
      <c r="CT108" s="230">
        <v>1144</v>
      </c>
      <c r="CU108" s="228">
        <v>-23</v>
      </c>
      <c r="CV108" s="229">
        <v>-1.9800000000000002E-2</v>
      </c>
      <c r="CW108" s="230">
        <v>8695</v>
      </c>
      <c r="CX108" s="230">
        <v>8643</v>
      </c>
      <c r="CY108" s="228">
        <v>52</v>
      </c>
      <c r="CZ108" s="229">
        <v>6.0000000000000001E-3</v>
      </c>
      <c r="DA108" s="228">
        <v>23.24</v>
      </c>
      <c r="DB108" s="228">
        <v>24.01</v>
      </c>
      <c r="DC108" s="228">
        <v>-0.77</v>
      </c>
      <c r="DD108" s="228">
        <v>-0.77</v>
      </c>
      <c r="DE108" s="228">
        <v>29.36</v>
      </c>
      <c r="DF108" s="228">
        <v>29.43</v>
      </c>
      <c r="DG108" s="228">
        <v>-6.12</v>
      </c>
      <c r="DH108" s="228">
        <v>-7.0000000000000007E-2</v>
      </c>
      <c r="DI108" s="228">
        <v>23.88</v>
      </c>
      <c r="DJ108" s="228">
        <v>24.84</v>
      </c>
      <c r="DK108" s="228">
        <v>-0.96</v>
      </c>
      <c r="DL108" s="228">
        <v>-0.96</v>
      </c>
      <c r="DM108" s="228">
        <v>21.54</v>
      </c>
      <c r="DN108" s="228">
        <v>22.5</v>
      </c>
      <c r="DO108" s="228">
        <v>-0.96</v>
      </c>
      <c r="DP108" s="228">
        <v>-0.96</v>
      </c>
      <c r="DQ108" s="228">
        <v>0.51</v>
      </c>
      <c r="DR108" s="228">
        <v>0.53</v>
      </c>
      <c r="DS108" s="228">
        <v>-0.02</v>
      </c>
      <c r="DT108" s="229">
        <v>-3.7699999999999997E-2</v>
      </c>
      <c r="DU108" s="231">
        <v>1200</v>
      </c>
      <c r="DV108" s="231">
        <v>1100</v>
      </c>
      <c r="DW108" s="228">
        <v>0.37</v>
      </c>
      <c r="DX108" s="228">
        <v>0.54</v>
      </c>
      <c r="DY108" s="228">
        <v>-0.17</v>
      </c>
      <c r="DZ108" s="229">
        <v>-0.31480000000000002</v>
      </c>
      <c r="EA108" s="229">
        <v>5.0700000000000002E-2</v>
      </c>
      <c r="EB108" s="230">
        <v>2205225</v>
      </c>
      <c r="EC108" s="229">
        <v>5.4000000000000003E-3</v>
      </c>
      <c r="ED108" s="229">
        <v>5.0700000000000002E-2</v>
      </c>
      <c r="EE108" s="228">
        <v>6.05</v>
      </c>
      <c r="EF108" s="229">
        <v>5.5999999999999999E-3</v>
      </c>
      <c r="EG108" s="230">
        <v>1052171</v>
      </c>
      <c r="EH108" s="230">
        <v>1385367</v>
      </c>
      <c r="EI108" s="229">
        <v>-0.24049999999999999</v>
      </c>
      <c r="EJ108" s="229">
        <v>0.58320000000000005</v>
      </c>
      <c r="EK108" s="231">
        <v>1581.34</v>
      </c>
      <c r="EL108" s="228">
        <v>555.62</v>
      </c>
      <c r="EM108" s="228">
        <v>367.62</v>
      </c>
      <c r="EN108" s="228">
        <v>58.24</v>
      </c>
      <c r="EO108" s="231">
        <v>2504.58</v>
      </c>
      <c r="EP108" s="231">
        <v>4234.0200000000004</v>
      </c>
      <c r="EQ108" s="231">
        <v>-1729.44</v>
      </c>
      <c r="ER108" s="229">
        <v>-0.40849999999999997</v>
      </c>
      <c r="ES108" s="231">
        <v>2405.9899999999998</v>
      </c>
      <c r="ET108" s="231">
        <v>1125.22</v>
      </c>
      <c r="EU108" s="231">
        <v>5362.03</v>
      </c>
      <c r="EV108" s="231">
        <v>133166619</v>
      </c>
      <c r="EW108" s="231">
        <v>8893.24</v>
      </c>
      <c r="EX108" s="231">
        <v>8857.4500000000007</v>
      </c>
      <c r="EY108" s="228">
        <v>35.79</v>
      </c>
      <c r="EZ108" s="229">
        <v>4.0000000000000001E-3</v>
      </c>
      <c r="FA108" s="229">
        <v>0.6028</v>
      </c>
      <c r="FB108" s="227" t="s">
        <v>567</v>
      </c>
      <c r="FC108">
        <f t="shared" si="1"/>
        <v>272</v>
      </c>
    </row>
    <row r="109" spans="1:159" ht="17.25" thickBot="1" x14ac:dyDescent="0.3">
      <c r="A109" s="226">
        <v>46008</v>
      </c>
      <c r="B109" s="227" t="s">
        <v>168</v>
      </c>
      <c r="C109" s="227" t="s">
        <v>245</v>
      </c>
      <c r="D109" s="228">
        <v>1250</v>
      </c>
      <c r="E109" s="228">
        <v>13</v>
      </c>
      <c r="F109" s="228">
        <v>554.70000000000005</v>
      </c>
      <c r="G109" s="228">
        <v>561.04999999999995</v>
      </c>
      <c r="H109" s="228">
        <v>-6.35</v>
      </c>
      <c r="I109" s="229">
        <v>-1.1299999999999999E-2</v>
      </c>
      <c r="J109" s="228">
        <v>554.04999999999995</v>
      </c>
      <c r="K109" s="228">
        <v>560.20000000000005</v>
      </c>
      <c r="L109" s="228">
        <v>-6.15</v>
      </c>
      <c r="M109" s="229">
        <v>-1.0999999999999999E-2</v>
      </c>
      <c r="N109" s="228">
        <v>554.70000000000005</v>
      </c>
      <c r="O109" s="228">
        <v>561.04999999999995</v>
      </c>
      <c r="P109" s="228">
        <v>-6.35</v>
      </c>
      <c r="Q109" s="229">
        <v>-1.1299999999999999E-2</v>
      </c>
      <c r="R109" s="228">
        <v>557.79999999999995</v>
      </c>
      <c r="S109" s="228">
        <v>564.5</v>
      </c>
      <c r="T109" s="228">
        <v>-6.7</v>
      </c>
      <c r="U109" s="229">
        <v>-1.1900000000000001E-2</v>
      </c>
      <c r="V109" s="228">
        <v>561.15</v>
      </c>
      <c r="W109" s="228">
        <v>567.5</v>
      </c>
      <c r="X109" s="228">
        <v>-6.35</v>
      </c>
      <c r="Y109" s="229">
        <v>-1.12E-2</v>
      </c>
      <c r="Z109" s="228">
        <v>0.65</v>
      </c>
      <c r="AA109" s="228">
        <v>0.85</v>
      </c>
      <c r="AB109" s="228">
        <v>-0.2</v>
      </c>
      <c r="AC109" s="229">
        <v>1.1999999999999999E-3</v>
      </c>
      <c r="AD109" s="228">
        <v>0.65</v>
      </c>
      <c r="AE109" s="228">
        <v>0.85</v>
      </c>
      <c r="AF109" s="228">
        <v>-0.2</v>
      </c>
      <c r="AG109" s="229">
        <v>1.1999999999999999E-3</v>
      </c>
      <c r="AH109" s="228">
        <v>3.75</v>
      </c>
      <c r="AI109" s="228">
        <v>4.3</v>
      </c>
      <c r="AJ109" s="228">
        <v>-0.55000000000000004</v>
      </c>
      <c r="AK109" s="229">
        <v>6.7999999999999996E-3</v>
      </c>
      <c r="AL109" s="228">
        <v>7.1</v>
      </c>
      <c r="AM109" s="228">
        <v>7.3</v>
      </c>
      <c r="AN109" s="228">
        <v>-0.2</v>
      </c>
      <c r="AO109" s="229">
        <v>1.2800000000000001E-2</v>
      </c>
      <c r="AP109" s="228">
        <v>555.97</v>
      </c>
      <c r="AQ109" s="228">
        <v>558.57000000000005</v>
      </c>
      <c r="AR109" s="228">
        <v>0</v>
      </c>
      <c r="AS109" s="228">
        <v>273</v>
      </c>
      <c r="AT109" s="228">
        <v>460</v>
      </c>
      <c r="AU109" s="228">
        <v>-187</v>
      </c>
      <c r="AV109" s="229">
        <v>-0.40560000000000002</v>
      </c>
      <c r="AW109" s="228">
        <v>213</v>
      </c>
      <c r="AX109" s="228">
        <v>359</v>
      </c>
      <c r="AY109" s="228">
        <v>-146</v>
      </c>
      <c r="AZ109" s="229">
        <v>-0.40760000000000002</v>
      </c>
      <c r="BA109" s="228">
        <v>55</v>
      </c>
      <c r="BB109" s="228">
        <v>89</v>
      </c>
      <c r="BC109" s="228">
        <v>-34</v>
      </c>
      <c r="BD109" s="229">
        <v>-0.38369999999999999</v>
      </c>
      <c r="BE109" s="228">
        <v>6</v>
      </c>
      <c r="BF109" s="228">
        <v>12</v>
      </c>
      <c r="BG109" s="228">
        <v>-6</v>
      </c>
      <c r="BH109" s="229">
        <v>-0.50570000000000004</v>
      </c>
      <c r="BI109" s="228">
        <v>752</v>
      </c>
      <c r="BJ109" s="230">
        <v>1019</v>
      </c>
      <c r="BK109" s="228">
        <v>-267</v>
      </c>
      <c r="BL109" s="229">
        <v>-0.26190000000000002</v>
      </c>
      <c r="BM109" s="228">
        <v>476</v>
      </c>
      <c r="BN109" s="228">
        <v>669</v>
      </c>
      <c r="BO109" s="228">
        <v>-193</v>
      </c>
      <c r="BP109" s="229">
        <v>-0.28910000000000002</v>
      </c>
      <c r="BQ109" s="230">
        <v>1501</v>
      </c>
      <c r="BR109" s="230">
        <v>2148</v>
      </c>
      <c r="BS109" s="228">
        <v>-647</v>
      </c>
      <c r="BT109" s="229">
        <v>-0.30109999999999998</v>
      </c>
      <c r="BU109" s="230">
        <v>1592150</v>
      </c>
      <c r="BV109" s="230">
        <v>5676226</v>
      </c>
      <c r="BW109" s="230">
        <v>-4084076</v>
      </c>
      <c r="BX109" s="229">
        <v>-0.71950000000000003</v>
      </c>
      <c r="BY109" s="230">
        <v>1233</v>
      </c>
      <c r="BZ109" s="230">
        <v>1210</v>
      </c>
      <c r="CA109" s="228">
        <v>23</v>
      </c>
      <c r="CB109" s="229">
        <v>1.9E-2</v>
      </c>
      <c r="CC109" s="230">
        <v>1095</v>
      </c>
      <c r="CD109" s="230">
        <v>1101</v>
      </c>
      <c r="CE109" s="228">
        <v>-7</v>
      </c>
      <c r="CF109" s="229">
        <v>-6.0000000000000001E-3</v>
      </c>
      <c r="CG109" s="228">
        <v>125</v>
      </c>
      <c r="CH109" s="228">
        <v>98</v>
      </c>
      <c r="CI109" s="228">
        <v>27</v>
      </c>
      <c r="CJ109" s="229">
        <v>0.28139999999999998</v>
      </c>
      <c r="CK109" s="228">
        <v>13</v>
      </c>
      <c r="CL109" s="228">
        <v>11</v>
      </c>
      <c r="CM109" s="228">
        <v>2</v>
      </c>
      <c r="CN109" s="229">
        <v>0.19109999999999999</v>
      </c>
      <c r="CO109" s="228">
        <v>806</v>
      </c>
      <c r="CP109" s="228">
        <v>715</v>
      </c>
      <c r="CQ109" s="228">
        <v>90</v>
      </c>
      <c r="CR109" s="229">
        <v>0.12640000000000001</v>
      </c>
      <c r="CS109" s="228">
        <v>452</v>
      </c>
      <c r="CT109" s="228">
        <v>433</v>
      </c>
      <c r="CU109" s="228">
        <v>19</v>
      </c>
      <c r="CV109" s="229">
        <v>4.2700000000000002E-2</v>
      </c>
      <c r="CW109" s="230">
        <v>2491</v>
      </c>
      <c r="CX109" s="230">
        <v>2359</v>
      </c>
      <c r="CY109" s="228">
        <v>132</v>
      </c>
      <c r="CZ109" s="229">
        <v>5.5899999999999998E-2</v>
      </c>
      <c r="DA109" s="228">
        <v>26.83</v>
      </c>
      <c r="DB109" s="228">
        <v>26.99</v>
      </c>
      <c r="DC109" s="228">
        <v>-0.16</v>
      </c>
      <c r="DD109" s="228">
        <v>-0.16</v>
      </c>
      <c r="DE109" s="228">
        <v>33.82</v>
      </c>
      <c r="DF109" s="228">
        <v>33.880000000000003</v>
      </c>
      <c r="DG109" s="228">
        <v>-6.99</v>
      </c>
      <c r="DH109" s="228">
        <v>-0.06</v>
      </c>
      <c r="DI109" s="228">
        <v>27.24</v>
      </c>
      <c r="DJ109" s="228">
        <v>27.44</v>
      </c>
      <c r="DK109" s="228">
        <v>-0.2</v>
      </c>
      <c r="DL109" s="228">
        <v>-0.2</v>
      </c>
      <c r="DM109" s="228">
        <v>26.18</v>
      </c>
      <c r="DN109" s="228">
        <v>26.31</v>
      </c>
      <c r="DO109" s="228">
        <v>-0.13</v>
      </c>
      <c r="DP109" s="228">
        <v>-0.13</v>
      </c>
      <c r="DQ109" s="228">
        <v>0.56000000000000005</v>
      </c>
      <c r="DR109" s="228">
        <v>0.61</v>
      </c>
      <c r="DS109" s="228">
        <v>-0.05</v>
      </c>
      <c r="DT109" s="229">
        <v>-8.2000000000000003E-2</v>
      </c>
      <c r="DU109" s="228">
        <v>600</v>
      </c>
      <c r="DV109" s="228">
        <v>550</v>
      </c>
      <c r="DW109" s="228">
        <v>0.63</v>
      </c>
      <c r="DX109" s="228">
        <v>0.66</v>
      </c>
      <c r="DY109" s="228">
        <v>-0.03</v>
      </c>
      <c r="DZ109" s="229">
        <v>-4.5499999999999999E-2</v>
      </c>
      <c r="EA109" s="229">
        <v>0.1119</v>
      </c>
      <c r="EB109" s="230">
        <v>1955000</v>
      </c>
      <c r="EC109" s="229">
        <v>5.5999999999999999E-3</v>
      </c>
      <c r="ED109" s="229">
        <v>0.1119</v>
      </c>
      <c r="EE109" s="228">
        <v>2.6</v>
      </c>
      <c r="EF109" s="229">
        <v>4.7000000000000002E-3</v>
      </c>
      <c r="EG109" s="230">
        <v>688380</v>
      </c>
      <c r="EH109" s="230">
        <v>3901707</v>
      </c>
      <c r="EI109" s="229">
        <v>-0.8236</v>
      </c>
      <c r="EJ109" s="229">
        <v>0.43240000000000001</v>
      </c>
      <c r="EK109" s="228">
        <v>796.59</v>
      </c>
      <c r="EL109" s="228">
        <v>478.24</v>
      </c>
      <c r="EM109" s="228">
        <v>274.36</v>
      </c>
      <c r="EN109" s="228">
        <v>45.16</v>
      </c>
      <c r="EO109" s="231">
        <v>1549.19</v>
      </c>
      <c r="EP109" s="231">
        <v>2257.4299999999998</v>
      </c>
      <c r="EQ109" s="228">
        <v>-708.24</v>
      </c>
      <c r="ER109" s="229">
        <v>-0.31369999999999998</v>
      </c>
      <c r="ES109" s="228">
        <v>879.67</v>
      </c>
      <c r="ET109" s="228">
        <v>457.01</v>
      </c>
      <c r="EU109" s="231">
        <v>1233.67</v>
      </c>
      <c r="EV109" s="231">
        <v>48884739</v>
      </c>
      <c r="EW109" s="231">
        <v>2570.35</v>
      </c>
      <c r="EX109" s="231">
        <v>2453.46</v>
      </c>
      <c r="EY109" s="228">
        <v>116.89</v>
      </c>
      <c r="EZ109" s="229">
        <v>4.7600000000000003E-2</v>
      </c>
      <c r="FA109" s="229">
        <v>0.91849999999999998</v>
      </c>
      <c r="FB109" s="227" t="s">
        <v>567</v>
      </c>
      <c r="FC109">
        <f t="shared" si="1"/>
        <v>138</v>
      </c>
    </row>
    <row r="110" spans="1:159" ht="17.25" thickBot="1" x14ac:dyDescent="0.3">
      <c r="A110" s="226">
        <v>46008</v>
      </c>
      <c r="B110" s="227" t="s">
        <v>168</v>
      </c>
      <c r="C110" s="227" t="s">
        <v>582</v>
      </c>
      <c r="D110" s="228">
        <v>1175</v>
      </c>
      <c r="E110" s="228">
        <v>13</v>
      </c>
      <c r="F110" s="228">
        <v>475.3</v>
      </c>
      <c r="G110" s="228">
        <v>479.65</v>
      </c>
      <c r="H110" s="228">
        <v>-4.3499999999999996</v>
      </c>
      <c r="I110" s="229">
        <v>-9.1000000000000004E-3</v>
      </c>
      <c r="J110" s="228">
        <v>474.85</v>
      </c>
      <c r="K110" s="228">
        <v>479.1</v>
      </c>
      <c r="L110" s="228">
        <v>-4.25</v>
      </c>
      <c r="M110" s="229">
        <v>-8.8999999999999999E-3</v>
      </c>
      <c r="N110" s="228">
        <v>475.3</v>
      </c>
      <c r="O110" s="228">
        <v>479.65</v>
      </c>
      <c r="P110" s="228">
        <v>-4.3499999999999996</v>
      </c>
      <c r="Q110" s="229">
        <v>-9.1000000000000004E-3</v>
      </c>
      <c r="R110" s="228">
        <v>478.65</v>
      </c>
      <c r="S110" s="228">
        <v>482.6</v>
      </c>
      <c r="T110" s="228">
        <v>-3.95</v>
      </c>
      <c r="U110" s="229">
        <v>-8.2000000000000007E-3</v>
      </c>
      <c r="V110" s="228">
        <v>481.05</v>
      </c>
      <c r="W110" s="228">
        <v>486.1</v>
      </c>
      <c r="X110" s="228">
        <v>-5.05</v>
      </c>
      <c r="Y110" s="229">
        <v>-1.04E-2</v>
      </c>
      <c r="Z110" s="228">
        <v>0.45</v>
      </c>
      <c r="AA110" s="228">
        <v>0.55000000000000004</v>
      </c>
      <c r="AB110" s="228">
        <v>-0.1</v>
      </c>
      <c r="AC110" s="229">
        <v>8.9999999999999998E-4</v>
      </c>
      <c r="AD110" s="228">
        <v>0.45</v>
      </c>
      <c r="AE110" s="228">
        <v>0.55000000000000004</v>
      </c>
      <c r="AF110" s="228">
        <v>-0.1</v>
      </c>
      <c r="AG110" s="229">
        <v>8.9999999999999998E-4</v>
      </c>
      <c r="AH110" s="228">
        <v>3.8</v>
      </c>
      <c r="AI110" s="228">
        <v>3.5</v>
      </c>
      <c r="AJ110" s="228">
        <v>0.3</v>
      </c>
      <c r="AK110" s="229">
        <v>8.0000000000000002E-3</v>
      </c>
      <c r="AL110" s="228">
        <v>6.2</v>
      </c>
      <c r="AM110" s="228">
        <v>7</v>
      </c>
      <c r="AN110" s="228">
        <v>-0.8</v>
      </c>
      <c r="AO110" s="229">
        <v>1.3100000000000001E-2</v>
      </c>
      <c r="AP110" s="228">
        <v>476.91</v>
      </c>
      <c r="AQ110" s="228">
        <v>479.01</v>
      </c>
      <c r="AR110" s="228">
        <v>0</v>
      </c>
      <c r="AS110" s="228">
        <v>189</v>
      </c>
      <c r="AT110" s="228">
        <v>130</v>
      </c>
      <c r="AU110" s="228">
        <v>59</v>
      </c>
      <c r="AV110" s="229">
        <v>0.45619999999999999</v>
      </c>
      <c r="AW110" s="228">
        <v>162</v>
      </c>
      <c r="AX110" s="228">
        <v>106</v>
      </c>
      <c r="AY110" s="228">
        <v>57</v>
      </c>
      <c r="AZ110" s="229">
        <v>0.5373</v>
      </c>
      <c r="BA110" s="228">
        <v>24</v>
      </c>
      <c r="BB110" s="228">
        <v>22</v>
      </c>
      <c r="BC110" s="228">
        <v>2</v>
      </c>
      <c r="BD110" s="229">
        <v>9.0200000000000002E-2</v>
      </c>
      <c r="BE110" s="228">
        <v>3</v>
      </c>
      <c r="BF110" s="228">
        <v>2</v>
      </c>
      <c r="BG110" s="228">
        <v>1</v>
      </c>
      <c r="BH110" s="229">
        <v>0.26319999999999999</v>
      </c>
      <c r="BI110" s="228">
        <v>475</v>
      </c>
      <c r="BJ110" s="228">
        <v>280</v>
      </c>
      <c r="BK110" s="228">
        <v>195</v>
      </c>
      <c r="BL110" s="229">
        <v>0.69869999999999999</v>
      </c>
      <c r="BM110" s="228">
        <v>260</v>
      </c>
      <c r="BN110" s="228">
        <v>86</v>
      </c>
      <c r="BO110" s="228">
        <v>174</v>
      </c>
      <c r="BP110" s="229">
        <v>2.0326</v>
      </c>
      <c r="BQ110" s="228">
        <v>924</v>
      </c>
      <c r="BR110" s="228">
        <v>495</v>
      </c>
      <c r="BS110" s="228">
        <v>429</v>
      </c>
      <c r="BT110" s="229">
        <v>0.8659</v>
      </c>
      <c r="BU110" s="230">
        <v>2786083</v>
      </c>
      <c r="BV110" s="230">
        <v>1226530</v>
      </c>
      <c r="BW110" s="230">
        <v>1559553</v>
      </c>
      <c r="BX110" s="229">
        <v>1.2715000000000001</v>
      </c>
      <c r="BY110" s="230">
        <v>1615</v>
      </c>
      <c r="BZ110" s="230">
        <v>1580</v>
      </c>
      <c r="CA110" s="228">
        <v>35</v>
      </c>
      <c r="CB110" s="229">
        <v>2.2200000000000001E-2</v>
      </c>
      <c r="CC110" s="230">
        <v>1548</v>
      </c>
      <c r="CD110" s="230">
        <v>1525</v>
      </c>
      <c r="CE110" s="228">
        <v>24</v>
      </c>
      <c r="CF110" s="229">
        <v>1.55E-2</v>
      </c>
      <c r="CG110" s="228">
        <v>59</v>
      </c>
      <c r="CH110" s="228">
        <v>48</v>
      </c>
      <c r="CI110" s="228">
        <v>11</v>
      </c>
      <c r="CJ110" s="229">
        <v>0.23430000000000001</v>
      </c>
      <c r="CK110" s="228">
        <v>8</v>
      </c>
      <c r="CL110" s="228">
        <v>7</v>
      </c>
      <c r="CM110" s="228">
        <v>0</v>
      </c>
      <c r="CN110" s="229">
        <v>2.9899999999999999E-2</v>
      </c>
      <c r="CO110" s="228">
        <v>545</v>
      </c>
      <c r="CP110" s="228">
        <v>521</v>
      </c>
      <c r="CQ110" s="228">
        <v>25</v>
      </c>
      <c r="CR110" s="229">
        <v>4.7600000000000003E-2</v>
      </c>
      <c r="CS110" s="228">
        <v>300</v>
      </c>
      <c r="CT110" s="228">
        <v>305</v>
      </c>
      <c r="CU110" s="228">
        <v>-5</v>
      </c>
      <c r="CV110" s="229">
        <v>-1.66E-2</v>
      </c>
      <c r="CW110" s="230">
        <v>2461</v>
      </c>
      <c r="CX110" s="230">
        <v>2406</v>
      </c>
      <c r="CY110" s="228">
        <v>55</v>
      </c>
      <c r="CZ110" s="229">
        <v>2.2800000000000001E-2</v>
      </c>
      <c r="DA110" s="228">
        <v>30.15</v>
      </c>
      <c r="DB110" s="228">
        <v>28.97</v>
      </c>
      <c r="DC110" s="228">
        <v>1.18</v>
      </c>
      <c r="DD110" s="228">
        <v>1.18</v>
      </c>
      <c r="DE110" s="228">
        <v>48.12</v>
      </c>
      <c r="DF110" s="228">
        <v>48.23</v>
      </c>
      <c r="DG110" s="228">
        <v>-17.97</v>
      </c>
      <c r="DH110" s="228">
        <v>-0.11</v>
      </c>
      <c r="DI110" s="228">
        <v>30.81</v>
      </c>
      <c r="DJ110" s="228">
        <v>29.23</v>
      </c>
      <c r="DK110" s="228">
        <v>1.58</v>
      </c>
      <c r="DL110" s="228">
        <v>1.58</v>
      </c>
      <c r="DM110" s="228">
        <v>28.94</v>
      </c>
      <c r="DN110" s="228">
        <v>28.13</v>
      </c>
      <c r="DO110" s="228">
        <v>0.81</v>
      </c>
      <c r="DP110" s="228">
        <v>0.81</v>
      </c>
      <c r="DQ110" s="228">
        <v>0.55000000000000004</v>
      </c>
      <c r="DR110" s="228">
        <v>0.59</v>
      </c>
      <c r="DS110" s="228">
        <v>-0.04</v>
      </c>
      <c r="DT110" s="229">
        <v>-6.7799999999999999E-2</v>
      </c>
      <c r="DU110" s="228">
        <v>500</v>
      </c>
      <c r="DV110" s="228">
        <v>440</v>
      </c>
      <c r="DW110" s="228">
        <v>0.55000000000000004</v>
      </c>
      <c r="DX110" s="228">
        <v>0.31</v>
      </c>
      <c r="DY110" s="228">
        <v>0.24</v>
      </c>
      <c r="DZ110" s="229">
        <v>0.7742</v>
      </c>
      <c r="EA110" s="229">
        <v>4.1599999999999998E-2</v>
      </c>
      <c r="EB110" s="230">
        <v>1170300</v>
      </c>
      <c r="EC110" s="229">
        <v>7.0000000000000001E-3</v>
      </c>
      <c r="ED110" s="229">
        <v>4.1599999999999998E-2</v>
      </c>
      <c r="EE110" s="228">
        <v>2.1</v>
      </c>
      <c r="EF110" s="229">
        <v>4.4000000000000003E-3</v>
      </c>
      <c r="EG110" s="230">
        <v>1216852</v>
      </c>
      <c r="EH110" s="230">
        <v>291142</v>
      </c>
      <c r="EI110" s="229">
        <v>3.1796000000000002</v>
      </c>
      <c r="EJ110" s="229">
        <v>0.43680000000000002</v>
      </c>
      <c r="EK110" s="228">
        <v>499.71</v>
      </c>
      <c r="EL110" s="228">
        <v>255.62</v>
      </c>
      <c r="EM110" s="228">
        <v>190.09</v>
      </c>
      <c r="EN110" s="228">
        <v>24.27</v>
      </c>
      <c r="EO110" s="228">
        <v>945.43</v>
      </c>
      <c r="EP110" s="228">
        <v>511.3</v>
      </c>
      <c r="EQ110" s="228">
        <v>434.13</v>
      </c>
      <c r="ER110" s="229">
        <v>0.84909999999999997</v>
      </c>
      <c r="ES110" s="228">
        <v>586.30999999999995</v>
      </c>
      <c r="ET110" s="228">
        <v>294.85000000000002</v>
      </c>
      <c r="EU110" s="231">
        <v>1615.8</v>
      </c>
      <c r="EV110" s="231">
        <v>57552009</v>
      </c>
      <c r="EW110" s="231">
        <v>2496.96</v>
      </c>
      <c r="EX110" s="231">
        <v>2455.91</v>
      </c>
      <c r="EY110" s="228">
        <v>41.05</v>
      </c>
      <c r="EZ110" s="229">
        <v>1.67E-2</v>
      </c>
      <c r="FA110" s="229">
        <v>0.89970000000000006</v>
      </c>
      <c r="FB110" s="227" t="s">
        <v>567</v>
      </c>
      <c r="FC110">
        <f t="shared" si="1"/>
        <v>67</v>
      </c>
    </row>
    <row r="111" spans="1:159" ht="17.25" thickBot="1" x14ac:dyDescent="0.3">
      <c r="A111" s="226">
        <v>46008</v>
      </c>
      <c r="B111" s="227" t="s">
        <v>184</v>
      </c>
      <c r="C111" s="227" t="s">
        <v>677</v>
      </c>
      <c r="D111" s="228">
        <v>100</v>
      </c>
      <c r="E111" s="228">
        <v>13</v>
      </c>
      <c r="F111" s="231">
        <v>4098.5</v>
      </c>
      <c r="G111" s="231">
        <v>4194.5</v>
      </c>
      <c r="H111" s="228">
        <v>-96</v>
      </c>
      <c r="I111" s="229">
        <v>-2.29E-2</v>
      </c>
      <c r="J111" s="231">
        <v>4093.5</v>
      </c>
      <c r="K111" s="231">
        <v>4186.5</v>
      </c>
      <c r="L111" s="228">
        <v>-93</v>
      </c>
      <c r="M111" s="229">
        <v>-2.2200000000000001E-2</v>
      </c>
      <c r="N111" s="231">
        <v>4098.5</v>
      </c>
      <c r="O111" s="231">
        <v>4194.5</v>
      </c>
      <c r="P111" s="228">
        <v>-96</v>
      </c>
      <c r="Q111" s="229">
        <v>-2.29E-2</v>
      </c>
      <c r="R111" s="231">
        <v>4114.5</v>
      </c>
      <c r="S111" s="231">
        <v>4217</v>
      </c>
      <c r="T111" s="228">
        <v>-102.5</v>
      </c>
      <c r="U111" s="229">
        <v>-2.4299999999999999E-2</v>
      </c>
      <c r="V111" s="231">
        <v>4145</v>
      </c>
      <c r="W111" s="231">
        <v>4242.5</v>
      </c>
      <c r="X111" s="228">
        <v>-97.5</v>
      </c>
      <c r="Y111" s="229">
        <v>-2.3E-2</v>
      </c>
      <c r="Z111" s="228">
        <v>5</v>
      </c>
      <c r="AA111" s="228">
        <v>8</v>
      </c>
      <c r="AB111" s="228">
        <v>-3</v>
      </c>
      <c r="AC111" s="229">
        <v>1.1999999999999999E-3</v>
      </c>
      <c r="AD111" s="228">
        <v>5</v>
      </c>
      <c r="AE111" s="228">
        <v>8</v>
      </c>
      <c r="AF111" s="228">
        <v>-3</v>
      </c>
      <c r="AG111" s="229">
        <v>1.1999999999999999E-3</v>
      </c>
      <c r="AH111" s="228">
        <v>21</v>
      </c>
      <c r="AI111" s="228">
        <v>30.5</v>
      </c>
      <c r="AJ111" s="228">
        <v>-9.5</v>
      </c>
      <c r="AK111" s="229">
        <v>5.1000000000000004E-3</v>
      </c>
      <c r="AL111" s="228">
        <v>51.5</v>
      </c>
      <c r="AM111" s="228">
        <v>56</v>
      </c>
      <c r="AN111" s="228">
        <v>-4.5</v>
      </c>
      <c r="AO111" s="229">
        <v>1.26E-2</v>
      </c>
      <c r="AP111" s="231">
        <v>4173.8</v>
      </c>
      <c r="AQ111" s="231">
        <v>4189.68</v>
      </c>
      <c r="AR111" s="228">
        <v>0</v>
      </c>
      <c r="AS111" s="228">
        <v>534</v>
      </c>
      <c r="AT111" s="228">
        <v>378</v>
      </c>
      <c r="AU111" s="228">
        <v>156</v>
      </c>
      <c r="AV111" s="229">
        <v>0.41399999999999998</v>
      </c>
      <c r="AW111" s="228">
        <v>457</v>
      </c>
      <c r="AX111" s="228">
        <v>325</v>
      </c>
      <c r="AY111" s="228">
        <v>132</v>
      </c>
      <c r="AZ111" s="229">
        <v>0.40620000000000001</v>
      </c>
      <c r="BA111" s="228">
        <v>72</v>
      </c>
      <c r="BB111" s="228">
        <v>50</v>
      </c>
      <c r="BC111" s="228">
        <v>23</v>
      </c>
      <c r="BD111" s="229">
        <v>0.45340000000000003</v>
      </c>
      <c r="BE111" s="228">
        <v>5</v>
      </c>
      <c r="BF111" s="228">
        <v>3</v>
      </c>
      <c r="BG111" s="228">
        <v>2</v>
      </c>
      <c r="BH111" s="229">
        <v>0.6</v>
      </c>
      <c r="BI111" s="230">
        <v>4202</v>
      </c>
      <c r="BJ111" s="230">
        <v>3061</v>
      </c>
      <c r="BK111" s="230">
        <v>1141</v>
      </c>
      <c r="BL111" s="229">
        <v>0.37280000000000002</v>
      </c>
      <c r="BM111" s="230">
        <v>2086</v>
      </c>
      <c r="BN111" s="230">
        <v>1476</v>
      </c>
      <c r="BO111" s="228">
        <v>610</v>
      </c>
      <c r="BP111" s="229">
        <v>0.41320000000000001</v>
      </c>
      <c r="BQ111" s="230">
        <v>6822</v>
      </c>
      <c r="BR111" s="230">
        <v>4914</v>
      </c>
      <c r="BS111" s="230">
        <v>1907</v>
      </c>
      <c r="BT111" s="229">
        <v>0.3881</v>
      </c>
      <c r="BU111" s="230">
        <v>2863234</v>
      </c>
      <c r="BV111" s="230">
        <v>2588680</v>
      </c>
      <c r="BW111" s="230">
        <v>274554</v>
      </c>
      <c r="BX111" s="229">
        <v>0.1061</v>
      </c>
      <c r="BY111" s="230">
        <v>1565</v>
      </c>
      <c r="BZ111" s="230">
        <v>1531</v>
      </c>
      <c r="CA111" s="228">
        <v>33</v>
      </c>
      <c r="CB111" s="229">
        <v>2.18E-2</v>
      </c>
      <c r="CC111" s="230">
        <v>1341</v>
      </c>
      <c r="CD111" s="230">
        <v>1322</v>
      </c>
      <c r="CE111" s="228">
        <v>19</v>
      </c>
      <c r="CF111" s="229">
        <v>1.4500000000000001E-2</v>
      </c>
      <c r="CG111" s="228">
        <v>183</v>
      </c>
      <c r="CH111" s="228">
        <v>171</v>
      </c>
      <c r="CI111" s="228">
        <v>12</v>
      </c>
      <c r="CJ111" s="229">
        <v>7.1999999999999995E-2</v>
      </c>
      <c r="CK111" s="228">
        <v>40</v>
      </c>
      <c r="CL111" s="228">
        <v>38</v>
      </c>
      <c r="CM111" s="228">
        <v>2</v>
      </c>
      <c r="CN111" s="229">
        <v>4.8099999999999997E-2</v>
      </c>
      <c r="CO111" s="230">
        <v>3423</v>
      </c>
      <c r="CP111" s="230">
        <v>3367</v>
      </c>
      <c r="CQ111" s="228">
        <v>56</v>
      </c>
      <c r="CR111" s="229">
        <v>1.66E-2</v>
      </c>
      <c r="CS111" s="230">
        <v>1366</v>
      </c>
      <c r="CT111" s="230">
        <v>1348</v>
      </c>
      <c r="CU111" s="228">
        <v>18</v>
      </c>
      <c r="CV111" s="229">
        <v>1.35E-2</v>
      </c>
      <c r="CW111" s="230">
        <v>6354</v>
      </c>
      <c r="CX111" s="230">
        <v>6247</v>
      </c>
      <c r="CY111" s="228">
        <v>107</v>
      </c>
      <c r="CZ111" s="229">
        <v>1.72E-2</v>
      </c>
      <c r="DA111" s="228">
        <v>56.54</v>
      </c>
      <c r="DB111" s="228">
        <v>56.74</v>
      </c>
      <c r="DC111" s="228">
        <v>-0.2</v>
      </c>
      <c r="DD111" s="228">
        <v>-0.2</v>
      </c>
      <c r="DE111" s="228">
        <v>63.17</v>
      </c>
      <c r="DF111" s="228">
        <v>63.26</v>
      </c>
      <c r="DG111" s="228">
        <v>-6.63</v>
      </c>
      <c r="DH111" s="228">
        <v>-0.09</v>
      </c>
      <c r="DI111" s="228">
        <v>54.62</v>
      </c>
      <c r="DJ111" s="228">
        <v>55.37</v>
      </c>
      <c r="DK111" s="228">
        <v>-0.75</v>
      </c>
      <c r="DL111" s="228">
        <v>-0.75</v>
      </c>
      <c r="DM111" s="228">
        <v>60.43</v>
      </c>
      <c r="DN111" s="228">
        <v>59.57</v>
      </c>
      <c r="DO111" s="228">
        <v>0.86</v>
      </c>
      <c r="DP111" s="228">
        <v>0.86</v>
      </c>
      <c r="DQ111" s="228">
        <v>0.4</v>
      </c>
      <c r="DR111" s="228">
        <v>0.4</v>
      </c>
      <c r="DS111" s="228">
        <v>0</v>
      </c>
      <c r="DT111" s="229">
        <v>0</v>
      </c>
      <c r="DU111" s="231">
        <v>5000</v>
      </c>
      <c r="DV111" s="231">
        <v>4000</v>
      </c>
      <c r="DW111" s="228">
        <v>0.5</v>
      </c>
      <c r="DX111" s="228">
        <v>0.48</v>
      </c>
      <c r="DY111" s="228">
        <v>0.02</v>
      </c>
      <c r="DZ111" s="229">
        <v>4.1700000000000001E-2</v>
      </c>
      <c r="EA111" s="229">
        <v>0.14269999999999999</v>
      </c>
      <c r="EB111" s="230">
        <v>510400</v>
      </c>
      <c r="EC111" s="229">
        <v>3.8999999999999998E-3</v>
      </c>
      <c r="ED111" s="229">
        <v>0.14269999999999999</v>
      </c>
      <c r="EE111" s="228">
        <v>15.88</v>
      </c>
      <c r="EF111" s="229">
        <v>3.8E-3</v>
      </c>
      <c r="EG111" s="230">
        <v>520699</v>
      </c>
      <c r="EH111" s="230">
        <v>377438</v>
      </c>
      <c r="EI111" s="229">
        <v>0.37959999999999999</v>
      </c>
      <c r="EJ111" s="229">
        <v>0.18190000000000001</v>
      </c>
      <c r="EK111" s="231">
        <v>4748.6499999999996</v>
      </c>
      <c r="EL111" s="231">
        <v>2040.3</v>
      </c>
      <c r="EM111" s="228">
        <v>544.20000000000005</v>
      </c>
      <c r="EN111" s="228">
        <v>264.70999999999998</v>
      </c>
      <c r="EO111" s="231">
        <v>7333.15</v>
      </c>
      <c r="EP111" s="231">
        <v>5347.72</v>
      </c>
      <c r="EQ111" s="231">
        <v>1985.43</v>
      </c>
      <c r="ER111" s="229">
        <v>0.37130000000000002</v>
      </c>
      <c r="ES111" s="231">
        <v>4275.2</v>
      </c>
      <c r="ET111" s="231">
        <v>1455.71</v>
      </c>
      <c r="EU111" s="231">
        <v>1565.77</v>
      </c>
      <c r="EV111" s="231">
        <v>4667784</v>
      </c>
      <c r="EW111" s="231">
        <v>7296.69</v>
      </c>
      <c r="EX111" s="231">
        <v>7253.09</v>
      </c>
      <c r="EY111" s="228">
        <v>43.6</v>
      </c>
      <c r="EZ111" s="229">
        <v>6.0000000000000001E-3</v>
      </c>
      <c r="FA111" s="229">
        <v>3.3212999999999999</v>
      </c>
      <c r="FB111" s="227" t="s">
        <v>567</v>
      </c>
      <c r="FC111">
        <f t="shared" si="1"/>
        <v>224</v>
      </c>
    </row>
    <row r="112" spans="1:159" ht="17.25" thickBot="1" x14ac:dyDescent="0.3">
      <c r="A112" s="226">
        <v>46008</v>
      </c>
      <c r="B112" s="227" t="s">
        <v>161</v>
      </c>
      <c r="C112" s="227" t="s">
        <v>610</v>
      </c>
      <c r="D112" s="228">
        <v>175</v>
      </c>
      <c r="E112" s="228">
        <v>13</v>
      </c>
      <c r="F112" s="231">
        <v>4119.8999999999996</v>
      </c>
      <c r="G112" s="231">
        <v>4165.6000000000004</v>
      </c>
      <c r="H112" s="228">
        <v>-45.7</v>
      </c>
      <c r="I112" s="229">
        <v>-1.0999999999999999E-2</v>
      </c>
      <c r="J112" s="231">
        <v>4106.6000000000004</v>
      </c>
      <c r="K112" s="231">
        <v>4156.3</v>
      </c>
      <c r="L112" s="228">
        <v>-49.7</v>
      </c>
      <c r="M112" s="229">
        <v>-1.2E-2</v>
      </c>
      <c r="N112" s="231">
        <v>4119.8999999999996</v>
      </c>
      <c r="O112" s="231">
        <v>4165.6000000000004</v>
      </c>
      <c r="P112" s="228">
        <v>-45.7</v>
      </c>
      <c r="Q112" s="229">
        <v>-1.0999999999999999E-2</v>
      </c>
      <c r="R112" s="231">
        <v>4124</v>
      </c>
      <c r="S112" s="231">
        <v>4163.3999999999996</v>
      </c>
      <c r="T112" s="228">
        <v>-39.4</v>
      </c>
      <c r="U112" s="229">
        <v>-9.4999999999999998E-3</v>
      </c>
      <c r="V112" s="231">
        <v>4181.6000000000004</v>
      </c>
      <c r="W112" s="231">
        <v>4181.6000000000004</v>
      </c>
      <c r="X112" s="228">
        <v>0</v>
      </c>
      <c r="Y112" s="229">
        <v>0</v>
      </c>
      <c r="Z112" s="228">
        <v>13.3</v>
      </c>
      <c r="AA112" s="228">
        <v>9.3000000000000007</v>
      </c>
      <c r="AB112" s="228">
        <v>4</v>
      </c>
      <c r="AC112" s="229">
        <v>3.2000000000000002E-3</v>
      </c>
      <c r="AD112" s="228">
        <v>13.3</v>
      </c>
      <c r="AE112" s="228">
        <v>9.3000000000000007</v>
      </c>
      <c r="AF112" s="228">
        <v>4</v>
      </c>
      <c r="AG112" s="229">
        <v>3.2000000000000002E-3</v>
      </c>
      <c r="AH112" s="228">
        <v>17.399999999999999</v>
      </c>
      <c r="AI112" s="228">
        <v>7.1</v>
      </c>
      <c r="AJ112" s="228">
        <v>10.3</v>
      </c>
      <c r="AK112" s="229">
        <v>4.1999999999999997E-3</v>
      </c>
      <c r="AL112" s="228">
        <v>75</v>
      </c>
      <c r="AM112" s="228">
        <v>25.3</v>
      </c>
      <c r="AN112" s="228">
        <v>49.7</v>
      </c>
      <c r="AO112" s="229">
        <v>1.83E-2</v>
      </c>
      <c r="AP112" s="231">
        <v>4107.25</v>
      </c>
      <c r="AQ112" s="231">
        <v>4109.34</v>
      </c>
      <c r="AR112" s="228">
        <v>0</v>
      </c>
      <c r="AS112" s="228">
        <v>151</v>
      </c>
      <c r="AT112" s="228">
        <v>78</v>
      </c>
      <c r="AU112" s="228">
        <v>74</v>
      </c>
      <c r="AV112" s="229">
        <v>0.95069999999999999</v>
      </c>
      <c r="AW112" s="228">
        <v>131</v>
      </c>
      <c r="AX112" s="228">
        <v>70</v>
      </c>
      <c r="AY112" s="228">
        <v>61</v>
      </c>
      <c r="AZ112" s="229">
        <v>0.87039999999999995</v>
      </c>
      <c r="BA112" s="228">
        <v>20</v>
      </c>
      <c r="BB112" s="228">
        <v>7</v>
      </c>
      <c r="BC112" s="228">
        <v>13</v>
      </c>
      <c r="BD112" s="229">
        <v>1.81</v>
      </c>
      <c r="BE112" s="228">
        <v>0</v>
      </c>
      <c r="BF112" s="228">
        <v>0</v>
      </c>
      <c r="BG112" s="228">
        <v>0</v>
      </c>
      <c r="BH112" s="229">
        <v>-1</v>
      </c>
      <c r="BI112" s="228">
        <v>290</v>
      </c>
      <c r="BJ112" s="228">
        <v>167</v>
      </c>
      <c r="BK112" s="228">
        <v>123</v>
      </c>
      <c r="BL112" s="229">
        <v>0.73519999999999996</v>
      </c>
      <c r="BM112" s="228">
        <v>484</v>
      </c>
      <c r="BN112" s="228">
        <v>110</v>
      </c>
      <c r="BO112" s="228">
        <v>374</v>
      </c>
      <c r="BP112" s="229">
        <v>3.4009999999999998</v>
      </c>
      <c r="BQ112" s="228">
        <v>926</v>
      </c>
      <c r="BR112" s="228">
        <v>355</v>
      </c>
      <c r="BS112" s="228">
        <v>571</v>
      </c>
      <c r="BT112" s="229">
        <v>1.609</v>
      </c>
      <c r="BU112" s="230">
        <v>278857</v>
      </c>
      <c r="BV112" s="230">
        <v>134154</v>
      </c>
      <c r="BW112" s="230">
        <v>144703</v>
      </c>
      <c r="BX112" s="229">
        <v>1.0786</v>
      </c>
      <c r="BY112" s="228">
        <v>477</v>
      </c>
      <c r="BZ112" s="228">
        <v>448</v>
      </c>
      <c r="CA112" s="228">
        <v>29</v>
      </c>
      <c r="CB112" s="229">
        <v>6.3899999999999998E-2</v>
      </c>
      <c r="CC112" s="228">
        <v>435</v>
      </c>
      <c r="CD112" s="228">
        <v>415</v>
      </c>
      <c r="CE112" s="228">
        <v>20</v>
      </c>
      <c r="CF112" s="229">
        <v>4.8500000000000001E-2</v>
      </c>
      <c r="CG112" s="228">
        <v>41</v>
      </c>
      <c r="CH112" s="228">
        <v>32</v>
      </c>
      <c r="CI112" s="228">
        <v>9</v>
      </c>
      <c r="CJ112" s="229">
        <v>0.26340000000000002</v>
      </c>
      <c r="CK112" s="228">
        <v>1</v>
      </c>
      <c r="CL112" s="228">
        <v>1</v>
      </c>
      <c r="CM112" s="228">
        <v>0</v>
      </c>
      <c r="CN112" s="229">
        <v>0</v>
      </c>
      <c r="CO112" s="228">
        <v>282</v>
      </c>
      <c r="CP112" s="228">
        <v>258</v>
      </c>
      <c r="CQ112" s="228">
        <v>24</v>
      </c>
      <c r="CR112" s="229">
        <v>9.3100000000000002E-2</v>
      </c>
      <c r="CS112" s="228">
        <v>190</v>
      </c>
      <c r="CT112" s="228">
        <v>159</v>
      </c>
      <c r="CU112" s="228">
        <v>31</v>
      </c>
      <c r="CV112" s="229">
        <v>0.19439999999999999</v>
      </c>
      <c r="CW112" s="228">
        <v>948</v>
      </c>
      <c r="CX112" s="228">
        <v>865</v>
      </c>
      <c r="CY112" s="228">
        <v>83</v>
      </c>
      <c r="CZ112" s="229">
        <v>9.6600000000000005E-2</v>
      </c>
      <c r="DA112" s="228">
        <v>25.08</v>
      </c>
      <c r="DB112" s="228">
        <v>25.27</v>
      </c>
      <c r="DC112" s="228">
        <v>-0.19</v>
      </c>
      <c r="DD112" s="228">
        <v>-0.19</v>
      </c>
      <c r="DE112" s="228">
        <v>45.7</v>
      </c>
      <c r="DF112" s="228">
        <v>45.79</v>
      </c>
      <c r="DG112" s="228">
        <v>-20.62</v>
      </c>
      <c r="DH112" s="228">
        <v>-0.09</v>
      </c>
      <c r="DI112" s="228">
        <v>24.68</v>
      </c>
      <c r="DJ112" s="228">
        <v>24.87</v>
      </c>
      <c r="DK112" s="228">
        <v>-0.19</v>
      </c>
      <c r="DL112" s="228">
        <v>-0.19</v>
      </c>
      <c r="DM112" s="228">
        <v>25.32</v>
      </c>
      <c r="DN112" s="228">
        <v>25.87</v>
      </c>
      <c r="DO112" s="228">
        <v>-0.55000000000000004</v>
      </c>
      <c r="DP112" s="228">
        <v>-0.55000000000000004</v>
      </c>
      <c r="DQ112" s="228">
        <v>0.67</v>
      </c>
      <c r="DR112" s="228">
        <v>0.62</v>
      </c>
      <c r="DS112" s="228">
        <v>0.05</v>
      </c>
      <c r="DT112" s="229">
        <v>8.0600000000000005E-2</v>
      </c>
      <c r="DU112" s="231">
        <v>4250</v>
      </c>
      <c r="DV112" s="231">
        <v>3900</v>
      </c>
      <c r="DW112" s="228">
        <v>1.67</v>
      </c>
      <c r="DX112" s="228">
        <v>0.66</v>
      </c>
      <c r="DY112" s="228">
        <v>1.01</v>
      </c>
      <c r="DZ112" s="229">
        <v>1.5303</v>
      </c>
      <c r="EA112" s="229">
        <v>8.7900000000000006E-2</v>
      </c>
      <c r="EB112" s="230">
        <v>81025</v>
      </c>
      <c r="EC112" s="229">
        <v>1E-3</v>
      </c>
      <c r="ED112" s="229">
        <v>8.7900000000000006E-2</v>
      </c>
      <c r="EE112" s="228">
        <v>2.09</v>
      </c>
      <c r="EF112" s="229">
        <v>5.0000000000000001E-4</v>
      </c>
      <c r="EG112" s="230">
        <v>172147</v>
      </c>
      <c r="EH112" s="230">
        <v>74894</v>
      </c>
      <c r="EI112" s="229">
        <v>1.2985</v>
      </c>
      <c r="EJ112" s="229">
        <v>0.61729999999999996</v>
      </c>
      <c r="EK112" s="228">
        <v>300.95999999999998</v>
      </c>
      <c r="EL112" s="228">
        <v>476.19</v>
      </c>
      <c r="EM112" s="228">
        <v>150.88</v>
      </c>
      <c r="EN112" s="228">
        <v>19.64</v>
      </c>
      <c r="EO112" s="228">
        <v>928.02</v>
      </c>
      <c r="EP112" s="228">
        <v>362.73</v>
      </c>
      <c r="EQ112" s="228">
        <v>565.29</v>
      </c>
      <c r="ER112" s="229">
        <v>1.5584</v>
      </c>
      <c r="ES112" s="228">
        <v>290.52</v>
      </c>
      <c r="ET112" s="228">
        <v>182</v>
      </c>
      <c r="EU112" s="228">
        <v>476.63</v>
      </c>
      <c r="EV112" s="231">
        <v>9313740</v>
      </c>
      <c r="EW112" s="228">
        <v>949.14</v>
      </c>
      <c r="EX112" s="228">
        <v>871.24</v>
      </c>
      <c r="EY112" s="228">
        <v>77.900000000000006</v>
      </c>
      <c r="EZ112" s="229">
        <v>8.9399999999999993E-2</v>
      </c>
      <c r="FA112" s="229">
        <v>0.24709999999999999</v>
      </c>
      <c r="FB112" s="227" t="s">
        <v>567</v>
      </c>
      <c r="FC112">
        <f t="shared" si="1"/>
        <v>42</v>
      </c>
    </row>
    <row r="113" spans="1:159" ht="17.25" thickBot="1" x14ac:dyDescent="0.3">
      <c r="A113" s="226">
        <v>46008</v>
      </c>
      <c r="B113" s="227" t="s">
        <v>175</v>
      </c>
      <c r="C113" s="227" t="s">
        <v>684</v>
      </c>
      <c r="D113" s="228">
        <v>450</v>
      </c>
      <c r="E113" s="228">
        <v>13</v>
      </c>
      <c r="F113" s="231">
        <v>1031.4000000000001</v>
      </c>
      <c r="G113" s="231">
        <v>1035.2</v>
      </c>
      <c r="H113" s="228">
        <v>-3.8</v>
      </c>
      <c r="I113" s="229">
        <v>-3.7000000000000002E-3</v>
      </c>
      <c r="J113" s="231">
        <v>1031.3</v>
      </c>
      <c r="K113" s="231">
        <v>1034.5</v>
      </c>
      <c r="L113" s="228">
        <v>-3.2</v>
      </c>
      <c r="M113" s="229">
        <v>-3.0999999999999999E-3</v>
      </c>
      <c r="N113" s="231">
        <v>1031.4000000000001</v>
      </c>
      <c r="O113" s="231">
        <v>1035.2</v>
      </c>
      <c r="P113" s="228">
        <v>-3.8</v>
      </c>
      <c r="Q113" s="229">
        <v>-3.7000000000000002E-3</v>
      </c>
      <c r="R113" s="231">
        <v>1028.3</v>
      </c>
      <c r="S113" s="231">
        <v>1033</v>
      </c>
      <c r="T113" s="228">
        <v>-4.7</v>
      </c>
      <c r="U113" s="229">
        <v>-4.4999999999999997E-3</v>
      </c>
      <c r="V113" s="231">
        <v>1033.3</v>
      </c>
      <c r="W113" s="231">
        <v>1033.5</v>
      </c>
      <c r="X113" s="228">
        <v>-0.2</v>
      </c>
      <c r="Y113" s="229">
        <v>-2.0000000000000001E-4</v>
      </c>
      <c r="Z113" s="228">
        <v>0.1</v>
      </c>
      <c r="AA113" s="228">
        <v>0.7</v>
      </c>
      <c r="AB113" s="228">
        <v>-0.6</v>
      </c>
      <c r="AC113" s="229">
        <v>1E-4</v>
      </c>
      <c r="AD113" s="228">
        <v>0.1</v>
      </c>
      <c r="AE113" s="228">
        <v>0.7</v>
      </c>
      <c r="AF113" s="228">
        <v>-0.6</v>
      </c>
      <c r="AG113" s="229">
        <v>1E-4</v>
      </c>
      <c r="AH113" s="228">
        <v>-3</v>
      </c>
      <c r="AI113" s="228">
        <v>-1.5</v>
      </c>
      <c r="AJ113" s="228">
        <v>-1.5</v>
      </c>
      <c r="AK113" s="229">
        <v>-2.8999999999999998E-3</v>
      </c>
      <c r="AL113" s="228">
        <v>2</v>
      </c>
      <c r="AM113" s="228">
        <v>-1</v>
      </c>
      <c r="AN113" s="228">
        <v>3</v>
      </c>
      <c r="AO113" s="229">
        <v>1.9E-3</v>
      </c>
      <c r="AP113" s="231">
        <v>1033.02</v>
      </c>
      <c r="AQ113" s="231">
        <v>1029.3</v>
      </c>
      <c r="AR113" s="228">
        <v>0</v>
      </c>
      <c r="AS113" s="228">
        <v>64</v>
      </c>
      <c r="AT113" s="228">
        <v>53</v>
      </c>
      <c r="AU113" s="228">
        <v>11</v>
      </c>
      <c r="AV113" s="229">
        <v>0.19950000000000001</v>
      </c>
      <c r="AW113" s="228">
        <v>50</v>
      </c>
      <c r="AX113" s="228">
        <v>45</v>
      </c>
      <c r="AY113" s="228">
        <v>5</v>
      </c>
      <c r="AZ113" s="229">
        <v>0.1087</v>
      </c>
      <c r="BA113" s="228">
        <v>13</v>
      </c>
      <c r="BB113" s="228">
        <v>7</v>
      </c>
      <c r="BC113" s="228">
        <v>6</v>
      </c>
      <c r="BD113" s="229">
        <v>0.80249999999999999</v>
      </c>
      <c r="BE113" s="228">
        <v>0</v>
      </c>
      <c r="BF113" s="228">
        <v>1</v>
      </c>
      <c r="BG113" s="228">
        <v>0</v>
      </c>
      <c r="BH113" s="229">
        <v>-0.36359999999999998</v>
      </c>
      <c r="BI113" s="228">
        <v>127</v>
      </c>
      <c r="BJ113" s="228">
        <v>203</v>
      </c>
      <c r="BK113" s="228">
        <v>-77</v>
      </c>
      <c r="BL113" s="229">
        <v>-0.3775</v>
      </c>
      <c r="BM113" s="228">
        <v>60</v>
      </c>
      <c r="BN113" s="228">
        <v>97</v>
      </c>
      <c r="BO113" s="228">
        <v>-38</v>
      </c>
      <c r="BP113" s="229">
        <v>-0.3871</v>
      </c>
      <c r="BQ113" s="228">
        <v>250</v>
      </c>
      <c r="BR113" s="228">
        <v>354</v>
      </c>
      <c r="BS113" s="228">
        <v>-104</v>
      </c>
      <c r="BT113" s="229">
        <v>-0.29360000000000003</v>
      </c>
      <c r="BU113" s="230">
        <v>460051</v>
      </c>
      <c r="BV113" s="230">
        <v>387928</v>
      </c>
      <c r="BW113" s="230">
        <v>72123</v>
      </c>
      <c r="BX113" s="229">
        <v>0.18590000000000001</v>
      </c>
      <c r="BY113" s="228">
        <v>380</v>
      </c>
      <c r="BZ113" s="228">
        <v>369</v>
      </c>
      <c r="CA113" s="228">
        <v>10</v>
      </c>
      <c r="CB113" s="229">
        <v>2.8299999999999999E-2</v>
      </c>
      <c r="CC113" s="228">
        <v>343</v>
      </c>
      <c r="CD113" s="228">
        <v>337</v>
      </c>
      <c r="CE113" s="228">
        <v>5</v>
      </c>
      <c r="CF113" s="229">
        <v>1.5800000000000002E-2</v>
      </c>
      <c r="CG113" s="228">
        <v>35</v>
      </c>
      <c r="CH113" s="228">
        <v>30</v>
      </c>
      <c r="CI113" s="228">
        <v>5</v>
      </c>
      <c r="CJ113" s="229">
        <v>0.1678</v>
      </c>
      <c r="CK113" s="228">
        <v>2</v>
      </c>
      <c r="CL113" s="228">
        <v>2</v>
      </c>
      <c r="CM113" s="228">
        <v>0</v>
      </c>
      <c r="CN113" s="229">
        <v>2.86E-2</v>
      </c>
      <c r="CO113" s="228">
        <v>309</v>
      </c>
      <c r="CP113" s="228">
        <v>315</v>
      </c>
      <c r="CQ113" s="228">
        <v>-6</v>
      </c>
      <c r="CR113" s="229">
        <v>-2.0400000000000001E-2</v>
      </c>
      <c r="CS113" s="228">
        <v>198</v>
      </c>
      <c r="CT113" s="228">
        <v>200</v>
      </c>
      <c r="CU113" s="228">
        <v>-2</v>
      </c>
      <c r="CV113" s="229">
        <v>-1.1900000000000001E-2</v>
      </c>
      <c r="CW113" s="228">
        <v>887</v>
      </c>
      <c r="CX113" s="228">
        <v>885</v>
      </c>
      <c r="CY113" s="228">
        <v>2</v>
      </c>
      <c r="CZ113" s="229">
        <v>1.8E-3</v>
      </c>
      <c r="DA113" s="228">
        <v>30</v>
      </c>
      <c r="DB113" s="228">
        <v>30.14</v>
      </c>
      <c r="DC113" s="228">
        <v>-0.14000000000000001</v>
      </c>
      <c r="DD113" s="228">
        <v>-0.14000000000000001</v>
      </c>
      <c r="DE113" s="228">
        <v>52.8</v>
      </c>
      <c r="DF113" s="228">
        <v>52.93</v>
      </c>
      <c r="DG113" s="228">
        <v>-22.8</v>
      </c>
      <c r="DH113" s="228">
        <v>-0.13</v>
      </c>
      <c r="DI113" s="228">
        <v>30.71</v>
      </c>
      <c r="DJ113" s="228">
        <v>31.02</v>
      </c>
      <c r="DK113" s="228">
        <v>-0.31</v>
      </c>
      <c r="DL113" s="228">
        <v>-0.31</v>
      </c>
      <c r="DM113" s="228">
        <v>28.49</v>
      </c>
      <c r="DN113" s="228">
        <v>28.32</v>
      </c>
      <c r="DO113" s="228">
        <v>0.17</v>
      </c>
      <c r="DP113" s="228">
        <v>0.17</v>
      </c>
      <c r="DQ113" s="228">
        <v>0.64</v>
      </c>
      <c r="DR113" s="228">
        <v>0.63</v>
      </c>
      <c r="DS113" s="228">
        <v>0.01</v>
      </c>
      <c r="DT113" s="229">
        <v>1.5900000000000001E-2</v>
      </c>
      <c r="DU113" s="231">
        <v>1100</v>
      </c>
      <c r="DV113" s="231">
        <v>1000</v>
      </c>
      <c r="DW113" s="228">
        <v>0.47</v>
      </c>
      <c r="DX113" s="228">
        <v>0.48</v>
      </c>
      <c r="DY113" s="228">
        <v>-0.01</v>
      </c>
      <c r="DZ113" s="229">
        <v>-2.0799999999999999E-2</v>
      </c>
      <c r="EA113" s="229">
        <v>9.7500000000000003E-2</v>
      </c>
      <c r="EB113" s="230">
        <v>309500</v>
      </c>
      <c r="EC113" s="229">
        <v>-3.0000000000000001E-3</v>
      </c>
      <c r="ED113" s="229">
        <v>9.7500000000000003E-2</v>
      </c>
      <c r="EE113" s="228">
        <v>-3.72</v>
      </c>
      <c r="EF113" s="229">
        <v>-3.5999999999999999E-3</v>
      </c>
      <c r="EG113" s="230">
        <v>189298</v>
      </c>
      <c r="EH113" s="230">
        <v>183056</v>
      </c>
      <c r="EI113" s="229">
        <v>3.4099999999999998E-2</v>
      </c>
      <c r="EJ113" s="229">
        <v>0.41149999999999998</v>
      </c>
      <c r="EK113" s="228">
        <v>134.26</v>
      </c>
      <c r="EL113" s="228">
        <v>59.46</v>
      </c>
      <c r="EM113" s="228">
        <v>65.180000000000007</v>
      </c>
      <c r="EN113" s="228">
        <v>19.66</v>
      </c>
      <c r="EO113" s="228">
        <v>258.89</v>
      </c>
      <c r="EP113" s="228">
        <v>370.46</v>
      </c>
      <c r="EQ113" s="228">
        <v>-111.57</v>
      </c>
      <c r="ER113" s="229">
        <v>-0.30120000000000002</v>
      </c>
      <c r="ES113" s="228">
        <v>332.81</v>
      </c>
      <c r="ET113" s="228">
        <v>196.42</v>
      </c>
      <c r="EU113" s="228">
        <v>379.5</v>
      </c>
      <c r="EV113" s="231">
        <v>19911179</v>
      </c>
      <c r="EW113" s="228">
        <v>908.73</v>
      </c>
      <c r="EX113" s="228">
        <v>909.3</v>
      </c>
      <c r="EY113" s="228">
        <v>-0.56999999999999995</v>
      </c>
      <c r="EZ113" s="229">
        <v>-5.9999999999999995E-4</v>
      </c>
      <c r="FA113" s="229">
        <v>0.43169999999999997</v>
      </c>
      <c r="FB113" s="227" t="s">
        <v>567</v>
      </c>
      <c r="FC113">
        <f t="shared" si="1"/>
        <v>37</v>
      </c>
    </row>
    <row r="114" spans="1:159" ht="17.25" thickBot="1" x14ac:dyDescent="0.3">
      <c r="A114" s="226">
        <v>46008</v>
      </c>
      <c r="B114" s="227" t="s">
        <v>172</v>
      </c>
      <c r="C114" s="227" t="s">
        <v>246</v>
      </c>
      <c r="D114" s="228">
        <v>400</v>
      </c>
      <c r="E114" s="228">
        <v>13</v>
      </c>
      <c r="F114" s="231">
        <v>2176.6</v>
      </c>
      <c r="G114" s="231">
        <v>2189</v>
      </c>
      <c r="H114" s="228">
        <v>-12.4</v>
      </c>
      <c r="I114" s="229">
        <v>-5.7000000000000002E-3</v>
      </c>
      <c r="J114" s="231">
        <v>2173.1999999999998</v>
      </c>
      <c r="K114" s="231">
        <v>2182.4</v>
      </c>
      <c r="L114" s="228">
        <v>-9.1999999999999993</v>
      </c>
      <c r="M114" s="229">
        <v>-4.1999999999999997E-3</v>
      </c>
      <c r="N114" s="231">
        <v>2176.6</v>
      </c>
      <c r="O114" s="231">
        <v>2189</v>
      </c>
      <c r="P114" s="228">
        <v>-12.4</v>
      </c>
      <c r="Q114" s="229">
        <v>-5.7000000000000002E-3</v>
      </c>
      <c r="R114" s="231">
        <v>2190</v>
      </c>
      <c r="S114" s="231">
        <v>2202.6</v>
      </c>
      <c r="T114" s="228">
        <v>-12.6</v>
      </c>
      <c r="U114" s="229">
        <v>-5.7000000000000002E-3</v>
      </c>
      <c r="V114" s="231">
        <v>2202.3000000000002</v>
      </c>
      <c r="W114" s="231">
        <v>2213.5</v>
      </c>
      <c r="X114" s="228">
        <v>-11.2</v>
      </c>
      <c r="Y114" s="229">
        <v>-5.1000000000000004E-3</v>
      </c>
      <c r="Z114" s="228">
        <v>3.4</v>
      </c>
      <c r="AA114" s="228">
        <v>6.6</v>
      </c>
      <c r="AB114" s="228">
        <v>-3.2</v>
      </c>
      <c r="AC114" s="229">
        <v>1.6000000000000001E-3</v>
      </c>
      <c r="AD114" s="228">
        <v>3.4</v>
      </c>
      <c r="AE114" s="228">
        <v>6.6</v>
      </c>
      <c r="AF114" s="228">
        <v>-3.2</v>
      </c>
      <c r="AG114" s="229">
        <v>1.6000000000000001E-3</v>
      </c>
      <c r="AH114" s="228">
        <v>16.8</v>
      </c>
      <c r="AI114" s="228">
        <v>20.2</v>
      </c>
      <c r="AJ114" s="228">
        <v>-3.4</v>
      </c>
      <c r="AK114" s="229">
        <v>7.7000000000000002E-3</v>
      </c>
      <c r="AL114" s="228">
        <v>29.1</v>
      </c>
      <c r="AM114" s="228">
        <v>31.1</v>
      </c>
      <c r="AN114" s="228">
        <v>-2</v>
      </c>
      <c r="AO114" s="229">
        <v>1.34E-2</v>
      </c>
      <c r="AP114" s="231">
        <v>2178.7399999999998</v>
      </c>
      <c r="AQ114" s="231">
        <v>2190.4</v>
      </c>
      <c r="AR114" s="228">
        <v>0</v>
      </c>
      <c r="AS114" s="228">
        <v>968</v>
      </c>
      <c r="AT114" s="228">
        <v>751</v>
      </c>
      <c r="AU114" s="228">
        <v>217</v>
      </c>
      <c r="AV114" s="229">
        <v>0.2883</v>
      </c>
      <c r="AW114" s="228">
        <v>616</v>
      </c>
      <c r="AX114" s="228">
        <v>612</v>
      </c>
      <c r="AY114" s="228">
        <v>3</v>
      </c>
      <c r="AZ114" s="229">
        <v>5.4000000000000003E-3</v>
      </c>
      <c r="BA114" s="228">
        <v>350</v>
      </c>
      <c r="BB114" s="228">
        <v>135</v>
      </c>
      <c r="BC114" s="228">
        <v>215</v>
      </c>
      <c r="BD114" s="229">
        <v>1.5861000000000001</v>
      </c>
      <c r="BE114" s="228">
        <v>2</v>
      </c>
      <c r="BF114" s="228">
        <v>3</v>
      </c>
      <c r="BG114" s="228">
        <v>-2</v>
      </c>
      <c r="BH114" s="229">
        <v>-0.45</v>
      </c>
      <c r="BI114" s="230">
        <v>1604</v>
      </c>
      <c r="BJ114" s="230">
        <v>2727</v>
      </c>
      <c r="BK114" s="230">
        <v>-1123</v>
      </c>
      <c r="BL114" s="229">
        <v>-0.41170000000000001</v>
      </c>
      <c r="BM114" s="230">
        <v>1051</v>
      </c>
      <c r="BN114" s="230">
        <v>1379</v>
      </c>
      <c r="BO114" s="228">
        <v>-328</v>
      </c>
      <c r="BP114" s="229">
        <v>-0.23810000000000001</v>
      </c>
      <c r="BQ114" s="230">
        <v>3623</v>
      </c>
      <c r="BR114" s="230">
        <v>4857</v>
      </c>
      <c r="BS114" s="230">
        <v>-1234</v>
      </c>
      <c r="BT114" s="229">
        <v>-0.25409999999999999</v>
      </c>
      <c r="BU114" s="230">
        <v>1650483</v>
      </c>
      <c r="BV114" s="230">
        <v>1723294</v>
      </c>
      <c r="BW114" s="230">
        <v>-72811</v>
      </c>
      <c r="BX114" s="229">
        <v>-4.2299999999999997E-2</v>
      </c>
      <c r="BY114" s="230">
        <v>8800</v>
      </c>
      <c r="BZ114" s="230">
        <v>8780</v>
      </c>
      <c r="CA114" s="228">
        <v>20</v>
      </c>
      <c r="CB114" s="229">
        <v>2.3E-3</v>
      </c>
      <c r="CC114" s="230">
        <v>7566</v>
      </c>
      <c r="CD114" s="230">
        <v>7863</v>
      </c>
      <c r="CE114" s="228">
        <v>-297</v>
      </c>
      <c r="CF114" s="229">
        <v>-3.78E-2</v>
      </c>
      <c r="CG114" s="230">
        <v>1211</v>
      </c>
      <c r="CH114" s="228">
        <v>894</v>
      </c>
      <c r="CI114" s="228">
        <v>317</v>
      </c>
      <c r="CJ114" s="229">
        <v>0.35460000000000003</v>
      </c>
      <c r="CK114" s="228">
        <v>24</v>
      </c>
      <c r="CL114" s="228">
        <v>24</v>
      </c>
      <c r="CM114" s="228">
        <v>0</v>
      </c>
      <c r="CN114" s="229">
        <v>3.7000000000000002E-3</v>
      </c>
      <c r="CO114" s="230">
        <v>1956</v>
      </c>
      <c r="CP114" s="230">
        <v>1937</v>
      </c>
      <c r="CQ114" s="228">
        <v>20</v>
      </c>
      <c r="CR114" s="229">
        <v>1.01E-2</v>
      </c>
      <c r="CS114" s="230">
        <v>1655</v>
      </c>
      <c r="CT114" s="230">
        <v>1712</v>
      </c>
      <c r="CU114" s="228">
        <v>-57</v>
      </c>
      <c r="CV114" s="229">
        <v>-3.32E-2</v>
      </c>
      <c r="CW114" s="230">
        <v>12412</v>
      </c>
      <c r="CX114" s="230">
        <v>12429</v>
      </c>
      <c r="CY114" s="228">
        <v>-17</v>
      </c>
      <c r="CZ114" s="229">
        <v>-1.4E-3</v>
      </c>
      <c r="DA114" s="228">
        <v>16.190000000000001</v>
      </c>
      <c r="DB114" s="228">
        <v>16.68</v>
      </c>
      <c r="DC114" s="228">
        <v>-0.49</v>
      </c>
      <c r="DD114" s="228">
        <v>-0.49</v>
      </c>
      <c r="DE114" s="228">
        <v>25.81</v>
      </c>
      <c r="DF114" s="228">
        <v>25.87</v>
      </c>
      <c r="DG114" s="228">
        <v>-9.6199999999999992</v>
      </c>
      <c r="DH114" s="228">
        <v>-0.06</v>
      </c>
      <c r="DI114" s="228">
        <v>16.350000000000001</v>
      </c>
      <c r="DJ114" s="228">
        <v>16.61</v>
      </c>
      <c r="DK114" s="228">
        <v>-0.26</v>
      </c>
      <c r="DL114" s="228">
        <v>-0.26</v>
      </c>
      <c r="DM114" s="228">
        <v>15.93</v>
      </c>
      <c r="DN114" s="228">
        <v>16.809999999999999</v>
      </c>
      <c r="DO114" s="228">
        <v>-0.88</v>
      </c>
      <c r="DP114" s="228">
        <v>-0.88</v>
      </c>
      <c r="DQ114" s="228">
        <v>0.85</v>
      </c>
      <c r="DR114" s="228">
        <v>0.88</v>
      </c>
      <c r="DS114" s="228">
        <v>-0.03</v>
      </c>
      <c r="DT114" s="229">
        <v>-3.4099999999999998E-2</v>
      </c>
      <c r="DU114" s="231">
        <v>2200</v>
      </c>
      <c r="DV114" s="231">
        <v>2000</v>
      </c>
      <c r="DW114" s="228">
        <v>0.66</v>
      </c>
      <c r="DX114" s="228">
        <v>0.51</v>
      </c>
      <c r="DY114" s="228">
        <v>0.15</v>
      </c>
      <c r="DZ114" s="229">
        <v>0.29409999999999997</v>
      </c>
      <c r="EA114" s="229">
        <v>0.14030000000000001</v>
      </c>
      <c r="EB114" s="230">
        <v>4214800</v>
      </c>
      <c r="EC114" s="229">
        <v>6.1999999999999998E-3</v>
      </c>
      <c r="ED114" s="229">
        <v>0.14030000000000001</v>
      </c>
      <c r="EE114" s="228">
        <v>11.66</v>
      </c>
      <c r="EF114" s="229">
        <v>5.4000000000000003E-3</v>
      </c>
      <c r="EG114" s="230">
        <v>1086258</v>
      </c>
      <c r="EH114" s="230">
        <v>1164723</v>
      </c>
      <c r="EI114" s="229">
        <v>-6.7400000000000002E-2</v>
      </c>
      <c r="EJ114" s="229">
        <v>0.65810000000000002</v>
      </c>
      <c r="EK114" s="231">
        <v>1645.94</v>
      </c>
      <c r="EL114" s="231">
        <v>1046.26</v>
      </c>
      <c r="EM114" s="228">
        <v>970.92</v>
      </c>
      <c r="EN114" s="228">
        <v>110.37</v>
      </c>
      <c r="EO114" s="231">
        <v>3663.12</v>
      </c>
      <c r="EP114" s="231">
        <v>4936.8</v>
      </c>
      <c r="EQ114" s="231">
        <v>-1273.68</v>
      </c>
      <c r="ER114" s="229">
        <v>-0.25800000000000001</v>
      </c>
      <c r="ES114" s="231">
        <v>1995.35</v>
      </c>
      <c r="ET114" s="231">
        <v>1586.09</v>
      </c>
      <c r="EU114" s="231">
        <v>8808.16</v>
      </c>
      <c r="EV114" s="231">
        <v>215751979</v>
      </c>
      <c r="EW114" s="231">
        <v>12389.6</v>
      </c>
      <c r="EX114" s="231">
        <v>12454.74</v>
      </c>
      <c r="EY114" s="228">
        <v>-65.14</v>
      </c>
      <c r="EZ114" s="229">
        <v>-5.1999999999999998E-3</v>
      </c>
      <c r="FA114" s="229">
        <v>0.26429999999999998</v>
      </c>
      <c r="FB114" s="227" t="s">
        <v>567</v>
      </c>
      <c r="FC114">
        <f t="shared" si="1"/>
        <v>1234</v>
      </c>
    </row>
    <row r="115" spans="1:159" ht="17.25" thickBot="1" x14ac:dyDescent="0.3">
      <c r="A115" s="226">
        <v>46008</v>
      </c>
      <c r="B115" s="227" t="s">
        <v>221</v>
      </c>
      <c r="C115" s="227" t="s">
        <v>577</v>
      </c>
      <c r="D115" s="228">
        <v>400</v>
      </c>
      <c r="E115" s="228">
        <v>13</v>
      </c>
      <c r="F115" s="231">
        <v>1173.4000000000001</v>
      </c>
      <c r="G115" s="231">
        <v>1173.5</v>
      </c>
      <c r="H115" s="228">
        <v>-0.1</v>
      </c>
      <c r="I115" s="229">
        <v>-1E-4</v>
      </c>
      <c r="J115" s="231">
        <v>1168.9000000000001</v>
      </c>
      <c r="K115" s="231">
        <v>1176.3</v>
      </c>
      <c r="L115" s="228">
        <v>-7.4</v>
      </c>
      <c r="M115" s="229">
        <v>-6.3E-3</v>
      </c>
      <c r="N115" s="231">
        <v>1173.4000000000001</v>
      </c>
      <c r="O115" s="231">
        <v>1173.5</v>
      </c>
      <c r="P115" s="228">
        <v>-0.1</v>
      </c>
      <c r="Q115" s="229">
        <v>-1E-4</v>
      </c>
      <c r="R115" s="231">
        <v>1177.5</v>
      </c>
      <c r="S115" s="231">
        <v>1179</v>
      </c>
      <c r="T115" s="228">
        <v>-1.5</v>
      </c>
      <c r="U115" s="229">
        <v>-1.2999999999999999E-3</v>
      </c>
      <c r="V115" s="231">
        <v>1180</v>
      </c>
      <c r="W115" s="231">
        <v>1180.3</v>
      </c>
      <c r="X115" s="228">
        <v>-0.3</v>
      </c>
      <c r="Y115" s="229">
        <v>-2.9999999999999997E-4</v>
      </c>
      <c r="Z115" s="228">
        <v>4.5</v>
      </c>
      <c r="AA115" s="228">
        <v>-2.8</v>
      </c>
      <c r="AB115" s="228">
        <v>7.3</v>
      </c>
      <c r="AC115" s="229">
        <v>3.8E-3</v>
      </c>
      <c r="AD115" s="228">
        <v>4.5</v>
      </c>
      <c r="AE115" s="228">
        <v>-2.8</v>
      </c>
      <c r="AF115" s="228">
        <v>7.3</v>
      </c>
      <c r="AG115" s="229">
        <v>3.8E-3</v>
      </c>
      <c r="AH115" s="228">
        <v>8.6</v>
      </c>
      <c r="AI115" s="228">
        <v>2.7</v>
      </c>
      <c r="AJ115" s="228">
        <v>5.9</v>
      </c>
      <c r="AK115" s="229">
        <v>7.4000000000000003E-3</v>
      </c>
      <c r="AL115" s="228">
        <v>11.1</v>
      </c>
      <c r="AM115" s="228">
        <v>4</v>
      </c>
      <c r="AN115" s="228">
        <v>7.1</v>
      </c>
      <c r="AO115" s="229">
        <v>9.4999999999999998E-3</v>
      </c>
      <c r="AP115" s="231">
        <v>1174.23</v>
      </c>
      <c r="AQ115" s="231">
        <v>1178.1099999999999</v>
      </c>
      <c r="AR115" s="228">
        <v>0</v>
      </c>
      <c r="AS115" s="228">
        <v>58</v>
      </c>
      <c r="AT115" s="228">
        <v>203</v>
      </c>
      <c r="AU115" s="228">
        <v>-144</v>
      </c>
      <c r="AV115" s="229">
        <v>-0.71189999999999998</v>
      </c>
      <c r="AW115" s="228">
        <v>50</v>
      </c>
      <c r="AX115" s="228">
        <v>171</v>
      </c>
      <c r="AY115" s="228">
        <v>-121</v>
      </c>
      <c r="AZ115" s="229">
        <v>-0.70720000000000005</v>
      </c>
      <c r="BA115" s="228">
        <v>8</v>
      </c>
      <c r="BB115" s="228">
        <v>29</v>
      </c>
      <c r="BC115" s="228">
        <v>-21</v>
      </c>
      <c r="BD115" s="229">
        <v>-0.7369</v>
      </c>
      <c r="BE115" s="228">
        <v>1</v>
      </c>
      <c r="BF115" s="228">
        <v>3</v>
      </c>
      <c r="BG115" s="228">
        <v>-2</v>
      </c>
      <c r="BH115" s="229">
        <v>-0.73850000000000005</v>
      </c>
      <c r="BI115" s="228">
        <v>175</v>
      </c>
      <c r="BJ115" s="228">
        <v>528</v>
      </c>
      <c r="BK115" s="228">
        <v>-353</v>
      </c>
      <c r="BL115" s="229">
        <v>-0.66839999999999999</v>
      </c>
      <c r="BM115" s="228">
        <v>115</v>
      </c>
      <c r="BN115" s="228">
        <v>323</v>
      </c>
      <c r="BO115" s="228">
        <v>-208</v>
      </c>
      <c r="BP115" s="229">
        <v>-0.64410000000000001</v>
      </c>
      <c r="BQ115" s="228">
        <v>348</v>
      </c>
      <c r="BR115" s="230">
        <v>1054</v>
      </c>
      <c r="BS115" s="228">
        <v>-705</v>
      </c>
      <c r="BT115" s="229">
        <v>-0.66930000000000001</v>
      </c>
      <c r="BU115" s="230">
        <v>533275</v>
      </c>
      <c r="BV115" s="230">
        <v>978244</v>
      </c>
      <c r="BW115" s="230">
        <v>-444969</v>
      </c>
      <c r="BX115" s="229">
        <v>-0.45490000000000003</v>
      </c>
      <c r="BY115" s="228">
        <v>451</v>
      </c>
      <c r="BZ115" s="228">
        <v>442</v>
      </c>
      <c r="CA115" s="228">
        <v>9</v>
      </c>
      <c r="CB115" s="229">
        <v>2.01E-2</v>
      </c>
      <c r="CC115" s="228">
        <v>411</v>
      </c>
      <c r="CD115" s="228">
        <v>404</v>
      </c>
      <c r="CE115" s="228">
        <v>6</v>
      </c>
      <c r="CF115" s="229">
        <v>1.5900000000000001E-2</v>
      </c>
      <c r="CG115" s="228">
        <v>35</v>
      </c>
      <c r="CH115" s="228">
        <v>33</v>
      </c>
      <c r="CI115" s="228">
        <v>2</v>
      </c>
      <c r="CJ115" s="229">
        <v>6.1699999999999998E-2</v>
      </c>
      <c r="CK115" s="228">
        <v>5</v>
      </c>
      <c r="CL115" s="228">
        <v>4</v>
      </c>
      <c r="CM115" s="228">
        <v>0</v>
      </c>
      <c r="CN115" s="229">
        <v>8.9899999999999994E-2</v>
      </c>
      <c r="CO115" s="228">
        <v>314</v>
      </c>
      <c r="CP115" s="228">
        <v>306</v>
      </c>
      <c r="CQ115" s="228">
        <v>8</v>
      </c>
      <c r="CR115" s="229">
        <v>2.64E-2</v>
      </c>
      <c r="CS115" s="228">
        <v>185</v>
      </c>
      <c r="CT115" s="228">
        <v>177</v>
      </c>
      <c r="CU115" s="228">
        <v>8</v>
      </c>
      <c r="CV115" s="229">
        <v>4.6199999999999998E-2</v>
      </c>
      <c r="CW115" s="228">
        <v>950</v>
      </c>
      <c r="CX115" s="228">
        <v>925</v>
      </c>
      <c r="CY115" s="228">
        <v>25</v>
      </c>
      <c r="CZ115" s="229">
        <v>2.7099999999999999E-2</v>
      </c>
      <c r="DA115" s="228">
        <v>29.17</v>
      </c>
      <c r="DB115" s="228">
        <v>29.63</v>
      </c>
      <c r="DC115" s="228">
        <v>-0.46</v>
      </c>
      <c r="DD115" s="228">
        <v>-0.46</v>
      </c>
      <c r="DE115" s="228">
        <v>42.73</v>
      </c>
      <c r="DF115" s="228">
        <v>42.83</v>
      </c>
      <c r="DG115" s="228">
        <v>-13.56</v>
      </c>
      <c r="DH115" s="228">
        <v>-0.1</v>
      </c>
      <c r="DI115" s="228">
        <v>30.04</v>
      </c>
      <c r="DJ115" s="228">
        <v>30.36</v>
      </c>
      <c r="DK115" s="228">
        <v>-0.32</v>
      </c>
      <c r="DL115" s="228">
        <v>-0.32</v>
      </c>
      <c r="DM115" s="228">
        <v>27.85</v>
      </c>
      <c r="DN115" s="228">
        <v>28.43</v>
      </c>
      <c r="DO115" s="228">
        <v>-0.57999999999999996</v>
      </c>
      <c r="DP115" s="228">
        <v>-0.57999999999999996</v>
      </c>
      <c r="DQ115" s="228">
        <v>0.59</v>
      </c>
      <c r="DR115" s="228">
        <v>0.57999999999999996</v>
      </c>
      <c r="DS115" s="228">
        <v>0.01</v>
      </c>
      <c r="DT115" s="229">
        <v>1.72E-2</v>
      </c>
      <c r="DU115" s="231">
        <v>1300</v>
      </c>
      <c r="DV115" s="231">
        <v>1120</v>
      </c>
      <c r="DW115" s="228">
        <v>0.66</v>
      </c>
      <c r="DX115" s="228">
        <v>0.61</v>
      </c>
      <c r="DY115" s="228">
        <v>0.05</v>
      </c>
      <c r="DZ115" s="229">
        <v>8.2000000000000003E-2</v>
      </c>
      <c r="EA115" s="229">
        <v>8.8700000000000001E-2</v>
      </c>
      <c r="EB115" s="230">
        <v>320025</v>
      </c>
      <c r="EC115" s="229">
        <v>3.5000000000000001E-3</v>
      </c>
      <c r="ED115" s="229">
        <v>8.8700000000000001E-2</v>
      </c>
      <c r="EE115" s="228">
        <v>3.88</v>
      </c>
      <c r="EF115" s="229">
        <v>3.3E-3</v>
      </c>
      <c r="EG115" s="230">
        <v>306975</v>
      </c>
      <c r="EH115" s="230">
        <v>543817</v>
      </c>
      <c r="EI115" s="229">
        <v>-0.4355</v>
      </c>
      <c r="EJ115" s="229">
        <v>0.5756</v>
      </c>
      <c r="EK115" s="228">
        <v>187.25</v>
      </c>
      <c r="EL115" s="228">
        <v>112.98</v>
      </c>
      <c r="EM115" s="228">
        <v>59.03</v>
      </c>
      <c r="EN115" s="228">
        <v>21.85</v>
      </c>
      <c r="EO115" s="228">
        <v>359.26</v>
      </c>
      <c r="EP115" s="231">
        <v>1098.6500000000001</v>
      </c>
      <c r="EQ115" s="228">
        <v>-739.39</v>
      </c>
      <c r="ER115" s="229">
        <v>-0.67300000000000004</v>
      </c>
      <c r="ES115" s="228">
        <v>337.11</v>
      </c>
      <c r="ET115" s="228">
        <v>182.75</v>
      </c>
      <c r="EU115" s="228">
        <v>451.02</v>
      </c>
      <c r="EV115" s="231">
        <v>24568295</v>
      </c>
      <c r="EW115" s="228">
        <v>970.88</v>
      </c>
      <c r="EX115" s="228">
        <v>947.43</v>
      </c>
      <c r="EY115" s="228">
        <v>23.45</v>
      </c>
      <c r="EZ115" s="229">
        <v>2.4799999999999999E-2</v>
      </c>
      <c r="FA115" s="229">
        <v>0.32950000000000002</v>
      </c>
      <c r="FB115" s="227" t="s">
        <v>567</v>
      </c>
      <c r="FC115">
        <f t="shared" si="1"/>
        <v>40</v>
      </c>
    </row>
    <row r="116" spans="1:159" ht="17.25" thickBot="1" x14ac:dyDescent="0.3">
      <c r="A116" s="226">
        <v>46008</v>
      </c>
      <c r="B116" s="227" t="s">
        <v>170</v>
      </c>
      <c r="C116" s="227" t="s">
        <v>535</v>
      </c>
      <c r="D116" s="228">
        <v>850</v>
      </c>
      <c r="E116" s="228">
        <v>13</v>
      </c>
      <c r="F116" s="231">
        <v>1010.6</v>
      </c>
      <c r="G116" s="231">
        <v>1005</v>
      </c>
      <c r="H116" s="228">
        <v>5.6</v>
      </c>
      <c r="I116" s="229">
        <v>5.5999999999999999E-3</v>
      </c>
      <c r="J116" s="231">
        <v>1010</v>
      </c>
      <c r="K116" s="231">
        <v>1001.3</v>
      </c>
      <c r="L116" s="228">
        <v>8.6999999999999993</v>
      </c>
      <c r="M116" s="229">
        <v>8.6999999999999994E-3</v>
      </c>
      <c r="N116" s="231">
        <v>1010.6</v>
      </c>
      <c r="O116" s="231">
        <v>1005</v>
      </c>
      <c r="P116" s="228">
        <v>5.6</v>
      </c>
      <c r="Q116" s="229">
        <v>5.5999999999999999E-3</v>
      </c>
      <c r="R116" s="231">
        <v>1017.4</v>
      </c>
      <c r="S116" s="231">
        <v>1010.9</v>
      </c>
      <c r="T116" s="228">
        <v>6.5</v>
      </c>
      <c r="U116" s="229">
        <v>6.4000000000000003E-3</v>
      </c>
      <c r="V116" s="231">
        <v>1020.7</v>
      </c>
      <c r="W116" s="231">
        <v>1017</v>
      </c>
      <c r="X116" s="228">
        <v>3.7</v>
      </c>
      <c r="Y116" s="229">
        <v>3.5999999999999999E-3</v>
      </c>
      <c r="Z116" s="228">
        <v>0.6</v>
      </c>
      <c r="AA116" s="228">
        <v>3.7</v>
      </c>
      <c r="AB116" s="228">
        <v>-3.1</v>
      </c>
      <c r="AC116" s="229">
        <v>5.9999999999999995E-4</v>
      </c>
      <c r="AD116" s="228">
        <v>0.6</v>
      </c>
      <c r="AE116" s="228">
        <v>3.7</v>
      </c>
      <c r="AF116" s="228">
        <v>-3.1</v>
      </c>
      <c r="AG116" s="229">
        <v>5.9999999999999995E-4</v>
      </c>
      <c r="AH116" s="228">
        <v>7.4</v>
      </c>
      <c r="AI116" s="228">
        <v>9.6</v>
      </c>
      <c r="AJ116" s="228">
        <v>-2.2000000000000002</v>
      </c>
      <c r="AK116" s="229">
        <v>7.3000000000000001E-3</v>
      </c>
      <c r="AL116" s="228">
        <v>10.7</v>
      </c>
      <c r="AM116" s="228">
        <v>15.7</v>
      </c>
      <c r="AN116" s="228">
        <v>-5</v>
      </c>
      <c r="AO116" s="229">
        <v>1.06E-2</v>
      </c>
      <c r="AP116" s="231">
        <v>1014.1</v>
      </c>
      <c r="AQ116" s="231">
        <v>1020.24</v>
      </c>
      <c r="AR116" s="228">
        <v>0</v>
      </c>
      <c r="AS116" s="228">
        <v>256</v>
      </c>
      <c r="AT116" s="228">
        <v>211</v>
      </c>
      <c r="AU116" s="228">
        <v>45</v>
      </c>
      <c r="AV116" s="229">
        <v>0.21279999999999999</v>
      </c>
      <c r="AW116" s="228">
        <v>207</v>
      </c>
      <c r="AX116" s="228">
        <v>179</v>
      </c>
      <c r="AY116" s="228">
        <v>28</v>
      </c>
      <c r="AZ116" s="229">
        <v>0.15909999999999999</v>
      </c>
      <c r="BA116" s="228">
        <v>47</v>
      </c>
      <c r="BB116" s="228">
        <v>31</v>
      </c>
      <c r="BC116" s="228">
        <v>16</v>
      </c>
      <c r="BD116" s="229">
        <v>0.50549999999999995</v>
      </c>
      <c r="BE116" s="228">
        <v>2</v>
      </c>
      <c r="BF116" s="228">
        <v>1</v>
      </c>
      <c r="BG116" s="228">
        <v>1</v>
      </c>
      <c r="BH116" s="229">
        <v>0.5625</v>
      </c>
      <c r="BI116" s="228">
        <v>811</v>
      </c>
      <c r="BJ116" s="228">
        <v>673</v>
      </c>
      <c r="BK116" s="228">
        <v>138</v>
      </c>
      <c r="BL116" s="229">
        <v>0.20519999999999999</v>
      </c>
      <c r="BM116" s="228">
        <v>311</v>
      </c>
      <c r="BN116" s="228">
        <v>273</v>
      </c>
      <c r="BO116" s="228">
        <v>37</v>
      </c>
      <c r="BP116" s="229">
        <v>0.13669999999999999</v>
      </c>
      <c r="BQ116" s="230">
        <v>1378</v>
      </c>
      <c r="BR116" s="230">
        <v>1158</v>
      </c>
      <c r="BS116" s="228">
        <v>220</v>
      </c>
      <c r="BT116" s="229">
        <v>0.19040000000000001</v>
      </c>
      <c r="BU116" s="230">
        <v>1312238</v>
      </c>
      <c r="BV116" s="230">
        <v>964764</v>
      </c>
      <c r="BW116" s="230">
        <v>347474</v>
      </c>
      <c r="BX116" s="229">
        <v>0.36020000000000002</v>
      </c>
      <c r="BY116" s="230">
        <v>1647</v>
      </c>
      <c r="BZ116" s="230">
        <v>1659</v>
      </c>
      <c r="CA116" s="228">
        <v>-13</v>
      </c>
      <c r="CB116" s="229">
        <v>-7.6E-3</v>
      </c>
      <c r="CC116" s="230">
        <v>1500</v>
      </c>
      <c r="CD116" s="230">
        <v>1517</v>
      </c>
      <c r="CE116" s="228">
        <v>-17</v>
      </c>
      <c r="CF116" s="229">
        <v>-1.12E-2</v>
      </c>
      <c r="CG116" s="228">
        <v>126</v>
      </c>
      <c r="CH116" s="228">
        <v>121</v>
      </c>
      <c r="CI116" s="228">
        <v>5</v>
      </c>
      <c r="CJ116" s="229">
        <v>3.7600000000000001E-2</v>
      </c>
      <c r="CK116" s="228">
        <v>21</v>
      </c>
      <c r="CL116" s="228">
        <v>22</v>
      </c>
      <c r="CM116" s="228">
        <v>0</v>
      </c>
      <c r="CN116" s="229">
        <v>-7.9000000000000008E-3</v>
      </c>
      <c r="CO116" s="228">
        <v>894</v>
      </c>
      <c r="CP116" s="228">
        <v>910</v>
      </c>
      <c r="CQ116" s="228">
        <v>-15</v>
      </c>
      <c r="CR116" s="229">
        <v>-1.6799999999999999E-2</v>
      </c>
      <c r="CS116" s="228">
        <v>491</v>
      </c>
      <c r="CT116" s="228">
        <v>487</v>
      </c>
      <c r="CU116" s="228">
        <v>4</v>
      </c>
      <c r="CV116" s="229">
        <v>8.3000000000000001E-3</v>
      </c>
      <c r="CW116" s="230">
        <v>3032</v>
      </c>
      <c r="CX116" s="230">
        <v>3056</v>
      </c>
      <c r="CY116" s="228">
        <v>-24</v>
      </c>
      <c r="CZ116" s="229">
        <v>-7.7999999999999996E-3</v>
      </c>
      <c r="DA116" s="228">
        <v>25.41</v>
      </c>
      <c r="DB116" s="228">
        <v>26.89</v>
      </c>
      <c r="DC116" s="228">
        <v>-1.48</v>
      </c>
      <c r="DD116" s="228">
        <v>-1.48</v>
      </c>
      <c r="DE116" s="228">
        <v>38.340000000000003</v>
      </c>
      <c r="DF116" s="228">
        <v>38.42</v>
      </c>
      <c r="DG116" s="228">
        <v>-12.93</v>
      </c>
      <c r="DH116" s="228">
        <v>-0.08</v>
      </c>
      <c r="DI116" s="228">
        <v>25.45</v>
      </c>
      <c r="DJ116" s="228">
        <v>27.02</v>
      </c>
      <c r="DK116" s="228">
        <v>-1.57</v>
      </c>
      <c r="DL116" s="228">
        <v>-1.57</v>
      </c>
      <c r="DM116" s="228">
        <v>25.28</v>
      </c>
      <c r="DN116" s="228">
        <v>26.55</v>
      </c>
      <c r="DO116" s="228">
        <v>-1.27</v>
      </c>
      <c r="DP116" s="228">
        <v>-1.27</v>
      </c>
      <c r="DQ116" s="228">
        <v>0.55000000000000004</v>
      </c>
      <c r="DR116" s="228">
        <v>0.54</v>
      </c>
      <c r="DS116" s="228">
        <v>0.01</v>
      </c>
      <c r="DT116" s="229">
        <v>1.8499999999999999E-2</v>
      </c>
      <c r="DU116" s="231">
        <v>1020</v>
      </c>
      <c r="DV116" s="231">
        <v>1000</v>
      </c>
      <c r="DW116" s="228">
        <v>0.38</v>
      </c>
      <c r="DX116" s="228">
        <v>0.41</v>
      </c>
      <c r="DY116" s="228">
        <v>-0.03</v>
      </c>
      <c r="DZ116" s="229">
        <v>-7.3200000000000001E-2</v>
      </c>
      <c r="EA116" s="229">
        <v>8.9399999999999993E-2</v>
      </c>
      <c r="EB116" s="230">
        <v>1413550</v>
      </c>
      <c r="EC116" s="229">
        <v>6.7000000000000002E-3</v>
      </c>
      <c r="ED116" s="229">
        <v>8.9399999999999993E-2</v>
      </c>
      <c r="EE116" s="228">
        <v>6.14</v>
      </c>
      <c r="EF116" s="229">
        <v>6.1000000000000004E-3</v>
      </c>
      <c r="EG116" s="230">
        <v>766405</v>
      </c>
      <c r="EH116" s="230">
        <v>615508</v>
      </c>
      <c r="EI116" s="229">
        <v>0.2452</v>
      </c>
      <c r="EJ116" s="229">
        <v>0.58399999999999996</v>
      </c>
      <c r="EK116" s="228">
        <v>839.67</v>
      </c>
      <c r="EL116" s="228">
        <v>307.86</v>
      </c>
      <c r="EM116" s="228">
        <v>257.27</v>
      </c>
      <c r="EN116" s="228">
        <v>33.96</v>
      </c>
      <c r="EO116" s="231">
        <v>1404.8</v>
      </c>
      <c r="EP116" s="231">
        <v>1176.21</v>
      </c>
      <c r="EQ116" s="228">
        <v>228.59</v>
      </c>
      <c r="ER116" s="229">
        <v>0.1943</v>
      </c>
      <c r="ES116" s="228">
        <v>918.24</v>
      </c>
      <c r="ET116" s="228">
        <v>472.08</v>
      </c>
      <c r="EU116" s="231">
        <v>1647.95</v>
      </c>
      <c r="EV116" s="231">
        <v>58629477</v>
      </c>
      <c r="EW116" s="231">
        <v>3038.28</v>
      </c>
      <c r="EX116" s="231">
        <v>3053.93</v>
      </c>
      <c r="EY116" s="228">
        <v>-15.65</v>
      </c>
      <c r="EZ116" s="229">
        <v>-5.1000000000000004E-3</v>
      </c>
      <c r="FA116" s="229">
        <v>0.51180000000000003</v>
      </c>
      <c r="FB116" s="227" t="s">
        <v>556</v>
      </c>
      <c r="FC116">
        <f t="shared" si="1"/>
        <v>147</v>
      </c>
    </row>
    <row r="117" spans="1:159" ht="17.25" thickBot="1" x14ac:dyDescent="0.3">
      <c r="A117" s="226">
        <v>46008</v>
      </c>
      <c r="B117" s="227" t="s">
        <v>175</v>
      </c>
      <c r="C117" s="227" t="s">
        <v>248</v>
      </c>
      <c r="D117" s="228">
        <v>1000</v>
      </c>
      <c r="E117" s="228">
        <v>13</v>
      </c>
      <c r="F117" s="228">
        <v>524.75</v>
      </c>
      <c r="G117" s="228">
        <v>526.9</v>
      </c>
      <c r="H117" s="228">
        <v>-2.15</v>
      </c>
      <c r="I117" s="229">
        <v>-4.1000000000000003E-3</v>
      </c>
      <c r="J117" s="228">
        <v>524.79999999999995</v>
      </c>
      <c r="K117" s="228">
        <v>525.79999999999995</v>
      </c>
      <c r="L117" s="228">
        <v>-1</v>
      </c>
      <c r="M117" s="229">
        <v>-1.9E-3</v>
      </c>
      <c r="N117" s="228">
        <v>524.75</v>
      </c>
      <c r="O117" s="228">
        <v>526.9</v>
      </c>
      <c r="P117" s="228">
        <v>-2.15</v>
      </c>
      <c r="Q117" s="229">
        <v>-4.1000000000000003E-3</v>
      </c>
      <c r="R117" s="228">
        <v>528.25</v>
      </c>
      <c r="S117" s="228">
        <v>530.04999999999995</v>
      </c>
      <c r="T117" s="228">
        <v>-1.8</v>
      </c>
      <c r="U117" s="229">
        <v>-3.3999999999999998E-3</v>
      </c>
      <c r="V117" s="228">
        <v>530.54999999999995</v>
      </c>
      <c r="W117" s="228">
        <v>533.79999999999995</v>
      </c>
      <c r="X117" s="228">
        <v>-3.25</v>
      </c>
      <c r="Y117" s="229">
        <v>-6.1000000000000004E-3</v>
      </c>
      <c r="Z117" s="228">
        <v>-0.05</v>
      </c>
      <c r="AA117" s="228">
        <v>1.1000000000000001</v>
      </c>
      <c r="AB117" s="228">
        <v>-1.1499999999999999</v>
      </c>
      <c r="AC117" s="229">
        <v>-1E-4</v>
      </c>
      <c r="AD117" s="228">
        <v>-0.05</v>
      </c>
      <c r="AE117" s="228">
        <v>1.1000000000000001</v>
      </c>
      <c r="AF117" s="228">
        <v>-1.1499999999999999</v>
      </c>
      <c r="AG117" s="229">
        <v>-1E-4</v>
      </c>
      <c r="AH117" s="228">
        <v>3.45</v>
      </c>
      <c r="AI117" s="228">
        <v>4.25</v>
      </c>
      <c r="AJ117" s="228">
        <v>-0.8</v>
      </c>
      <c r="AK117" s="229">
        <v>6.6E-3</v>
      </c>
      <c r="AL117" s="228">
        <v>5.75</v>
      </c>
      <c r="AM117" s="228">
        <v>8</v>
      </c>
      <c r="AN117" s="228">
        <v>-2.25</v>
      </c>
      <c r="AO117" s="229">
        <v>1.0999999999999999E-2</v>
      </c>
      <c r="AP117" s="228">
        <v>526.38</v>
      </c>
      <c r="AQ117" s="228">
        <v>529.62</v>
      </c>
      <c r="AR117" s="228">
        <v>0</v>
      </c>
      <c r="AS117" s="228">
        <v>102</v>
      </c>
      <c r="AT117" s="228">
        <v>146</v>
      </c>
      <c r="AU117" s="228">
        <v>-44</v>
      </c>
      <c r="AV117" s="229">
        <v>-0.30330000000000001</v>
      </c>
      <c r="AW117" s="228">
        <v>82</v>
      </c>
      <c r="AX117" s="228">
        <v>118</v>
      </c>
      <c r="AY117" s="228">
        <v>-35</v>
      </c>
      <c r="AZ117" s="229">
        <v>-0.30030000000000001</v>
      </c>
      <c r="BA117" s="228">
        <v>18</v>
      </c>
      <c r="BB117" s="228">
        <v>26</v>
      </c>
      <c r="BC117" s="228">
        <v>-8</v>
      </c>
      <c r="BD117" s="229">
        <v>-0.30559999999999998</v>
      </c>
      <c r="BE117" s="228">
        <v>1</v>
      </c>
      <c r="BF117" s="228">
        <v>2</v>
      </c>
      <c r="BG117" s="228">
        <v>-1</v>
      </c>
      <c r="BH117" s="229">
        <v>-0.439</v>
      </c>
      <c r="BI117" s="228">
        <v>286</v>
      </c>
      <c r="BJ117" s="228">
        <v>335</v>
      </c>
      <c r="BK117" s="228">
        <v>-49</v>
      </c>
      <c r="BL117" s="229">
        <v>-0.1454</v>
      </c>
      <c r="BM117" s="228">
        <v>92</v>
      </c>
      <c r="BN117" s="228">
        <v>83</v>
      </c>
      <c r="BO117" s="228">
        <v>9</v>
      </c>
      <c r="BP117" s="229">
        <v>0.1051</v>
      </c>
      <c r="BQ117" s="228">
        <v>480</v>
      </c>
      <c r="BR117" s="228">
        <v>565</v>
      </c>
      <c r="BS117" s="228">
        <v>-84</v>
      </c>
      <c r="BT117" s="229">
        <v>-0.14929999999999999</v>
      </c>
      <c r="BU117" s="230">
        <v>717998</v>
      </c>
      <c r="BV117" s="230">
        <v>1476345</v>
      </c>
      <c r="BW117" s="230">
        <v>-758347</v>
      </c>
      <c r="BX117" s="229">
        <v>-0.51370000000000005</v>
      </c>
      <c r="BY117" s="230">
        <v>1877</v>
      </c>
      <c r="BZ117" s="230">
        <v>1866</v>
      </c>
      <c r="CA117" s="228">
        <v>11</v>
      </c>
      <c r="CB117" s="229">
        <v>6.0000000000000001E-3</v>
      </c>
      <c r="CC117" s="230">
        <v>1721</v>
      </c>
      <c r="CD117" s="230">
        <v>1718</v>
      </c>
      <c r="CE117" s="228">
        <v>3</v>
      </c>
      <c r="CF117" s="229">
        <v>1.9E-3</v>
      </c>
      <c r="CG117" s="228">
        <v>143</v>
      </c>
      <c r="CH117" s="228">
        <v>136</v>
      </c>
      <c r="CI117" s="228">
        <v>8</v>
      </c>
      <c r="CJ117" s="229">
        <v>5.6500000000000002E-2</v>
      </c>
      <c r="CK117" s="228">
        <v>12</v>
      </c>
      <c r="CL117" s="228">
        <v>12</v>
      </c>
      <c r="CM117" s="228">
        <v>0</v>
      </c>
      <c r="CN117" s="229">
        <v>1.72E-2</v>
      </c>
      <c r="CO117" s="228">
        <v>563</v>
      </c>
      <c r="CP117" s="228">
        <v>567</v>
      </c>
      <c r="CQ117" s="228">
        <v>-4</v>
      </c>
      <c r="CR117" s="229">
        <v>-6.7999999999999996E-3</v>
      </c>
      <c r="CS117" s="228">
        <v>420</v>
      </c>
      <c r="CT117" s="228">
        <v>418</v>
      </c>
      <c r="CU117" s="228">
        <v>2</v>
      </c>
      <c r="CV117" s="229">
        <v>4.7999999999999996E-3</v>
      </c>
      <c r="CW117" s="230">
        <v>2861</v>
      </c>
      <c r="CX117" s="230">
        <v>2851</v>
      </c>
      <c r="CY117" s="228">
        <v>9</v>
      </c>
      <c r="CZ117" s="229">
        <v>3.2000000000000002E-3</v>
      </c>
      <c r="DA117" s="228">
        <v>19.36</v>
      </c>
      <c r="DB117" s="228">
        <v>20.23</v>
      </c>
      <c r="DC117" s="228">
        <v>-0.87</v>
      </c>
      <c r="DD117" s="228">
        <v>-0.87</v>
      </c>
      <c r="DE117" s="228">
        <v>32.72</v>
      </c>
      <c r="DF117" s="228">
        <v>32.799999999999997</v>
      </c>
      <c r="DG117" s="228">
        <v>-13.36</v>
      </c>
      <c r="DH117" s="228">
        <v>-0.08</v>
      </c>
      <c r="DI117" s="228">
        <v>19.420000000000002</v>
      </c>
      <c r="DJ117" s="228">
        <v>20.440000000000001</v>
      </c>
      <c r="DK117" s="228">
        <v>-1.02</v>
      </c>
      <c r="DL117" s="228">
        <v>-1.02</v>
      </c>
      <c r="DM117" s="228">
        <v>19.18</v>
      </c>
      <c r="DN117" s="228">
        <v>19.36</v>
      </c>
      <c r="DO117" s="228">
        <v>-0.18</v>
      </c>
      <c r="DP117" s="228">
        <v>-0.18</v>
      </c>
      <c r="DQ117" s="228">
        <v>0.75</v>
      </c>
      <c r="DR117" s="228">
        <v>0.74</v>
      </c>
      <c r="DS117" s="228">
        <v>0.01</v>
      </c>
      <c r="DT117" s="229">
        <v>1.35E-2</v>
      </c>
      <c r="DU117" s="228">
        <v>550</v>
      </c>
      <c r="DV117" s="228">
        <v>550</v>
      </c>
      <c r="DW117" s="228">
        <v>0.32</v>
      </c>
      <c r="DX117" s="228">
        <v>0.25</v>
      </c>
      <c r="DY117" s="228">
        <v>7.0000000000000007E-2</v>
      </c>
      <c r="DZ117" s="229">
        <v>0.28000000000000003</v>
      </c>
      <c r="EA117" s="229">
        <v>8.3000000000000004E-2</v>
      </c>
      <c r="EB117" s="230">
        <v>2818000</v>
      </c>
      <c r="EC117" s="229">
        <v>6.7000000000000002E-3</v>
      </c>
      <c r="ED117" s="229">
        <v>8.3000000000000004E-2</v>
      </c>
      <c r="EE117" s="228">
        <v>3.24</v>
      </c>
      <c r="EF117" s="229">
        <v>6.1999999999999998E-3</v>
      </c>
      <c r="EG117" s="230">
        <v>419441</v>
      </c>
      <c r="EH117" s="230">
        <v>1040237</v>
      </c>
      <c r="EI117" s="229">
        <v>-0.5968</v>
      </c>
      <c r="EJ117" s="229">
        <v>0.58420000000000005</v>
      </c>
      <c r="EK117" s="228">
        <v>298.12</v>
      </c>
      <c r="EL117" s="228">
        <v>92.04</v>
      </c>
      <c r="EM117" s="228">
        <v>102.3</v>
      </c>
      <c r="EN117" s="228">
        <v>25.84</v>
      </c>
      <c r="EO117" s="228">
        <v>492.46</v>
      </c>
      <c r="EP117" s="228">
        <v>582.25</v>
      </c>
      <c r="EQ117" s="228">
        <v>-89.79</v>
      </c>
      <c r="ER117" s="229">
        <v>-0.1542</v>
      </c>
      <c r="ES117" s="228">
        <v>603.19000000000005</v>
      </c>
      <c r="ET117" s="228">
        <v>439.82</v>
      </c>
      <c r="EU117" s="231">
        <v>1878.28</v>
      </c>
      <c r="EV117" s="231">
        <v>45183075</v>
      </c>
      <c r="EW117" s="231">
        <v>2921.28</v>
      </c>
      <c r="EX117" s="231">
        <v>2921.23</v>
      </c>
      <c r="EY117" s="228">
        <v>0.05</v>
      </c>
      <c r="EZ117" s="229">
        <v>0</v>
      </c>
      <c r="FA117" s="229">
        <v>1.2064999999999999</v>
      </c>
      <c r="FB117" s="227" t="s">
        <v>567</v>
      </c>
      <c r="FC117">
        <f t="shared" si="1"/>
        <v>156</v>
      </c>
    </row>
    <row r="118" spans="1:159" ht="17.25" thickBot="1" x14ac:dyDescent="0.3">
      <c r="A118" s="226">
        <v>46008</v>
      </c>
      <c r="B118" s="227" t="s">
        <v>175</v>
      </c>
      <c r="C118" s="227" t="s">
        <v>607</v>
      </c>
      <c r="D118" s="228">
        <v>700</v>
      </c>
      <c r="E118" s="228">
        <v>13</v>
      </c>
      <c r="F118" s="228">
        <v>847.1</v>
      </c>
      <c r="G118" s="228">
        <v>856.65</v>
      </c>
      <c r="H118" s="228">
        <v>-9.5500000000000007</v>
      </c>
      <c r="I118" s="229">
        <v>-1.11E-2</v>
      </c>
      <c r="J118" s="228">
        <v>844.55</v>
      </c>
      <c r="K118" s="228">
        <v>854.5</v>
      </c>
      <c r="L118" s="228">
        <v>-9.9499999999999993</v>
      </c>
      <c r="M118" s="229">
        <v>-1.1599999999999999E-2</v>
      </c>
      <c r="N118" s="228">
        <v>847.1</v>
      </c>
      <c r="O118" s="228">
        <v>856.65</v>
      </c>
      <c r="P118" s="228">
        <v>-9.5500000000000007</v>
      </c>
      <c r="Q118" s="229">
        <v>-1.11E-2</v>
      </c>
      <c r="R118" s="228">
        <v>852.2</v>
      </c>
      <c r="S118" s="228">
        <v>862.85</v>
      </c>
      <c r="T118" s="228">
        <v>-10.65</v>
      </c>
      <c r="U118" s="229">
        <v>-1.23E-2</v>
      </c>
      <c r="V118" s="228">
        <v>855.75</v>
      </c>
      <c r="W118" s="228">
        <v>865.3</v>
      </c>
      <c r="X118" s="228">
        <v>-9.5500000000000007</v>
      </c>
      <c r="Y118" s="229">
        <v>-1.0999999999999999E-2</v>
      </c>
      <c r="Z118" s="228">
        <v>2.5499999999999998</v>
      </c>
      <c r="AA118" s="228">
        <v>2.15</v>
      </c>
      <c r="AB118" s="228">
        <v>0.4</v>
      </c>
      <c r="AC118" s="229">
        <v>3.0000000000000001E-3</v>
      </c>
      <c r="AD118" s="228">
        <v>2.5499999999999998</v>
      </c>
      <c r="AE118" s="228">
        <v>2.15</v>
      </c>
      <c r="AF118" s="228">
        <v>0.4</v>
      </c>
      <c r="AG118" s="229">
        <v>3.0000000000000001E-3</v>
      </c>
      <c r="AH118" s="228">
        <v>7.65</v>
      </c>
      <c r="AI118" s="228">
        <v>8.35</v>
      </c>
      <c r="AJ118" s="228">
        <v>-0.7</v>
      </c>
      <c r="AK118" s="229">
        <v>9.1000000000000004E-3</v>
      </c>
      <c r="AL118" s="228">
        <v>11.2</v>
      </c>
      <c r="AM118" s="228">
        <v>10.8</v>
      </c>
      <c r="AN118" s="228">
        <v>0.4</v>
      </c>
      <c r="AO118" s="229">
        <v>1.3299999999999999E-2</v>
      </c>
      <c r="AP118" s="228">
        <v>851.09</v>
      </c>
      <c r="AQ118" s="228">
        <v>855.38</v>
      </c>
      <c r="AR118" s="228">
        <v>0</v>
      </c>
      <c r="AS118" s="228">
        <v>125</v>
      </c>
      <c r="AT118" s="228">
        <v>193</v>
      </c>
      <c r="AU118" s="228">
        <v>-68</v>
      </c>
      <c r="AV118" s="229">
        <v>-0.35189999999999999</v>
      </c>
      <c r="AW118" s="228">
        <v>102</v>
      </c>
      <c r="AX118" s="228">
        <v>157</v>
      </c>
      <c r="AY118" s="228">
        <v>-55</v>
      </c>
      <c r="AZ118" s="229">
        <v>-0.35139999999999999</v>
      </c>
      <c r="BA118" s="228">
        <v>19</v>
      </c>
      <c r="BB118" s="228">
        <v>31</v>
      </c>
      <c r="BC118" s="228">
        <v>-12</v>
      </c>
      <c r="BD118" s="229">
        <v>-0.39350000000000002</v>
      </c>
      <c r="BE118" s="228">
        <v>5</v>
      </c>
      <c r="BF118" s="228">
        <v>6</v>
      </c>
      <c r="BG118" s="228">
        <v>-1</v>
      </c>
      <c r="BH118" s="229">
        <v>-0.13830000000000001</v>
      </c>
      <c r="BI118" s="228">
        <v>432</v>
      </c>
      <c r="BJ118" s="228">
        <v>594</v>
      </c>
      <c r="BK118" s="228">
        <v>-162</v>
      </c>
      <c r="BL118" s="229">
        <v>-0.27329999999999999</v>
      </c>
      <c r="BM118" s="228">
        <v>201</v>
      </c>
      <c r="BN118" s="228">
        <v>196</v>
      </c>
      <c r="BO118" s="228">
        <v>5</v>
      </c>
      <c r="BP118" s="229">
        <v>2.6599999999999999E-2</v>
      </c>
      <c r="BQ118" s="228">
        <v>758</v>
      </c>
      <c r="BR118" s="228">
        <v>984</v>
      </c>
      <c r="BS118" s="228">
        <v>-225</v>
      </c>
      <c r="BT118" s="229">
        <v>-0.22889999999999999</v>
      </c>
      <c r="BU118" s="230">
        <v>771112</v>
      </c>
      <c r="BV118" s="230">
        <v>1316333</v>
      </c>
      <c r="BW118" s="230">
        <v>-545221</v>
      </c>
      <c r="BX118" s="229">
        <v>-0.41420000000000001</v>
      </c>
      <c r="BY118" s="228">
        <v>979</v>
      </c>
      <c r="BZ118" s="228">
        <v>978</v>
      </c>
      <c r="CA118" s="228">
        <v>1</v>
      </c>
      <c r="CB118" s="229">
        <v>6.9999999999999999E-4</v>
      </c>
      <c r="CC118" s="228">
        <v>834</v>
      </c>
      <c r="CD118" s="228">
        <v>845</v>
      </c>
      <c r="CE118" s="228">
        <v>-11</v>
      </c>
      <c r="CF118" s="229">
        <v>-1.2999999999999999E-2</v>
      </c>
      <c r="CG118" s="228">
        <v>125</v>
      </c>
      <c r="CH118" s="228">
        <v>116</v>
      </c>
      <c r="CI118" s="228">
        <v>9</v>
      </c>
      <c r="CJ118" s="229">
        <v>8.0100000000000005E-2</v>
      </c>
      <c r="CK118" s="228">
        <v>19</v>
      </c>
      <c r="CL118" s="228">
        <v>16</v>
      </c>
      <c r="CM118" s="228">
        <v>2</v>
      </c>
      <c r="CN118" s="229">
        <v>0.1439</v>
      </c>
      <c r="CO118" s="228">
        <v>806</v>
      </c>
      <c r="CP118" s="228">
        <v>785</v>
      </c>
      <c r="CQ118" s="228">
        <v>21</v>
      </c>
      <c r="CR118" s="229">
        <v>2.6499999999999999E-2</v>
      </c>
      <c r="CS118" s="228">
        <v>384</v>
      </c>
      <c r="CT118" s="228">
        <v>397</v>
      </c>
      <c r="CU118" s="228">
        <v>-13</v>
      </c>
      <c r="CV118" s="229">
        <v>-3.3000000000000002E-2</v>
      </c>
      <c r="CW118" s="230">
        <v>2168</v>
      </c>
      <c r="CX118" s="230">
        <v>2160</v>
      </c>
      <c r="CY118" s="228">
        <v>8</v>
      </c>
      <c r="CZ118" s="229">
        <v>3.8999999999999998E-3</v>
      </c>
      <c r="DA118" s="228">
        <v>19.329999999999998</v>
      </c>
      <c r="DB118" s="228">
        <v>19.8</v>
      </c>
      <c r="DC118" s="228">
        <v>-0.47</v>
      </c>
      <c r="DD118" s="228">
        <v>-0.47</v>
      </c>
      <c r="DE118" s="228">
        <v>30.53</v>
      </c>
      <c r="DF118" s="228">
        <v>30.57</v>
      </c>
      <c r="DG118" s="228">
        <v>-11.2</v>
      </c>
      <c r="DH118" s="228">
        <v>-0.04</v>
      </c>
      <c r="DI118" s="228">
        <v>19.989999999999998</v>
      </c>
      <c r="DJ118" s="228">
        <v>20.11</v>
      </c>
      <c r="DK118" s="228">
        <v>-0.12</v>
      </c>
      <c r="DL118" s="228">
        <v>-0.12</v>
      </c>
      <c r="DM118" s="228">
        <v>17.940000000000001</v>
      </c>
      <c r="DN118" s="228">
        <v>18.87</v>
      </c>
      <c r="DO118" s="228">
        <v>-0.93</v>
      </c>
      <c r="DP118" s="228">
        <v>-0.93</v>
      </c>
      <c r="DQ118" s="228">
        <v>0.48</v>
      </c>
      <c r="DR118" s="228">
        <v>0.51</v>
      </c>
      <c r="DS118" s="228">
        <v>-0.03</v>
      </c>
      <c r="DT118" s="229">
        <v>-5.8799999999999998E-2</v>
      </c>
      <c r="DU118" s="228">
        <v>900</v>
      </c>
      <c r="DV118" s="228">
        <v>900</v>
      </c>
      <c r="DW118" s="228">
        <v>0.47</v>
      </c>
      <c r="DX118" s="228">
        <v>0.33</v>
      </c>
      <c r="DY118" s="228">
        <v>0.14000000000000001</v>
      </c>
      <c r="DZ118" s="229">
        <v>0.42420000000000002</v>
      </c>
      <c r="EA118" s="229">
        <v>0.14749999999999999</v>
      </c>
      <c r="EB118" s="230">
        <v>1565900</v>
      </c>
      <c r="EC118" s="229">
        <v>6.0000000000000001E-3</v>
      </c>
      <c r="ED118" s="229">
        <v>0.14749999999999999</v>
      </c>
      <c r="EE118" s="228">
        <v>4.29</v>
      </c>
      <c r="EF118" s="229">
        <v>5.0000000000000001E-3</v>
      </c>
      <c r="EG118" s="230">
        <v>438211</v>
      </c>
      <c r="EH118" s="230">
        <v>799345</v>
      </c>
      <c r="EI118" s="229">
        <v>-0.45179999999999998</v>
      </c>
      <c r="EJ118" s="229">
        <v>0.56830000000000003</v>
      </c>
      <c r="EK118" s="228">
        <v>452.45</v>
      </c>
      <c r="EL118" s="228">
        <v>201.23</v>
      </c>
      <c r="EM118" s="228">
        <v>125.96</v>
      </c>
      <c r="EN118" s="228">
        <v>24.61</v>
      </c>
      <c r="EO118" s="228">
        <v>779.64</v>
      </c>
      <c r="EP118" s="231">
        <v>1016.01</v>
      </c>
      <c r="EQ118" s="228">
        <v>-236.36</v>
      </c>
      <c r="ER118" s="229">
        <v>-0.2326</v>
      </c>
      <c r="ES118" s="228">
        <v>864.19</v>
      </c>
      <c r="ET118" s="228">
        <v>389.72</v>
      </c>
      <c r="EU118" s="228">
        <v>979.47</v>
      </c>
      <c r="EV118" s="231">
        <v>32057152</v>
      </c>
      <c r="EW118" s="231">
        <v>2233.38</v>
      </c>
      <c r="EX118" s="231">
        <v>2236.9</v>
      </c>
      <c r="EY118" s="228">
        <v>-3.52</v>
      </c>
      <c r="EZ118" s="229">
        <v>-1.6000000000000001E-3</v>
      </c>
      <c r="FA118" s="229">
        <v>0.7984</v>
      </c>
      <c r="FB118" s="227" t="s">
        <v>567</v>
      </c>
      <c r="FC118">
        <f t="shared" si="1"/>
        <v>145</v>
      </c>
    </row>
    <row r="119" spans="1:159" ht="17.25" thickBot="1" x14ac:dyDescent="0.3">
      <c r="A119" s="226">
        <v>46008</v>
      </c>
      <c r="B119" s="227" t="s">
        <v>206</v>
      </c>
      <c r="C119" s="227" t="s">
        <v>588</v>
      </c>
      <c r="D119" s="228">
        <v>450</v>
      </c>
      <c r="E119" s="228">
        <v>13</v>
      </c>
      <c r="F119" s="231">
        <v>1064.7</v>
      </c>
      <c r="G119" s="231">
        <v>1076</v>
      </c>
      <c r="H119" s="228">
        <v>-11.3</v>
      </c>
      <c r="I119" s="229">
        <v>-1.0500000000000001E-2</v>
      </c>
      <c r="J119" s="231">
        <v>1063.8</v>
      </c>
      <c r="K119" s="231">
        <v>1075.4000000000001</v>
      </c>
      <c r="L119" s="228">
        <v>-11.6</v>
      </c>
      <c r="M119" s="229">
        <v>-1.0800000000000001E-2</v>
      </c>
      <c r="N119" s="231">
        <v>1064.7</v>
      </c>
      <c r="O119" s="231">
        <v>1076</v>
      </c>
      <c r="P119" s="228">
        <v>-11.3</v>
      </c>
      <c r="Q119" s="229">
        <v>-1.0500000000000001E-2</v>
      </c>
      <c r="R119" s="231">
        <v>1069.9000000000001</v>
      </c>
      <c r="S119" s="231">
        <v>1080.7</v>
      </c>
      <c r="T119" s="228">
        <v>-10.8</v>
      </c>
      <c r="U119" s="229">
        <v>-0.01</v>
      </c>
      <c r="V119" s="231">
        <v>1080.2</v>
      </c>
      <c r="W119" s="231">
        <v>1086.7</v>
      </c>
      <c r="X119" s="228">
        <v>-6.5</v>
      </c>
      <c r="Y119" s="229">
        <v>-6.0000000000000001E-3</v>
      </c>
      <c r="Z119" s="228">
        <v>0.9</v>
      </c>
      <c r="AA119" s="228">
        <v>0.6</v>
      </c>
      <c r="AB119" s="228">
        <v>0.3</v>
      </c>
      <c r="AC119" s="229">
        <v>8.0000000000000004E-4</v>
      </c>
      <c r="AD119" s="228">
        <v>0.9</v>
      </c>
      <c r="AE119" s="228">
        <v>0.6</v>
      </c>
      <c r="AF119" s="228">
        <v>0.3</v>
      </c>
      <c r="AG119" s="229">
        <v>8.0000000000000004E-4</v>
      </c>
      <c r="AH119" s="228">
        <v>6.1</v>
      </c>
      <c r="AI119" s="228">
        <v>5.3</v>
      </c>
      <c r="AJ119" s="228">
        <v>0.8</v>
      </c>
      <c r="AK119" s="229">
        <v>5.7000000000000002E-3</v>
      </c>
      <c r="AL119" s="228">
        <v>16.399999999999999</v>
      </c>
      <c r="AM119" s="228">
        <v>11.3</v>
      </c>
      <c r="AN119" s="228">
        <v>5.0999999999999996</v>
      </c>
      <c r="AO119" s="229">
        <v>1.54E-2</v>
      </c>
      <c r="AP119" s="231">
        <v>1074.46</v>
      </c>
      <c r="AQ119" s="231">
        <v>1078.8699999999999</v>
      </c>
      <c r="AR119" s="228">
        <v>0</v>
      </c>
      <c r="AS119" s="228">
        <v>222</v>
      </c>
      <c r="AT119" s="228">
        <v>83</v>
      </c>
      <c r="AU119" s="228">
        <v>139</v>
      </c>
      <c r="AV119" s="229">
        <v>1.6874</v>
      </c>
      <c r="AW119" s="228">
        <v>149</v>
      </c>
      <c r="AX119" s="228">
        <v>71</v>
      </c>
      <c r="AY119" s="228">
        <v>78</v>
      </c>
      <c r="AZ119" s="229">
        <v>1.0940000000000001</v>
      </c>
      <c r="BA119" s="228">
        <v>72</v>
      </c>
      <c r="BB119" s="228">
        <v>10</v>
      </c>
      <c r="BC119" s="228">
        <v>62</v>
      </c>
      <c r="BD119" s="229">
        <v>6.1826999999999996</v>
      </c>
      <c r="BE119" s="228">
        <v>1</v>
      </c>
      <c r="BF119" s="228">
        <v>1</v>
      </c>
      <c r="BG119" s="228">
        <v>0</v>
      </c>
      <c r="BH119" s="229">
        <v>-0.26919999999999999</v>
      </c>
      <c r="BI119" s="228">
        <v>734</v>
      </c>
      <c r="BJ119" s="228">
        <v>312</v>
      </c>
      <c r="BK119" s="228">
        <v>422</v>
      </c>
      <c r="BL119" s="229">
        <v>1.3531</v>
      </c>
      <c r="BM119" s="228">
        <v>243</v>
      </c>
      <c r="BN119" s="228">
        <v>107</v>
      </c>
      <c r="BO119" s="228">
        <v>136</v>
      </c>
      <c r="BP119" s="229">
        <v>1.2644</v>
      </c>
      <c r="BQ119" s="230">
        <v>1199</v>
      </c>
      <c r="BR119" s="228">
        <v>502</v>
      </c>
      <c r="BS119" s="228">
        <v>697</v>
      </c>
      <c r="BT119" s="229">
        <v>1.3892</v>
      </c>
      <c r="BU119" s="230">
        <v>1035150</v>
      </c>
      <c r="BV119" s="230">
        <v>466976</v>
      </c>
      <c r="BW119" s="230">
        <v>568174</v>
      </c>
      <c r="BX119" s="229">
        <v>1.2166999999999999</v>
      </c>
      <c r="BY119" s="230">
        <v>1403</v>
      </c>
      <c r="BZ119" s="230">
        <v>1372</v>
      </c>
      <c r="CA119" s="228">
        <v>30</v>
      </c>
      <c r="CB119" s="229">
        <v>2.2100000000000002E-2</v>
      </c>
      <c r="CC119" s="230">
        <v>1311</v>
      </c>
      <c r="CD119" s="230">
        <v>1323</v>
      </c>
      <c r="CE119" s="228">
        <v>-12</v>
      </c>
      <c r="CF119" s="229">
        <v>-8.9999999999999993E-3</v>
      </c>
      <c r="CG119" s="228">
        <v>83</v>
      </c>
      <c r="CH119" s="228">
        <v>42</v>
      </c>
      <c r="CI119" s="228">
        <v>42</v>
      </c>
      <c r="CJ119" s="229">
        <v>0.99199999999999999</v>
      </c>
      <c r="CK119" s="228">
        <v>8</v>
      </c>
      <c r="CL119" s="228">
        <v>7</v>
      </c>
      <c r="CM119" s="228">
        <v>1</v>
      </c>
      <c r="CN119" s="229">
        <v>9.2700000000000005E-2</v>
      </c>
      <c r="CO119" s="228">
        <v>611</v>
      </c>
      <c r="CP119" s="228">
        <v>519</v>
      </c>
      <c r="CQ119" s="228">
        <v>91</v>
      </c>
      <c r="CR119" s="229">
        <v>0.17599999999999999</v>
      </c>
      <c r="CS119" s="228">
        <v>246</v>
      </c>
      <c r="CT119" s="228">
        <v>229</v>
      </c>
      <c r="CU119" s="228">
        <v>17</v>
      </c>
      <c r="CV119" s="229">
        <v>7.46E-2</v>
      </c>
      <c r="CW119" s="230">
        <v>2260</v>
      </c>
      <c r="CX119" s="230">
        <v>2121</v>
      </c>
      <c r="CY119" s="228">
        <v>139</v>
      </c>
      <c r="CZ119" s="229">
        <v>6.5500000000000003E-2</v>
      </c>
      <c r="DA119" s="228">
        <v>28.75</v>
      </c>
      <c r="DB119" s="228">
        <v>27.58</v>
      </c>
      <c r="DC119" s="228">
        <v>1.17</v>
      </c>
      <c r="DD119" s="228">
        <v>1.17</v>
      </c>
      <c r="DE119" s="228">
        <v>44.01</v>
      </c>
      <c r="DF119" s="228">
        <v>44.09</v>
      </c>
      <c r="DG119" s="228">
        <v>-15.26</v>
      </c>
      <c r="DH119" s="228">
        <v>-0.08</v>
      </c>
      <c r="DI119" s="228">
        <v>29.48</v>
      </c>
      <c r="DJ119" s="228">
        <v>28.44</v>
      </c>
      <c r="DK119" s="228">
        <v>1.04</v>
      </c>
      <c r="DL119" s="228">
        <v>1.04</v>
      </c>
      <c r="DM119" s="228">
        <v>26.56</v>
      </c>
      <c r="DN119" s="228">
        <v>25.09</v>
      </c>
      <c r="DO119" s="228">
        <v>1.47</v>
      </c>
      <c r="DP119" s="228">
        <v>1.47</v>
      </c>
      <c r="DQ119" s="228">
        <v>0.4</v>
      </c>
      <c r="DR119" s="228">
        <v>0.44</v>
      </c>
      <c r="DS119" s="228">
        <v>-0.04</v>
      </c>
      <c r="DT119" s="229">
        <v>-9.0899999999999995E-2</v>
      </c>
      <c r="DU119" s="231">
        <v>1200</v>
      </c>
      <c r="DV119" s="231">
        <v>1000</v>
      </c>
      <c r="DW119" s="228">
        <v>0.33</v>
      </c>
      <c r="DX119" s="228">
        <v>0.34</v>
      </c>
      <c r="DY119" s="228">
        <v>-0.01</v>
      </c>
      <c r="DZ119" s="229">
        <v>-2.9399999999999999E-2</v>
      </c>
      <c r="EA119" s="229">
        <v>6.5100000000000005E-2</v>
      </c>
      <c r="EB119" s="230">
        <v>461250</v>
      </c>
      <c r="EC119" s="229">
        <v>4.8999999999999998E-3</v>
      </c>
      <c r="ED119" s="229">
        <v>6.5100000000000005E-2</v>
      </c>
      <c r="EE119" s="228">
        <v>4.41</v>
      </c>
      <c r="EF119" s="229">
        <v>4.1000000000000003E-3</v>
      </c>
      <c r="EG119" s="230">
        <v>371646</v>
      </c>
      <c r="EH119" s="230">
        <v>226529</v>
      </c>
      <c r="EI119" s="229">
        <v>0.64059999999999995</v>
      </c>
      <c r="EJ119" s="229">
        <v>0.35899999999999999</v>
      </c>
      <c r="EK119" s="228">
        <v>781.87</v>
      </c>
      <c r="EL119" s="228">
        <v>243.97</v>
      </c>
      <c r="EM119" s="228">
        <v>224.32</v>
      </c>
      <c r="EN119" s="228">
        <v>23.61</v>
      </c>
      <c r="EO119" s="231">
        <v>1250.1500000000001</v>
      </c>
      <c r="EP119" s="228">
        <v>531.39</v>
      </c>
      <c r="EQ119" s="228">
        <v>718.77</v>
      </c>
      <c r="ER119" s="229">
        <v>1.3526</v>
      </c>
      <c r="ES119" s="228">
        <v>666.1</v>
      </c>
      <c r="ET119" s="228">
        <v>255.07</v>
      </c>
      <c r="EU119" s="231">
        <v>1403.13</v>
      </c>
      <c r="EV119" s="231">
        <v>42060143</v>
      </c>
      <c r="EW119" s="231">
        <v>2324.3000000000002</v>
      </c>
      <c r="EX119" s="231">
        <v>2195.9499999999998</v>
      </c>
      <c r="EY119" s="228">
        <v>128.35</v>
      </c>
      <c r="EZ119" s="229">
        <v>5.8400000000000001E-2</v>
      </c>
      <c r="FA119" s="229">
        <v>0.50460000000000005</v>
      </c>
      <c r="FB119" s="227" t="s">
        <v>567</v>
      </c>
      <c r="FC119">
        <f t="shared" si="1"/>
        <v>92</v>
      </c>
    </row>
    <row r="120" spans="1:159" ht="17.25" thickBot="1" x14ac:dyDescent="0.3">
      <c r="A120" s="226">
        <v>46008</v>
      </c>
      <c r="B120" s="227" t="s">
        <v>184</v>
      </c>
      <c r="C120" s="227" t="s">
        <v>249</v>
      </c>
      <c r="D120" s="228">
        <v>175</v>
      </c>
      <c r="E120" s="228">
        <v>13</v>
      </c>
      <c r="F120" s="231">
        <v>4068.7</v>
      </c>
      <c r="G120" s="231">
        <v>4068.8</v>
      </c>
      <c r="H120" s="228">
        <v>-0.1</v>
      </c>
      <c r="I120" s="229">
        <v>0</v>
      </c>
      <c r="J120" s="231">
        <v>4062.4</v>
      </c>
      <c r="K120" s="231">
        <v>4063.8</v>
      </c>
      <c r="L120" s="228">
        <v>-1.4</v>
      </c>
      <c r="M120" s="229">
        <v>-2.9999999999999997E-4</v>
      </c>
      <c r="N120" s="231">
        <v>4068.7</v>
      </c>
      <c r="O120" s="231">
        <v>4068.8</v>
      </c>
      <c r="P120" s="228">
        <v>-0.1</v>
      </c>
      <c r="Q120" s="229">
        <v>0</v>
      </c>
      <c r="R120" s="231">
        <v>4093.7</v>
      </c>
      <c r="S120" s="231">
        <v>4094.7</v>
      </c>
      <c r="T120" s="228">
        <v>-1</v>
      </c>
      <c r="U120" s="229">
        <v>-2.0000000000000001E-4</v>
      </c>
      <c r="V120" s="231">
        <v>4118.7</v>
      </c>
      <c r="W120" s="231">
        <v>4117</v>
      </c>
      <c r="X120" s="228">
        <v>1.7</v>
      </c>
      <c r="Y120" s="229">
        <v>4.0000000000000002E-4</v>
      </c>
      <c r="Z120" s="228">
        <v>6.3</v>
      </c>
      <c r="AA120" s="228">
        <v>5</v>
      </c>
      <c r="AB120" s="228">
        <v>1.3</v>
      </c>
      <c r="AC120" s="229">
        <v>1.6000000000000001E-3</v>
      </c>
      <c r="AD120" s="228">
        <v>6.3</v>
      </c>
      <c r="AE120" s="228">
        <v>5</v>
      </c>
      <c r="AF120" s="228">
        <v>1.3</v>
      </c>
      <c r="AG120" s="229">
        <v>1.6000000000000001E-3</v>
      </c>
      <c r="AH120" s="228">
        <v>31.3</v>
      </c>
      <c r="AI120" s="228">
        <v>30.9</v>
      </c>
      <c r="AJ120" s="228">
        <v>0.4</v>
      </c>
      <c r="AK120" s="229">
        <v>7.7000000000000002E-3</v>
      </c>
      <c r="AL120" s="228">
        <v>56.3</v>
      </c>
      <c r="AM120" s="228">
        <v>53.2</v>
      </c>
      <c r="AN120" s="228">
        <v>3.1</v>
      </c>
      <c r="AO120" s="229">
        <v>1.3899999999999999E-2</v>
      </c>
      <c r="AP120" s="231">
        <v>4061.7</v>
      </c>
      <c r="AQ120" s="231">
        <v>4087.68</v>
      </c>
      <c r="AR120" s="228">
        <v>0</v>
      </c>
      <c r="AS120" s="228">
        <v>412</v>
      </c>
      <c r="AT120" s="228">
        <v>616</v>
      </c>
      <c r="AU120" s="228">
        <v>-204</v>
      </c>
      <c r="AV120" s="229">
        <v>-0.33139999999999997</v>
      </c>
      <c r="AW120" s="228">
        <v>322</v>
      </c>
      <c r="AX120" s="228">
        <v>521</v>
      </c>
      <c r="AY120" s="228">
        <v>-198</v>
      </c>
      <c r="AZ120" s="229">
        <v>-0.38119999999999998</v>
      </c>
      <c r="BA120" s="228">
        <v>87</v>
      </c>
      <c r="BB120" s="228">
        <v>93</v>
      </c>
      <c r="BC120" s="228">
        <v>-6</v>
      </c>
      <c r="BD120" s="229">
        <v>-6.8000000000000005E-2</v>
      </c>
      <c r="BE120" s="228">
        <v>3</v>
      </c>
      <c r="BF120" s="228">
        <v>2</v>
      </c>
      <c r="BG120" s="228">
        <v>1</v>
      </c>
      <c r="BH120" s="229">
        <v>0.33329999999999999</v>
      </c>
      <c r="BI120" s="230">
        <v>1402</v>
      </c>
      <c r="BJ120" s="230">
        <v>1444</v>
      </c>
      <c r="BK120" s="228">
        <v>-42</v>
      </c>
      <c r="BL120" s="229">
        <v>-2.9100000000000001E-2</v>
      </c>
      <c r="BM120" s="228">
        <v>952</v>
      </c>
      <c r="BN120" s="228">
        <v>894</v>
      </c>
      <c r="BO120" s="228">
        <v>58</v>
      </c>
      <c r="BP120" s="229">
        <v>6.4699999999999994E-2</v>
      </c>
      <c r="BQ120" s="230">
        <v>2766</v>
      </c>
      <c r="BR120" s="230">
        <v>2954</v>
      </c>
      <c r="BS120" s="228">
        <v>-188</v>
      </c>
      <c r="BT120" s="229">
        <v>-6.3700000000000007E-2</v>
      </c>
      <c r="BU120" s="230">
        <v>1103665</v>
      </c>
      <c r="BV120" s="230">
        <v>2223347</v>
      </c>
      <c r="BW120" s="230">
        <v>-1119682</v>
      </c>
      <c r="BX120" s="229">
        <v>-0.50360000000000005</v>
      </c>
      <c r="BY120" s="230">
        <v>5563</v>
      </c>
      <c r="BZ120" s="230">
        <v>5577</v>
      </c>
      <c r="CA120" s="228">
        <v>-14</v>
      </c>
      <c r="CB120" s="229">
        <v>-2.5000000000000001E-3</v>
      </c>
      <c r="CC120" s="230">
        <v>4770</v>
      </c>
      <c r="CD120" s="230">
        <v>4851</v>
      </c>
      <c r="CE120" s="228">
        <v>-81</v>
      </c>
      <c r="CF120" s="229">
        <v>-1.66E-2</v>
      </c>
      <c r="CG120" s="228">
        <v>761</v>
      </c>
      <c r="CH120" s="228">
        <v>695</v>
      </c>
      <c r="CI120" s="228">
        <v>66</v>
      </c>
      <c r="CJ120" s="229">
        <v>9.5600000000000004E-2</v>
      </c>
      <c r="CK120" s="228">
        <v>31</v>
      </c>
      <c r="CL120" s="228">
        <v>31</v>
      </c>
      <c r="CM120" s="228">
        <v>0</v>
      </c>
      <c r="CN120" s="229">
        <v>1.4E-2</v>
      </c>
      <c r="CO120" s="230">
        <v>2314</v>
      </c>
      <c r="CP120" s="230">
        <v>2353</v>
      </c>
      <c r="CQ120" s="228">
        <v>-39</v>
      </c>
      <c r="CR120" s="229">
        <v>-1.6500000000000001E-2</v>
      </c>
      <c r="CS120" s="230">
        <v>1318</v>
      </c>
      <c r="CT120" s="230">
        <v>1352</v>
      </c>
      <c r="CU120" s="228">
        <v>-35</v>
      </c>
      <c r="CV120" s="229">
        <v>-2.5600000000000001E-2</v>
      </c>
      <c r="CW120" s="230">
        <v>9195</v>
      </c>
      <c r="CX120" s="230">
        <v>9282</v>
      </c>
      <c r="CY120" s="228">
        <v>-87</v>
      </c>
      <c r="CZ120" s="229">
        <v>-9.4000000000000004E-3</v>
      </c>
      <c r="DA120" s="228">
        <v>14.65</v>
      </c>
      <c r="DB120" s="228">
        <v>14.49</v>
      </c>
      <c r="DC120" s="228">
        <v>0.16</v>
      </c>
      <c r="DD120" s="228">
        <v>0.16</v>
      </c>
      <c r="DE120" s="228">
        <v>26.08</v>
      </c>
      <c r="DF120" s="228">
        <v>26.15</v>
      </c>
      <c r="DG120" s="228">
        <v>-11.43</v>
      </c>
      <c r="DH120" s="228">
        <v>-7.0000000000000007E-2</v>
      </c>
      <c r="DI120" s="228">
        <v>14.64</v>
      </c>
      <c r="DJ120" s="228">
        <v>14.42</v>
      </c>
      <c r="DK120" s="228">
        <v>0.22</v>
      </c>
      <c r="DL120" s="228">
        <v>0.22</v>
      </c>
      <c r="DM120" s="228">
        <v>14.68</v>
      </c>
      <c r="DN120" s="228">
        <v>14.61</v>
      </c>
      <c r="DO120" s="228">
        <v>7.0000000000000007E-2</v>
      </c>
      <c r="DP120" s="228">
        <v>7.0000000000000007E-2</v>
      </c>
      <c r="DQ120" s="228">
        <v>0.56999999999999995</v>
      </c>
      <c r="DR120" s="228">
        <v>0.56999999999999995</v>
      </c>
      <c r="DS120" s="228">
        <v>0</v>
      </c>
      <c r="DT120" s="229">
        <v>0</v>
      </c>
      <c r="DU120" s="231">
        <v>4100</v>
      </c>
      <c r="DV120" s="231">
        <v>4000</v>
      </c>
      <c r="DW120" s="228">
        <v>0.68</v>
      </c>
      <c r="DX120" s="228">
        <v>0.62</v>
      </c>
      <c r="DY120" s="228">
        <v>0.06</v>
      </c>
      <c r="DZ120" s="229">
        <v>9.6799999999999997E-2</v>
      </c>
      <c r="EA120" s="229">
        <v>0.1424</v>
      </c>
      <c r="EB120" s="230">
        <v>1783250</v>
      </c>
      <c r="EC120" s="229">
        <v>6.1000000000000004E-3</v>
      </c>
      <c r="ED120" s="229">
        <v>0.1424</v>
      </c>
      <c r="EE120" s="228">
        <v>25.98</v>
      </c>
      <c r="EF120" s="229">
        <v>6.4000000000000003E-3</v>
      </c>
      <c r="EG120" s="230">
        <v>632372</v>
      </c>
      <c r="EH120" s="230">
        <v>1575272</v>
      </c>
      <c r="EI120" s="229">
        <v>-0.59860000000000002</v>
      </c>
      <c r="EJ120" s="229">
        <v>0.57299999999999995</v>
      </c>
      <c r="EK120" s="231">
        <v>1426.13</v>
      </c>
      <c r="EL120" s="228">
        <v>950.87</v>
      </c>
      <c r="EM120" s="228">
        <v>411.64</v>
      </c>
      <c r="EN120" s="228">
        <v>93.48</v>
      </c>
      <c r="EO120" s="231">
        <v>2788.65</v>
      </c>
      <c r="EP120" s="231">
        <v>2985.9</v>
      </c>
      <c r="EQ120" s="228">
        <v>-197.25</v>
      </c>
      <c r="ER120" s="229">
        <v>-6.6100000000000006E-2</v>
      </c>
      <c r="ES120" s="231">
        <v>2360.2199999999998</v>
      </c>
      <c r="ET120" s="231">
        <v>1276.42</v>
      </c>
      <c r="EU120" s="231">
        <v>5567.88</v>
      </c>
      <c r="EV120" s="231">
        <v>136007303</v>
      </c>
      <c r="EW120" s="231">
        <v>9204.52</v>
      </c>
      <c r="EX120" s="231">
        <v>9291.7900000000009</v>
      </c>
      <c r="EY120" s="228">
        <v>-87.27</v>
      </c>
      <c r="EZ120" s="229">
        <v>-9.4000000000000004E-3</v>
      </c>
      <c r="FA120" s="229">
        <v>0.16619999999999999</v>
      </c>
      <c r="FB120" s="227" t="s">
        <v>237</v>
      </c>
      <c r="FC120">
        <f t="shared" si="1"/>
        <v>793</v>
      </c>
    </row>
    <row r="121" spans="1:159" ht="17.25" thickBot="1" x14ac:dyDescent="0.3">
      <c r="A121" s="226">
        <v>46008</v>
      </c>
      <c r="B121" s="227" t="s">
        <v>175</v>
      </c>
      <c r="C121" s="227" t="s">
        <v>565</v>
      </c>
      <c r="D121" s="228">
        <v>4462</v>
      </c>
      <c r="E121" s="228">
        <v>13</v>
      </c>
      <c r="F121" s="228">
        <v>303.05</v>
      </c>
      <c r="G121" s="228">
        <v>301.55</v>
      </c>
      <c r="H121" s="228">
        <v>1.5</v>
      </c>
      <c r="I121" s="229">
        <v>5.0000000000000001E-3</v>
      </c>
      <c r="J121" s="228">
        <v>301.89999999999998</v>
      </c>
      <c r="K121" s="228">
        <v>300.8</v>
      </c>
      <c r="L121" s="228">
        <v>1.1000000000000001</v>
      </c>
      <c r="M121" s="229">
        <v>3.7000000000000002E-3</v>
      </c>
      <c r="N121" s="228">
        <v>303.05</v>
      </c>
      <c r="O121" s="228">
        <v>301.55</v>
      </c>
      <c r="P121" s="228">
        <v>1.5</v>
      </c>
      <c r="Q121" s="229">
        <v>5.0000000000000001E-3</v>
      </c>
      <c r="R121" s="228">
        <v>304.3</v>
      </c>
      <c r="S121" s="228">
        <v>303.45</v>
      </c>
      <c r="T121" s="228">
        <v>0.85</v>
      </c>
      <c r="U121" s="229">
        <v>2.8E-3</v>
      </c>
      <c r="V121" s="228">
        <v>306</v>
      </c>
      <c r="W121" s="228">
        <v>304.64999999999998</v>
      </c>
      <c r="X121" s="228">
        <v>1.35</v>
      </c>
      <c r="Y121" s="229">
        <v>4.4000000000000003E-3</v>
      </c>
      <c r="Z121" s="228">
        <v>1.1499999999999999</v>
      </c>
      <c r="AA121" s="228">
        <v>0.75</v>
      </c>
      <c r="AB121" s="228">
        <v>0.4</v>
      </c>
      <c r="AC121" s="229">
        <v>3.8E-3</v>
      </c>
      <c r="AD121" s="228">
        <v>1.1499999999999999</v>
      </c>
      <c r="AE121" s="228">
        <v>0.75</v>
      </c>
      <c r="AF121" s="228">
        <v>0.4</v>
      </c>
      <c r="AG121" s="229">
        <v>3.8E-3</v>
      </c>
      <c r="AH121" s="228">
        <v>2.4</v>
      </c>
      <c r="AI121" s="228">
        <v>2.65</v>
      </c>
      <c r="AJ121" s="228">
        <v>-0.25</v>
      </c>
      <c r="AK121" s="229">
        <v>7.9000000000000008E-3</v>
      </c>
      <c r="AL121" s="228">
        <v>4.0999999999999996</v>
      </c>
      <c r="AM121" s="228">
        <v>3.85</v>
      </c>
      <c r="AN121" s="228">
        <v>0.25</v>
      </c>
      <c r="AO121" s="229">
        <v>1.3599999999999999E-2</v>
      </c>
      <c r="AP121" s="228">
        <v>303.89999999999998</v>
      </c>
      <c r="AQ121" s="228">
        <v>305.08999999999997</v>
      </c>
      <c r="AR121" s="228">
        <v>0</v>
      </c>
      <c r="AS121" s="228">
        <v>362</v>
      </c>
      <c r="AT121" s="228">
        <v>265</v>
      </c>
      <c r="AU121" s="228">
        <v>97</v>
      </c>
      <c r="AV121" s="229">
        <v>0.36480000000000001</v>
      </c>
      <c r="AW121" s="228">
        <v>293</v>
      </c>
      <c r="AX121" s="228">
        <v>233</v>
      </c>
      <c r="AY121" s="228">
        <v>61</v>
      </c>
      <c r="AZ121" s="229">
        <v>0.2616</v>
      </c>
      <c r="BA121" s="228">
        <v>66</v>
      </c>
      <c r="BB121" s="228">
        <v>30</v>
      </c>
      <c r="BC121" s="228">
        <v>35</v>
      </c>
      <c r="BD121" s="229">
        <v>1.1652</v>
      </c>
      <c r="BE121" s="228">
        <v>3</v>
      </c>
      <c r="BF121" s="228">
        <v>2</v>
      </c>
      <c r="BG121" s="228">
        <v>1</v>
      </c>
      <c r="BH121" s="229">
        <v>0.25</v>
      </c>
      <c r="BI121" s="230">
        <v>1100</v>
      </c>
      <c r="BJ121" s="228">
        <v>994</v>
      </c>
      <c r="BK121" s="228">
        <v>107</v>
      </c>
      <c r="BL121" s="229">
        <v>0.1074</v>
      </c>
      <c r="BM121" s="228">
        <v>512</v>
      </c>
      <c r="BN121" s="228">
        <v>321</v>
      </c>
      <c r="BO121" s="228">
        <v>190</v>
      </c>
      <c r="BP121" s="229">
        <v>0.59189999999999998</v>
      </c>
      <c r="BQ121" s="230">
        <v>1974</v>
      </c>
      <c r="BR121" s="230">
        <v>1580</v>
      </c>
      <c r="BS121" s="228">
        <v>394</v>
      </c>
      <c r="BT121" s="229">
        <v>0.24909999999999999</v>
      </c>
      <c r="BU121" s="230">
        <v>4179671</v>
      </c>
      <c r="BV121" s="230">
        <v>3096843</v>
      </c>
      <c r="BW121" s="230">
        <v>1082828</v>
      </c>
      <c r="BX121" s="229">
        <v>0.34970000000000001</v>
      </c>
      <c r="BY121" s="230">
        <v>1230</v>
      </c>
      <c r="BZ121" s="230">
        <v>1237</v>
      </c>
      <c r="CA121" s="228">
        <v>-7</v>
      </c>
      <c r="CB121" s="229">
        <v>-5.4999999999999997E-3</v>
      </c>
      <c r="CC121" s="230">
        <v>1162</v>
      </c>
      <c r="CD121" s="230">
        <v>1177</v>
      </c>
      <c r="CE121" s="228">
        <v>-15</v>
      </c>
      <c r="CF121" s="229">
        <v>-1.29E-2</v>
      </c>
      <c r="CG121" s="228">
        <v>63</v>
      </c>
      <c r="CH121" s="228">
        <v>54</v>
      </c>
      <c r="CI121" s="228">
        <v>8</v>
      </c>
      <c r="CJ121" s="229">
        <v>0.1527</v>
      </c>
      <c r="CK121" s="228">
        <v>6</v>
      </c>
      <c r="CL121" s="228">
        <v>6</v>
      </c>
      <c r="CM121" s="228">
        <v>0</v>
      </c>
      <c r="CN121" s="229">
        <v>0</v>
      </c>
      <c r="CO121" s="230">
        <v>1135</v>
      </c>
      <c r="CP121" s="230">
        <v>1098</v>
      </c>
      <c r="CQ121" s="228">
        <v>37</v>
      </c>
      <c r="CR121" s="229">
        <v>3.3500000000000002E-2</v>
      </c>
      <c r="CS121" s="228">
        <v>729</v>
      </c>
      <c r="CT121" s="228">
        <v>703</v>
      </c>
      <c r="CU121" s="228">
        <v>26</v>
      </c>
      <c r="CV121" s="229">
        <v>3.6799999999999999E-2</v>
      </c>
      <c r="CW121" s="230">
        <v>3095</v>
      </c>
      <c r="CX121" s="230">
        <v>3039</v>
      </c>
      <c r="CY121" s="228">
        <v>56</v>
      </c>
      <c r="CZ121" s="229">
        <v>1.84E-2</v>
      </c>
      <c r="DA121" s="228">
        <v>26.78</v>
      </c>
      <c r="DB121" s="228">
        <v>26.82</v>
      </c>
      <c r="DC121" s="228">
        <v>-0.04</v>
      </c>
      <c r="DD121" s="228">
        <v>-0.04</v>
      </c>
      <c r="DE121" s="228">
        <v>39</v>
      </c>
      <c r="DF121" s="228">
        <v>39.090000000000003</v>
      </c>
      <c r="DG121" s="228">
        <v>-12.22</v>
      </c>
      <c r="DH121" s="228">
        <v>-0.09</v>
      </c>
      <c r="DI121" s="228">
        <v>26.78</v>
      </c>
      <c r="DJ121" s="228">
        <v>27.31</v>
      </c>
      <c r="DK121" s="228">
        <v>-0.53</v>
      </c>
      <c r="DL121" s="228">
        <v>-0.53</v>
      </c>
      <c r="DM121" s="228">
        <v>26.79</v>
      </c>
      <c r="DN121" s="228">
        <v>25.29</v>
      </c>
      <c r="DO121" s="228">
        <v>1.5</v>
      </c>
      <c r="DP121" s="228">
        <v>1.5</v>
      </c>
      <c r="DQ121" s="228">
        <v>0.64</v>
      </c>
      <c r="DR121" s="228">
        <v>0.64</v>
      </c>
      <c r="DS121" s="228">
        <v>0</v>
      </c>
      <c r="DT121" s="229">
        <v>0</v>
      </c>
      <c r="DU121" s="228">
        <v>320</v>
      </c>
      <c r="DV121" s="228">
        <v>300</v>
      </c>
      <c r="DW121" s="228">
        <v>0.47</v>
      </c>
      <c r="DX121" s="228">
        <v>0.32</v>
      </c>
      <c r="DY121" s="228">
        <v>0.15</v>
      </c>
      <c r="DZ121" s="229">
        <v>0.46870000000000001</v>
      </c>
      <c r="EA121" s="229">
        <v>5.5599999999999997E-2</v>
      </c>
      <c r="EB121" s="230">
        <v>1984500</v>
      </c>
      <c r="EC121" s="229">
        <v>4.1000000000000003E-3</v>
      </c>
      <c r="ED121" s="229">
        <v>5.5599999999999997E-2</v>
      </c>
      <c r="EE121" s="228">
        <v>1.19</v>
      </c>
      <c r="EF121" s="229">
        <v>3.8999999999999998E-3</v>
      </c>
      <c r="EG121" s="230">
        <v>1945373</v>
      </c>
      <c r="EH121" s="230">
        <v>1144225</v>
      </c>
      <c r="EI121" s="229">
        <v>0.70020000000000004</v>
      </c>
      <c r="EJ121" s="229">
        <v>0.46539999999999998</v>
      </c>
      <c r="EK121" s="231">
        <v>1128.29</v>
      </c>
      <c r="EL121" s="228">
        <v>492.35</v>
      </c>
      <c r="EM121" s="228">
        <v>328.93</v>
      </c>
      <c r="EN121" s="228">
        <v>23.64</v>
      </c>
      <c r="EO121" s="231">
        <v>1949.57</v>
      </c>
      <c r="EP121" s="231">
        <v>1594.46</v>
      </c>
      <c r="EQ121" s="228">
        <v>355.1</v>
      </c>
      <c r="ER121" s="229">
        <v>0.22270000000000001</v>
      </c>
      <c r="ES121" s="231">
        <v>1179.8599999999999</v>
      </c>
      <c r="ET121" s="228">
        <v>705.95</v>
      </c>
      <c r="EU121" s="231">
        <v>1230.5899999999999</v>
      </c>
      <c r="EV121" s="231">
        <v>126777205</v>
      </c>
      <c r="EW121" s="231">
        <v>3116.4</v>
      </c>
      <c r="EX121" s="231">
        <v>3055.2</v>
      </c>
      <c r="EY121" s="228">
        <v>61.2</v>
      </c>
      <c r="EZ121" s="229">
        <v>0.02</v>
      </c>
      <c r="FA121" s="229">
        <v>0.80549999999999999</v>
      </c>
      <c r="FB121" s="227" t="s">
        <v>556</v>
      </c>
      <c r="FC121">
        <f t="shared" si="1"/>
        <v>68</v>
      </c>
    </row>
    <row r="122" spans="1:159" ht="17.25" thickBot="1" x14ac:dyDescent="0.3">
      <c r="A122" s="226">
        <v>46008</v>
      </c>
      <c r="B122" s="227" t="s">
        <v>221</v>
      </c>
      <c r="C122" s="227" t="s">
        <v>561</v>
      </c>
      <c r="D122" s="228">
        <v>150</v>
      </c>
      <c r="E122" s="228">
        <v>13</v>
      </c>
      <c r="F122" s="231">
        <v>6270.5</v>
      </c>
      <c r="G122" s="231">
        <v>6228</v>
      </c>
      <c r="H122" s="228">
        <v>42.5</v>
      </c>
      <c r="I122" s="229">
        <v>6.7999999999999996E-3</v>
      </c>
      <c r="J122" s="231">
        <v>6252.5</v>
      </c>
      <c r="K122" s="231">
        <v>6216</v>
      </c>
      <c r="L122" s="228">
        <v>36.5</v>
      </c>
      <c r="M122" s="229">
        <v>5.8999999999999999E-3</v>
      </c>
      <c r="N122" s="231">
        <v>6270.5</v>
      </c>
      <c r="O122" s="231">
        <v>6228</v>
      </c>
      <c r="P122" s="228">
        <v>42.5</v>
      </c>
      <c r="Q122" s="229">
        <v>6.7999999999999996E-3</v>
      </c>
      <c r="R122" s="231">
        <v>6304</v>
      </c>
      <c r="S122" s="231">
        <v>6264.5</v>
      </c>
      <c r="T122" s="228">
        <v>39.5</v>
      </c>
      <c r="U122" s="229">
        <v>6.3E-3</v>
      </c>
      <c r="V122" s="231">
        <v>6316.5</v>
      </c>
      <c r="W122" s="231">
        <v>6296.5</v>
      </c>
      <c r="X122" s="228">
        <v>20</v>
      </c>
      <c r="Y122" s="229">
        <v>3.2000000000000002E-3</v>
      </c>
      <c r="Z122" s="228">
        <v>18</v>
      </c>
      <c r="AA122" s="228">
        <v>12</v>
      </c>
      <c r="AB122" s="228">
        <v>6</v>
      </c>
      <c r="AC122" s="229">
        <v>2.8999999999999998E-3</v>
      </c>
      <c r="AD122" s="228">
        <v>18</v>
      </c>
      <c r="AE122" s="228">
        <v>12</v>
      </c>
      <c r="AF122" s="228">
        <v>6</v>
      </c>
      <c r="AG122" s="229">
        <v>2.8999999999999998E-3</v>
      </c>
      <c r="AH122" s="228">
        <v>51.5</v>
      </c>
      <c r="AI122" s="228">
        <v>48.5</v>
      </c>
      <c r="AJ122" s="228">
        <v>3</v>
      </c>
      <c r="AK122" s="229">
        <v>8.2000000000000007E-3</v>
      </c>
      <c r="AL122" s="228">
        <v>64</v>
      </c>
      <c r="AM122" s="228">
        <v>80.5</v>
      </c>
      <c r="AN122" s="228">
        <v>-16.5</v>
      </c>
      <c r="AO122" s="229">
        <v>1.0200000000000001E-2</v>
      </c>
      <c r="AP122" s="231">
        <v>6270.71</v>
      </c>
      <c r="AQ122" s="231">
        <v>6301.96</v>
      </c>
      <c r="AR122" s="228">
        <v>0</v>
      </c>
      <c r="AS122" s="228">
        <v>257</v>
      </c>
      <c r="AT122" s="228">
        <v>252</v>
      </c>
      <c r="AU122" s="228">
        <v>5</v>
      </c>
      <c r="AV122" s="229">
        <v>1.8700000000000001E-2</v>
      </c>
      <c r="AW122" s="228">
        <v>215</v>
      </c>
      <c r="AX122" s="228">
        <v>225</v>
      </c>
      <c r="AY122" s="228">
        <v>-10</v>
      </c>
      <c r="AZ122" s="229">
        <v>-4.2599999999999999E-2</v>
      </c>
      <c r="BA122" s="228">
        <v>41</v>
      </c>
      <c r="BB122" s="228">
        <v>26</v>
      </c>
      <c r="BC122" s="228">
        <v>15</v>
      </c>
      <c r="BD122" s="229">
        <v>0.56469999999999998</v>
      </c>
      <c r="BE122" s="228">
        <v>0</v>
      </c>
      <c r="BF122" s="228">
        <v>1</v>
      </c>
      <c r="BG122" s="228">
        <v>0</v>
      </c>
      <c r="BH122" s="229">
        <v>-0.55559999999999998</v>
      </c>
      <c r="BI122" s="230">
        <v>1052</v>
      </c>
      <c r="BJ122" s="228">
        <v>443</v>
      </c>
      <c r="BK122" s="228">
        <v>609</v>
      </c>
      <c r="BL122" s="229">
        <v>1.3756999999999999</v>
      </c>
      <c r="BM122" s="228">
        <v>329</v>
      </c>
      <c r="BN122" s="228">
        <v>325</v>
      </c>
      <c r="BO122" s="228">
        <v>4</v>
      </c>
      <c r="BP122" s="229">
        <v>1.1900000000000001E-2</v>
      </c>
      <c r="BQ122" s="230">
        <v>1637</v>
      </c>
      <c r="BR122" s="230">
        <v>1019</v>
      </c>
      <c r="BS122" s="228">
        <v>617</v>
      </c>
      <c r="BT122" s="229">
        <v>0.60570000000000002</v>
      </c>
      <c r="BU122" s="230">
        <v>412770</v>
      </c>
      <c r="BV122" s="230">
        <v>202011</v>
      </c>
      <c r="BW122" s="230">
        <v>210759</v>
      </c>
      <c r="BX122" s="229">
        <v>1.0432999999999999</v>
      </c>
      <c r="BY122" s="230">
        <v>1447</v>
      </c>
      <c r="BZ122" s="230">
        <v>1404</v>
      </c>
      <c r="CA122" s="228">
        <v>43</v>
      </c>
      <c r="CB122" s="229">
        <v>3.0800000000000001E-2</v>
      </c>
      <c r="CC122" s="230">
        <v>1327</v>
      </c>
      <c r="CD122" s="230">
        <v>1300</v>
      </c>
      <c r="CE122" s="228">
        <v>27</v>
      </c>
      <c r="CF122" s="229">
        <v>2.0500000000000001E-2</v>
      </c>
      <c r="CG122" s="228">
        <v>117</v>
      </c>
      <c r="CH122" s="228">
        <v>100</v>
      </c>
      <c r="CI122" s="228">
        <v>17</v>
      </c>
      <c r="CJ122" s="229">
        <v>0.16539999999999999</v>
      </c>
      <c r="CK122" s="228">
        <v>4</v>
      </c>
      <c r="CL122" s="228">
        <v>4</v>
      </c>
      <c r="CM122" s="228">
        <v>0</v>
      </c>
      <c r="CN122" s="229">
        <v>0</v>
      </c>
      <c r="CO122" s="228">
        <v>579</v>
      </c>
      <c r="CP122" s="228">
        <v>561</v>
      </c>
      <c r="CQ122" s="228">
        <v>18</v>
      </c>
      <c r="CR122" s="229">
        <v>3.2199999999999999E-2</v>
      </c>
      <c r="CS122" s="228">
        <v>457</v>
      </c>
      <c r="CT122" s="228">
        <v>452</v>
      </c>
      <c r="CU122" s="228">
        <v>5</v>
      </c>
      <c r="CV122" s="229">
        <v>1.17E-2</v>
      </c>
      <c r="CW122" s="230">
        <v>2483</v>
      </c>
      <c r="CX122" s="230">
        <v>2417</v>
      </c>
      <c r="CY122" s="228">
        <v>66</v>
      </c>
      <c r="CZ122" s="229">
        <v>2.75E-2</v>
      </c>
      <c r="DA122" s="228">
        <v>22.48</v>
      </c>
      <c r="DB122" s="228">
        <v>22.68</v>
      </c>
      <c r="DC122" s="228">
        <v>-0.2</v>
      </c>
      <c r="DD122" s="228">
        <v>-0.2</v>
      </c>
      <c r="DE122" s="228">
        <v>32.26</v>
      </c>
      <c r="DF122" s="228">
        <v>32.33</v>
      </c>
      <c r="DG122" s="228">
        <v>-9.7799999999999994</v>
      </c>
      <c r="DH122" s="228">
        <v>-7.0000000000000007E-2</v>
      </c>
      <c r="DI122" s="228">
        <v>22.3</v>
      </c>
      <c r="DJ122" s="228">
        <v>22.72</v>
      </c>
      <c r="DK122" s="228">
        <v>-0.42</v>
      </c>
      <c r="DL122" s="228">
        <v>-0.42</v>
      </c>
      <c r="DM122" s="228">
        <v>23.06</v>
      </c>
      <c r="DN122" s="228">
        <v>22.63</v>
      </c>
      <c r="DO122" s="228">
        <v>0.43</v>
      </c>
      <c r="DP122" s="228">
        <v>0.43</v>
      </c>
      <c r="DQ122" s="228">
        <v>0.79</v>
      </c>
      <c r="DR122" s="228">
        <v>0.81</v>
      </c>
      <c r="DS122" s="228">
        <v>-0.02</v>
      </c>
      <c r="DT122" s="229">
        <v>-2.47E-2</v>
      </c>
      <c r="DU122" s="231">
        <v>6800</v>
      </c>
      <c r="DV122" s="231">
        <v>5900</v>
      </c>
      <c r="DW122" s="228">
        <v>0.31</v>
      </c>
      <c r="DX122" s="228">
        <v>0.73</v>
      </c>
      <c r="DY122" s="228">
        <v>-0.42</v>
      </c>
      <c r="DZ122" s="229">
        <v>-0.57530000000000003</v>
      </c>
      <c r="EA122" s="229">
        <v>8.3299999999999999E-2</v>
      </c>
      <c r="EB122" s="230">
        <v>165750</v>
      </c>
      <c r="EC122" s="229">
        <v>5.3E-3</v>
      </c>
      <c r="ED122" s="229">
        <v>8.3299999999999999E-2</v>
      </c>
      <c r="EE122" s="228">
        <v>31.25</v>
      </c>
      <c r="EF122" s="229">
        <v>5.0000000000000001E-3</v>
      </c>
      <c r="EG122" s="230">
        <v>246916</v>
      </c>
      <c r="EH122" s="230">
        <v>108710</v>
      </c>
      <c r="EI122" s="229">
        <v>1.2713000000000001</v>
      </c>
      <c r="EJ122" s="229">
        <v>0.59819999999999995</v>
      </c>
      <c r="EK122" s="231">
        <v>1080.6099999999999</v>
      </c>
      <c r="EL122" s="228">
        <v>323.42</v>
      </c>
      <c r="EM122" s="228">
        <v>256.89999999999998</v>
      </c>
      <c r="EN122" s="228">
        <v>22.74</v>
      </c>
      <c r="EO122" s="231">
        <v>1660.93</v>
      </c>
      <c r="EP122" s="231">
        <v>1028.8900000000001</v>
      </c>
      <c r="EQ122" s="228">
        <v>632.03</v>
      </c>
      <c r="ER122" s="229">
        <v>0.61429999999999996</v>
      </c>
      <c r="ES122" s="228">
        <v>592.62</v>
      </c>
      <c r="ET122" s="228">
        <v>427.94</v>
      </c>
      <c r="EU122" s="231">
        <v>1447.73</v>
      </c>
      <c r="EV122" s="231">
        <v>9315942</v>
      </c>
      <c r="EW122" s="231">
        <v>2468.29</v>
      </c>
      <c r="EX122" s="231">
        <v>2391.92</v>
      </c>
      <c r="EY122" s="228">
        <v>76.37</v>
      </c>
      <c r="EZ122" s="229">
        <v>3.1899999999999998E-2</v>
      </c>
      <c r="FA122" s="229">
        <v>0.42509999999999998</v>
      </c>
      <c r="FB122" s="227" t="s">
        <v>555</v>
      </c>
      <c r="FC122">
        <f t="shared" si="1"/>
        <v>120</v>
      </c>
    </row>
    <row r="123" spans="1:159" ht="17.25" thickBot="1" x14ac:dyDescent="0.3">
      <c r="A123" s="226">
        <v>46008</v>
      </c>
      <c r="B123" s="227" t="s">
        <v>170</v>
      </c>
      <c r="C123" s="227" t="s">
        <v>250</v>
      </c>
      <c r="D123" s="228">
        <v>425</v>
      </c>
      <c r="E123" s="228">
        <v>13</v>
      </c>
      <c r="F123" s="231">
        <v>2114</v>
      </c>
      <c r="G123" s="231">
        <v>2092.3000000000002</v>
      </c>
      <c r="H123" s="228">
        <v>21.7</v>
      </c>
      <c r="I123" s="229">
        <v>1.04E-2</v>
      </c>
      <c r="J123" s="231">
        <v>2113.1</v>
      </c>
      <c r="K123" s="231">
        <v>2090.6</v>
      </c>
      <c r="L123" s="228">
        <v>22.5</v>
      </c>
      <c r="M123" s="229">
        <v>1.0800000000000001E-2</v>
      </c>
      <c r="N123" s="231">
        <v>2114</v>
      </c>
      <c r="O123" s="231">
        <v>2092.3000000000002</v>
      </c>
      <c r="P123" s="228">
        <v>21.7</v>
      </c>
      <c r="Q123" s="229">
        <v>1.04E-2</v>
      </c>
      <c r="R123" s="231">
        <v>2126</v>
      </c>
      <c r="S123" s="231">
        <v>2105.1999999999998</v>
      </c>
      <c r="T123" s="228">
        <v>20.8</v>
      </c>
      <c r="U123" s="229">
        <v>9.9000000000000008E-3</v>
      </c>
      <c r="V123" s="231">
        <v>2139.1999999999998</v>
      </c>
      <c r="W123" s="231">
        <v>2120.1</v>
      </c>
      <c r="X123" s="228">
        <v>19.100000000000001</v>
      </c>
      <c r="Y123" s="229">
        <v>8.9999999999999993E-3</v>
      </c>
      <c r="Z123" s="228">
        <v>0.9</v>
      </c>
      <c r="AA123" s="228">
        <v>1.7</v>
      </c>
      <c r="AB123" s="228">
        <v>-0.8</v>
      </c>
      <c r="AC123" s="229">
        <v>4.0000000000000002E-4</v>
      </c>
      <c r="AD123" s="228">
        <v>0.9</v>
      </c>
      <c r="AE123" s="228">
        <v>1.7</v>
      </c>
      <c r="AF123" s="228">
        <v>-0.8</v>
      </c>
      <c r="AG123" s="229">
        <v>4.0000000000000002E-4</v>
      </c>
      <c r="AH123" s="228">
        <v>12.9</v>
      </c>
      <c r="AI123" s="228">
        <v>14.6</v>
      </c>
      <c r="AJ123" s="228">
        <v>-1.7</v>
      </c>
      <c r="AK123" s="229">
        <v>6.1000000000000004E-3</v>
      </c>
      <c r="AL123" s="228">
        <v>26.1</v>
      </c>
      <c r="AM123" s="228">
        <v>29.5</v>
      </c>
      <c r="AN123" s="228">
        <v>-3.4</v>
      </c>
      <c r="AO123" s="229">
        <v>1.24E-2</v>
      </c>
      <c r="AP123" s="231">
        <v>2116.31</v>
      </c>
      <c r="AQ123" s="231">
        <v>2129.34</v>
      </c>
      <c r="AR123" s="228">
        <v>0</v>
      </c>
      <c r="AS123" s="228">
        <v>285</v>
      </c>
      <c r="AT123" s="228">
        <v>166</v>
      </c>
      <c r="AU123" s="228">
        <v>119</v>
      </c>
      <c r="AV123" s="229">
        <v>0.72070000000000001</v>
      </c>
      <c r="AW123" s="228">
        <v>253</v>
      </c>
      <c r="AX123" s="228">
        <v>139</v>
      </c>
      <c r="AY123" s="228">
        <v>114</v>
      </c>
      <c r="AZ123" s="229">
        <v>0.81769999999999998</v>
      </c>
      <c r="BA123" s="228">
        <v>31</v>
      </c>
      <c r="BB123" s="228">
        <v>26</v>
      </c>
      <c r="BC123" s="228">
        <v>5</v>
      </c>
      <c r="BD123" s="229">
        <v>0.1769</v>
      </c>
      <c r="BE123" s="228">
        <v>1</v>
      </c>
      <c r="BF123" s="228">
        <v>0</v>
      </c>
      <c r="BG123" s="228">
        <v>1</v>
      </c>
      <c r="BH123" s="229">
        <v>4</v>
      </c>
      <c r="BI123" s="230">
        <v>1275</v>
      </c>
      <c r="BJ123" s="228">
        <v>412</v>
      </c>
      <c r="BK123" s="228">
        <v>863</v>
      </c>
      <c r="BL123" s="229">
        <v>2.0916999999999999</v>
      </c>
      <c r="BM123" s="228">
        <v>388</v>
      </c>
      <c r="BN123" s="228">
        <v>154</v>
      </c>
      <c r="BO123" s="228">
        <v>234</v>
      </c>
      <c r="BP123" s="229">
        <v>1.5219</v>
      </c>
      <c r="BQ123" s="230">
        <v>1948</v>
      </c>
      <c r="BR123" s="228">
        <v>732</v>
      </c>
      <c r="BS123" s="230">
        <v>1216</v>
      </c>
      <c r="BT123" s="229">
        <v>1.6616</v>
      </c>
      <c r="BU123" s="230">
        <v>800211</v>
      </c>
      <c r="BV123" s="230">
        <v>609819</v>
      </c>
      <c r="BW123" s="230">
        <v>190392</v>
      </c>
      <c r="BX123" s="229">
        <v>0.31219999999999998</v>
      </c>
      <c r="BY123" s="230">
        <v>1527</v>
      </c>
      <c r="BZ123" s="230">
        <v>1565</v>
      </c>
      <c r="CA123" s="228">
        <v>-38</v>
      </c>
      <c r="CB123" s="229">
        <v>-2.4199999999999999E-2</v>
      </c>
      <c r="CC123" s="230">
        <v>1460</v>
      </c>
      <c r="CD123" s="230">
        <v>1503</v>
      </c>
      <c r="CE123" s="228">
        <v>-43</v>
      </c>
      <c r="CF123" s="229">
        <v>-2.8899999999999999E-2</v>
      </c>
      <c r="CG123" s="228">
        <v>63</v>
      </c>
      <c r="CH123" s="228">
        <v>57</v>
      </c>
      <c r="CI123" s="228">
        <v>5</v>
      </c>
      <c r="CJ123" s="229">
        <v>8.9200000000000002E-2</v>
      </c>
      <c r="CK123" s="228">
        <v>4</v>
      </c>
      <c r="CL123" s="228">
        <v>4</v>
      </c>
      <c r="CM123" s="228">
        <v>0</v>
      </c>
      <c r="CN123" s="229">
        <v>0.1111</v>
      </c>
      <c r="CO123" s="228">
        <v>636</v>
      </c>
      <c r="CP123" s="228">
        <v>629</v>
      </c>
      <c r="CQ123" s="228">
        <v>6</v>
      </c>
      <c r="CR123" s="229">
        <v>9.9000000000000008E-3</v>
      </c>
      <c r="CS123" s="228">
        <v>485</v>
      </c>
      <c r="CT123" s="228">
        <v>474</v>
      </c>
      <c r="CU123" s="228">
        <v>11</v>
      </c>
      <c r="CV123" s="229">
        <v>2.3300000000000001E-2</v>
      </c>
      <c r="CW123" s="230">
        <v>2647</v>
      </c>
      <c r="CX123" s="230">
        <v>2668</v>
      </c>
      <c r="CY123" s="228">
        <v>-21</v>
      </c>
      <c r="CZ123" s="229">
        <v>-7.7000000000000002E-3</v>
      </c>
      <c r="DA123" s="228">
        <v>19.68</v>
      </c>
      <c r="DB123" s="228">
        <v>19.68</v>
      </c>
      <c r="DC123" s="228">
        <v>0</v>
      </c>
      <c r="DD123" s="228">
        <v>0</v>
      </c>
      <c r="DE123" s="228">
        <v>30.35</v>
      </c>
      <c r="DF123" s="228">
        <v>30.39</v>
      </c>
      <c r="DG123" s="228">
        <v>-10.67</v>
      </c>
      <c r="DH123" s="228">
        <v>-0.04</v>
      </c>
      <c r="DI123" s="228">
        <v>19.489999999999998</v>
      </c>
      <c r="DJ123" s="228">
        <v>19.72</v>
      </c>
      <c r="DK123" s="228">
        <v>-0.23</v>
      </c>
      <c r="DL123" s="228">
        <v>-0.23</v>
      </c>
      <c r="DM123" s="228">
        <v>20.3</v>
      </c>
      <c r="DN123" s="228">
        <v>19.579999999999998</v>
      </c>
      <c r="DO123" s="228">
        <v>0.72</v>
      </c>
      <c r="DP123" s="228">
        <v>0.72</v>
      </c>
      <c r="DQ123" s="228">
        <v>0.76</v>
      </c>
      <c r="DR123" s="228">
        <v>0.75</v>
      </c>
      <c r="DS123" s="228">
        <v>0.01</v>
      </c>
      <c r="DT123" s="229">
        <v>1.3299999999999999E-2</v>
      </c>
      <c r="DU123" s="231">
        <v>2200</v>
      </c>
      <c r="DV123" s="231">
        <v>2000</v>
      </c>
      <c r="DW123" s="228">
        <v>0.3</v>
      </c>
      <c r="DX123" s="228">
        <v>0.37</v>
      </c>
      <c r="DY123" s="228">
        <v>-7.0000000000000007E-2</v>
      </c>
      <c r="DZ123" s="229">
        <v>-0.18920000000000001</v>
      </c>
      <c r="EA123" s="229">
        <v>4.3900000000000002E-2</v>
      </c>
      <c r="EB123" s="230">
        <v>290700</v>
      </c>
      <c r="EC123" s="229">
        <v>5.7000000000000002E-3</v>
      </c>
      <c r="ED123" s="229">
        <v>4.3900000000000002E-2</v>
      </c>
      <c r="EE123" s="228">
        <v>13.03</v>
      </c>
      <c r="EF123" s="229">
        <v>6.1999999999999998E-3</v>
      </c>
      <c r="EG123" s="230">
        <v>444101</v>
      </c>
      <c r="EH123" s="230">
        <v>446213</v>
      </c>
      <c r="EI123" s="229">
        <v>-4.7000000000000002E-3</v>
      </c>
      <c r="EJ123" s="229">
        <v>0.55500000000000005</v>
      </c>
      <c r="EK123" s="231">
        <v>1304.67</v>
      </c>
      <c r="EL123" s="228">
        <v>383.22</v>
      </c>
      <c r="EM123" s="228">
        <v>285.60000000000002</v>
      </c>
      <c r="EN123" s="228">
        <v>20.59</v>
      </c>
      <c r="EO123" s="231">
        <v>1973.49</v>
      </c>
      <c r="EP123" s="228">
        <v>735.18</v>
      </c>
      <c r="EQ123" s="231">
        <v>1238.31</v>
      </c>
      <c r="ER123" s="229">
        <v>1.6843999999999999</v>
      </c>
      <c r="ES123" s="228">
        <v>648.04999999999995</v>
      </c>
      <c r="ET123" s="228">
        <v>460.44</v>
      </c>
      <c r="EU123" s="231">
        <v>1527.41</v>
      </c>
      <c r="EV123" s="231">
        <v>35341043</v>
      </c>
      <c r="EW123" s="231">
        <v>2635.91</v>
      </c>
      <c r="EX123" s="231">
        <v>2638.85</v>
      </c>
      <c r="EY123" s="228">
        <v>-2.94</v>
      </c>
      <c r="EZ123" s="229">
        <v>-1.1000000000000001E-3</v>
      </c>
      <c r="FA123" s="229">
        <v>0.35439999999999999</v>
      </c>
      <c r="FB123" s="227" t="s">
        <v>556</v>
      </c>
      <c r="FC123">
        <f t="shared" si="1"/>
        <v>67</v>
      </c>
    </row>
    <row r="124" spans="1:159" ht="17.25" thickBot="1" x14ac:dyDescent="0.3">
      <c r="A124" s="226">
        <v>46008</v>
      </c>
      <c r="B124" s="227" t="s">
        <v>162</v>
      </c>
      <c r="C124" s="227" t="s">
        <v>251</v>
      </c>
      <c r="D124" s="228">
        <v>200</v>
      </c>
      <c r="E124" s="228">
        <v>13</v>
      </c>
      <c r="F124" s="231">
        <v>3617.9</v>
      </c>
      <c r="G124" s="231">
        <v>3629.8</v>
      </c>
      <c r="H124" s="228">
        <v>-11.9</v>
      </c>
      <c r="I124" s="229">
        <v>-3.3E-3</v>
      </c>
      <c r="J124" s="231">
        <v>3612.8</v>
      </c>
      <c r="K124" s="231">
        <v>3621</v>
      </c>
      <c r="L124" s="228">
        <v>-8.1999999999999993</v>
      </c>
      <c r="M124" s="229">
        <v>-2.3E-3</v>
      </c>
      <c r="N124" s="231">
        <v>3617.9</v>
      </c>
      <c r="O124" s="231">
        <v>3629.8</v>
      </c>
      <c r="P124" s="228">
        <v>-11.9</v>
      </c>
      <c r="Q124" s="229">
        <v>-3.3E-3</v>
      </c>
      <c r="R124" s="231">
        <v>3640.1</v>
      </c>
      <c r="S124" s="231">
        <v>3652.1</v>
      </c>
      <c r="T124" s="228">
        <v>-12</v>
      </c>
      <c r="U124" s="229">
        <v>-3.3E-3</v>
      </c>
      <c r="V124" s="231">
        <v>3660.5</v>
      </c>
      <c r="W124" s="231">
        <v>3675.1</v>
      </c>
      <c r="X124" s="228">
        <v>-14.6</v>
      </c>
      <c r="Y124" s="229">
        <v>-4.0000000000000001E-3</v>
      </c>
      <c r="Z124" s="228">
        <v>5.0999999999999996</v>
      </c>
      <c r="AA124" s="228">
        <v>8.8000000000000007</v>
      </c>
      <c r="AB124" s="228">
        <v>-3.7</v>
      </c>
      <c r="AC124" s="229">
        <v>1.4E-3</v>
      </c>
      <c r="AD124" s="228">
        <v>5.0999999999999996</v>
      </c>
      <c r="AE124" s="228">
        <v>8.8000000000000007</v>
      </c>
      <c r="AF124" s="228">
        <v>-3.7</v>
      </c>
      <c r="AG124" s="229">
        <v>1.4E-3</v>
      </c>
      <c r="AH124" s="228">
        <v>27.3</v>
      </c>
      <c r="AI124" s="228">
        <v>31.1</v>
      </c>
      <c r="AJ124" s="228">
        <v>-3.8</v>
      </c>
      <c r="AK124" s="229">
        <v>7.6E-3</v>
      </c>
      <c r="AL124" s="228">
        <v>47.7</v>
      </c>
      <c r="AM124" s="228">
        <v>54.1</v>
      </c>
      <c r="AN124" s="228">
        <v>-6.4</v>
      </c>
      <c r="AO124" s="229">
        <v>1.32E-2</v>
      </c>
      <c r="AP124" s="231">
        <v>3618.76</v>
      </c>
      <c r="AQ124" s="231">
        <v>3638.15</v>
      </c>
      <c r="AR124" s="228">
        <v>0</v>
      </c>
      <c r="AS124" s="228">
        <v>543</v>
      </c>
      <c r="AT124" s="228">
        <v>691</v>
      </c>
      <c r="AU124" s="228">
        <v>-148</v>
      </c>
      <c r="AV124" s="229">
        <v>-0.2142</v>
      </c>
      <c r="AW124" s="228">
        <v>399</v>
      </c>
      <c r="AX124" s="228">
        <v>573</v>
      </c>
      <c r="AY124" s="228">
        <v>-174</v>
      </c>
      <c r="AZ124" s="229">
        <v>-0.30359999999999998</v>
      </c>
      <c r="BA124" s="228">
        <v>140</v>
      </c>
      <c r="BB124" s="228">
        <v>111</v>
      </c>
      <c r="BC124" s="228">
        <v>29</v>
      </c>
      <c r="BD124" s="229">
        <v>0.2626</v>
      </c>
      <c r="BE124" s="228">
        <v>4</v>
      </c>
      <c r="BF124" s="228">
        <v>7</v>
      </c>
      <c r="BG124" s="228">
        <v>-3</v>
      </c>
      <c r="BH124" s="229">
        <v>-0.44440000000000002</v>
      </c>
      <c r="BI124" s="230">
        <v>1683</v>
      </c>
      <c r="BJ124" s="230">
        <v>2166</v>
      </c>
      <c r="BK124" s="228">
        <v>-483</v>
      </c>
      <c r="BL124" s="229">
        <v>-0.22289999999999999</v>
      </c>
      <c r="BM124" s="228">
        <v>862</v>
      </c>
      <c r="BN124" s="230">
        <v>1017</v>
      </c>
      <c r="BO124" s="228">
        <v>-156</v>
      </c>
      <c r="BP124" s="229">
        <v>-0.1532</v>
      </c>
      <c r="BQ124" s="230">
        <v>3087</v>
      </c>
      <c r="BR124" s="230">
        <v>3874</v>
      </c>
      <c r="BS124" s="228">
        <v>-787</v>
      </c>
      <c r="BT124" s="229">
        <v>-0.2031</v>
      </c>
      <c r="BU124" s="230">
        <v>1243735</v>
      </c>
      <c r="BV124" s="230">
        <v>1433151</v>
      </c>
      <c r="BW124" s="230">
        <v>-189416</v>
      </c>
      <c r="BX124" s="229">
        <v>-0.13220000000000001</v>
      </c>
      <c r="BY124" s="230">
        <v>6676</v>
      </c>
      <c r="BZ124" s="230">
        <v>6715</v>
      </c>
      <c r="CA124" s="228">
        <v>-38</v>
      </c>
      <c r="CB124" s="229">
        <v>-5.7000000000000002E-3</v>
      </c>
      <c r="CC124" s="230">
        <v>6009</v>
      </c>
      <c r="CD124" s="230">
        <v>6158</v>
      </c>
      <c r="CE124" s="228">
        <v>-149</v>
      </c>
      <c r="CF124" s="229">
        <v>-2.4299999999999999E-2</v>
      </c>
      <c r="CG124" s="228">
        <v>622</v>
      </c>
      <c r="CH124" s="228">
        <v>512</v>
      </c>
      <c r="CI124" s="228">
        <v>110</v>
      </c>
      <c r="CJ124" s="229">
        <v>0.21529999999999999</v>
      </c>
      <c r="CK124" s="228">
        <v>46</v>
      </c>
      <c r="CL124" s="228">
        <v>45</v>
      </c>
      <c r="CM124" s="228">
        <v>1</v>
      </c>
      <c r="CN124" s="229">
        <v>2.0899999999999998E-2</v>
      </c>
      <c r="CO124" s="230">
        <v>2419</v>
      </c>
      <c r="CP124" s="230">
        <v>2437</v>
      </c>
      <c r="CQ124" s="228">
        <v>-18</v>
      </c>
      <c r="CR124" s="229">
        <v>-7.4999999999999997E-3</v>
      </c>
      <c r="CS124" s="230">
        <v>1294</v>
      </c>
      <c r="CT124" s="230">
        <v>1336</v>
      </c>
      <c r="CU124" s="228">
        <v>-42</v>
      </c>
      <c r="CV124" s="229">
        <v>-3.15E-2</v>
      </c>
      <c r="CW124" s="230">
        <v>10390</v>
      </c>
      <c r="CX124" s="230">
        <v>10489</v>
      </c>
      <c r="CY124" s="228">
        <v>-99</v>
      </c>
      <c r="CZ124" s="229">
        <v>-9.4000000000000004E-3</v>
      </c>
      <c r="DA124" s="228">
        <v>21.27</v>
      </c>
      <c r="DB124" s="228">
        <v>21.29</v>
      </c>
      <c r="DC124" s="228">
        <v>-0.02</v>
      </c>
      <c r="DD124" s="228">
        <v>-0.02</v>
      </c>
      <c r="DE124" s="228">
        <v>32.18</v>
      </c>
      <c r="DF124" s="228">
        <v>32.26</v>
      </c>
      <c r="DG124" s="228">
        <v>-10.91</v>
      </c>
      <c r="DH124" s="228">
        <v>-0.08</v>
      </c>
      <c r="DI124" s="228">
        <v>21.65</v>
      </c>
      <c r="DJ124" s="228">
        <v>21.49</v>
      </c>
      <c r="DK124" s="228">
        <v>0.16</v>
      </c>
      <c r="DL124" s="228">
        <v>0.16</v>
      </c>
      <c r="DM124" s="228">
        <v>20.52</v>
      </c>
      <c r="DN124" s="228">
        <v>20.88</v>
      </c>
      <c r="DO124" s="228">
        <v>-0.36</v>
      </c>
      <c r="DP124" s="228">
        <v>-0.36</v>
      </c>
      <c r="DQ124" s="228">
        <v>0.54</v>
      </c>
      <c r="DR124" s="228">
        <v>0.55000000000000004</v>
      </c>
      <c r="DS124" s="228">
        <v>-0.01</v>
      </c>
      <c r="DT124" s="229">
        <v>-1.8200000000000001E-2</v>
      </c>
      <c r="DU124" s="231">
        <v>3800</v>
      </c>
      <c r="DV124" s="231">
        <v>3600</v>
      </c>
      <c r="DW124" s="228">
        <v>0.51</v>
      </c>
      <c r="DX124" s="228">
        <v>0.47</v>
      </c>
      <c r="DY124" s="228">
        <v>0.04</v>
      </c>
      <c r="DZ124" s="229">
        <v>8.5099999999999995E-2</v>
      </c>
      <c r="EA124" s="229">
        <v>0.1</v>
      </c>
      <c r="EB124" s="230">
        <v>1538600</v>
      </c>
      <c r="EC124" s="229">
        <v>6.1000000000000004E-3</v>
      </c>
      <c r="ED124" s="229">
        <v>0.1</v>
      </c>
      <c r="EE124" s="228">
        <v>19.39</v>
      </c>
      <c r="EF124" s="229">
        <v>5.4000000000000003E-3</v>
      </c>
      <c r="EG124" s="230">
        <v>803308</v>
      </c>
      <c r="EH124" s="230">
        <v>840274</v>
      </c>
      <c r="EI124" s="229">
        <v>-4.3999999999999997E-2</v>
      </c>
      <c r="EJ124" s="229">
        <v>0.64590000000000003</v>
      </c>
      <c r="EK124" s="231">
        <v>1743.82</v>
      </c>
      <c r="EL124" s="228">
        <v>858.78</v>
      </c>
      <c r="EM124" s="228">
        <v>543.61</v>
      </c>
      <c r="EN124" s="228">
        <v>77.239999999999995</v>
      </c>
      <c r="EO124" s="231">
        <v>3146.22</v>
      </c>
      <c r="EP124" s="231">
        <v>3948.94</v>
      </c>
      <c r="EQ124" s="228">
        <v>-802.72</v>
      </c>
      <c r="ER124" s="229">
        <v>-0.20330000000000001</v>
      </c>
      <c r="ES124" s="231">
        <v>2537.0700000000002</v>
      </c>
      <c r="ET124" s="231">
        <v>1279.54</v>
      </c>
      <c r="EU124" s="231">
        <v>6680.83</v>
      </c>
      <c r="EV124" s="231">
        <v>100261459</v>
      </c>
      <c r="EW124" s="231">
        <v>10497.43</v>
      </c>
      <c r="EX124" s="231">
        <v>10620.41</v>
      </c>
      <c r="EY124" s="228">
        <v>-122.98</v>
      </c>
      <c r="EZ124" s="229">
        <v>-1.1599999999999999E-2</v>
      </c>
      <c r="FA124" s="229">
        <v>0.28639999999999999</v>
      </c>
      <c r="FB124" s="227" t="s">
        <v>568</v>
      </c>
      <c r="FC124">
        <f t="shared" si="1"/>
        <v>667</v>
      </c>
    </row>
    <row r="125" spans="1:159" ht="17.25" thickBot="1" x14ac:dyDescent="0.3">
      <c r="A125" s="226">
        <v>46008</v>
      </c>
      <c r="B125" s="227" t="s">
        <v>175</v>
      </c>
      <c r="C125" s="227" t="s">
        <v>253</v>
      </c>
      <c r="D125" s="228">
        <v>3000</v>
      </c>
      <c r="E125" s="228">
        <v>13</v>
      </c>
      <c r="F125" s="228">
        <v>286.5</v>
      </c>
      <c r="G125" s="228">
        <v>283.85000000000002</v>
      </c>
      <c r="H125" s="228">
        <v>2.65</v>
      </c>
      <c r="I125" s="229">
        <v>9.2999999999999992E-3</v>
      </c>
      <c r="J125" s="228">
        <v>286.25</v>
      </c>
      <c r="K125" s="228">
        <v>283.5</v>
      </c>
      <c r="L125" s="228">
        <v>2.75</v>
      </c>
      <c r="M125" s="229">
        <v>9.7000000000000003E-3</v>
      </c>
      <c r="N125" s="228">
        <v>286.5</v>
      </c>
      <c r="O125" s="228">
        <v>283.85000000000002</v>
      </c>
      <c r="P125" s="228">
        <v>2.65</v>
      </c>
      <c r="Q125" s="229">
        <v>9.2999999999999992E-3</v>
      </c>
      <c r="R125" s="228">
        <v>288.39999999999998</v>
      </c>
      <c r="S125" s="228">
        <v>285.7</v>
      </c>
      <c r="T125" s="228">
        <v>2.7</v>
      </c>
      <c r="U125" s="229">
        <v>9.4999999999999998E-3</v>
      </c>
      <c r="V125" s="228">
        <v>288.10000000000002</v>
      </c>
      <c r="W125" s="228">
        <v>286.2</v>
      </c>
      <c r="X125" s="228">
        <v>1.9</v>
      </c>
      <c r="Y125" s="229">
        <v>6.6E-3</v>
      </c>
      <c r="Z125" s="228">
        <v>0.25</v>
      </c>
      <c r="AA125" s="228">
        <v>0.35</v>
      </c>
      <c r="AB125" s="228">
        <v>-0.1</v>
      </c>
      <c r="AC125" s="229">
        <v>8.9999999999999998E-4</v>
      </c>
      <c r="AD125" s="228">
        <v>0.25</v>
      </c>
      <c r="AE125" s="228">
        <v>0.35</v>
      </c>
      <c r="AF125" s="228">
        <v>-0.1</v>
      </c>
      <c r="AG125" s="229">
        <v>8.9999999999999998E-4</v>
      </c>
      <c r="AH125" s="228">
        <v>2.15</v>
      </c>
      <c r="AI125" s="228">
        <v>2.2000000000000002</v>
      </c>
      <c r="AJ125" s="228">
        <v>-0.05</v>
      </c>
      <c r="AK125" s="229">
        <v>7.4999999999999997E-3</v>
      </c>
      <c r="AL125" s="228">
        <v>1.85</v>
      </c>
      <c r="AM125" s="228">
        <v>2.7</v>
      </c>
      <c r="AN125" s="228">
        <v>-0.85</v>
      </c>
      <c r="AO125" s="229">
        <v>6.4999999999999997E-3</v>
      </c>
      <c r="AP125" s="228">
        <v>285.83</v>
      </c>
      <c r="AQ125" s="228">
        <v>287.35000000000002</v>
      </c>
      <c r="AR125" s="228">
        <v>0</v>
      </c>
      <c r="AS125" s="228">
        <v>220</v>
      </c>
      <c r="AT125" s="228">
        <v>132</v>
      </c>
      <c r="AU125" s="228">
        <v>88</v>
      </c>
      <c r="AV125" s="229">
        <v>0.66169999999999995</v>
      </c>
      <c r="AW125" s="228">
        <v>180</v>
      </c>
      <c r="AX125" s="228">
        <v>113</v>
      </c>
      <c r="AY125" s="228">
        <v>67</v>
      </c>
      <c r="AZ125" s="229">
        <v>0.59179999999999999</v>
      </c>
      <c r="BA125" s="228">
        <v>39</v>
      </c>
      <c r="BB125" s="228">
        <v>16</v>
      </c>
      <c r="BC125" s="228">
        <v>23</v>
      </c>
      <c r="BD125" s="229">
        <v>1.4086000000000001</v>
      </c>
      <c r="BE125" s="228">
        <v>2</v>
      </c>
      <c r="BF125" s="228">
        <v>4</v>
      </c>
      <c r="BG125" s="228">
        <v>-2</v>
      </c>
      <c r="BH125" s="229">
        <v>-0.48780000000000001</v>
      </c>
      <c r="BI125" s="228">
        <v>388</v>
      </c>
      <c r="BJ125" s="228">
        <v>230</v>
      </c>
      <c r="BK125" s="228">
        <v>158</v>
      </c>
      <c r="BL125" s="229">
        <v>0.68620000000000003</v>
      </c>
      <c r="BM125" s="228">
        <v>154</v>
      </c>
      <c r="BN125" s="228">
        <v>112</v>
      </c>
      <c r="BO125" s="228">
        <v>43</v>
      </c>
      <c r="BP125" s="229">
        <v>0.38019999999999998</v>
      </c>
      <c r="BQ125" s="228">
        <v>763</v>
      </c>
      <c r="BR125" s="228">
        <v>475</v>
      </c>
      <c r="BS125" s="228">
        <v>288</v>
      </c>
      <c r="BT125" s="229">
        <v>0.60719999999999996</v>
      </c>
      <c r="BU125" s="230">
        <v>4516672</v>
      </c>
      <c r="BV125" s="230">
        <v>1277639</v>
      </c>
      <c r="BW125" s="230">
        <v>3239033</v>
      </c>
      <c r="BX125" s="229">
        <v>2.5352000000000001</v>
      </c>
      <c r="BY125" s="230">
        <v>1133</v>
      </c>
      <c r="BZ125" s="230">
        <v>1168</v>
      </c>
      <c r="CA125" s="228">
        <v>-35</v>
      </c>
      <c r="CB125" s="229">
        <v>-3.0200000000000001E-2</v>
      </c>
      <c r="CC125" s="230">
        <v>1079</v>
      </c>
      <c r="CD125" s="230">
        <v>1125</v>
      </c>
      <c r="CE125" s="228">
        <v>-46</v>
      </c>
      <c r="CF125" s="229">
        <v>-4.1000000000000002E-2</v>
      </c>
      <c r="CG125" s="228">
        <v>49</v>
      </c>
      <c r="CH125" s="228">
        <v>38</v>
      </c>
      <c r="CI125" s="228">
        <v>11</v>
      </c>
      <c r="CJ125" s="229">
        <v>0.28670000000000001</v>
      </c>
      <c r="CK125" s="228">
        <v>5</v>
      </c>
      <c r="CL125" s="228">
        <v>5</v>
      </c>
      <c r="CM125" s="228">
        <v>0</v>
      </c>
      <c r="CN125" s="229">
        <v>-1.6400000000000001E-2</v>
      </c>
      <c r="CO125" s="228">
        <v>508</v>
      </c>
      <c r="CP125" s="228">
        <v>485</v>
      </c>
      <c r="CQ125" s="228">
        <v>23</v>
      </c>
      <c r="CR125" s="229">
        <v>4.6600000000000003E-2</v>
      </c>
      <c r="CS125" s="228">
        <v>336</v>
      </c>
      <c r="CT125" s="228">
        <v>329</v>
      </c>
      <c r="CU125" s="228">
        <v>7</v>
      </c>
      <c r="CV125" s="229">
        <v>2.1399999999999999E-2</v>
      </c>
      <c r="CW125" s="230">
        <v>1977</v>
      </c>
      <c r="CX125" s="230">
        <v>1983</v>
      </c>
      <c r="CY125" s="228">
        <v>-6</v>
      </c>
      <c r="CZ125" s="229">
        <v>-2.8999999999999998E-3</v>
      </c>
      <c r="DA125" s="228">
        <v>24.57</v>
      </c>
      <c r="DB125" s="228">
        <v>24.88</v>
      </c>
      <c r="DC125" s="228">
        <v>-0.31</v>
      </c>
      <c r="DD125" s="228">
        <v>-0.31</v>
      </c>
      <c r="DE125" s="228">
        <v>40.64</v>
      </c>
      <c r="DF125" s="228">
        <v>40.72</v>
      </c>
      <c r="DG125" s="228">
        <v>-16.07</v>
      </c>
      <c r="DH125" s="228">
        <v>-0.08</v>
      </c>
      <c r="DI125" s="228">
        <v>24.12</v>
      </c>
      <c r="DJ125" s="228">
        <v>24.76</v>
      </c>
      <c r="DK125" s="228">
        <v>-0.64</v>
      </c>
      <c r="DL125" s="228">
        <v>-0.64</v>
      </c>
      <c r="DM125" s="228">
        <v>25.71</v>
      </c>
      <c r="DN125" s="228">
        <v>25.12</v>
      </c>
      <c r="DO125" s="228">
        <v>0.59</v>
      </c>
      <c r="DP125" s="228">
        <v>0.59</v>
      </c>
      <c r="DQ125" s="228">
        <v>0.66</v>
      </c>
      <c r="DR125" s="228">
        <v>0.68</v>
      </c>
      <c r="DS125" s="228">
        <v>-0.02</v>
      </c>
      <c r="DT125" s="229">
        <v>-2.9399999999999999E-2</v>
      </c>
      <c r="DU125" s="228">
        <v>300</v>
      </c>
      <c r="DV125" s="228">
        <v>260</v>
      </c>
      <c r="DW125" s="228">
        <v>0.4</v>
      </c>
      <c r="DX125" s="228">
        <v>0.49</v>
      </c>
      <c r="DY125" s="228">
        <v>-0.09</v>
      </c>
      <c r="DZ125" s="229">
        <v>-0.1837</v>
      </c>
      <c r="EA125" s="229">
        <v>4.7800000000000002E-2</v>
      </c>
      <c r="EB125" s="230">
        <v>1512000</v>
      </c>
      <c r="EC125" s="229">
        <v>6.6E-3</v>
      </c>
      <c r="ED125" s="229">
        <v>4.7800000000000002E-2</v>
      </c>
      <c r="EE125" s="228">
        <v>1.52</v>
      </c>
      <c r="EF125" s="229">
        <v>5.3E-3</v>
      </c>
      <c r="EG125" s="230">
        <v>3049921</v>
      </c>
      <c r="EH125" s="230">
        <v>547136</v>
      </c>
      <c r="EI125" s="229">
        <v>4.5743</v>
      </c>
      <c r="EJ125" s="229">
        <v>0.67530000000000001</v>
      </c>
      <c r="EK125" s="228">
        <v>399.91</v>
      </c>
      <c r="EL125" s="228">
        <v>151.66999999999999</v>
      </c>
      <c r="EM125" s="228">
        <v>219.65</v>
      </c>
      <c r="EN125" s="228">
        <v>23.55</v>
      </c>
      <c r="EO125" s="228">
        <v>771.23</v>
      </c>
      <c r="EP125" s="228">
        <v>478.09</v>
      </c>
      <c r="EQ125" s="228">
        <v>293.14</v>
      </c>
      <c r="ER125" s="229">
        <v>0.61309999999999998</v>
      </c>
      <c r="ES125" s="228">
        <v>522.19000000000005</v>
      </c>
      <c r="ET125" s="228">
        <v>316.37</v>
      </c>
      <c r="EU125" s="231">
        <v>1133.52</v>
      </c>
      <c r="EV125" s="231">
        <v>82205057</v>
      </c>
      <c r="EW125" s="231">
        <v>1972.08</v>
      </c>
      <c r="EX125" s="231">
        <v>1966.37</v>
      </c>
      <c r="EY125" s="228">
        <v>5.71</v>
      </c>
      <c r="EZ125" s="229">
        <v>2.8999999999999998E-3</v>
      </c>
      <c r="FA125" s="229">
        <v>0.83950000000000002</v>
      </c>
      <c r="FB125" s="227" t="s">
        <v>556</v>
      </c>
      <c r="FC125">
        <f t="shared" si="1"/>
        <v>54</v>
      </c>
    </row>
    <row r="126" spans="1:159" ht="17.25" thickBot="1" x14ac:dyDescent="0.3">
      <c r="A126" s="226">
        <v>46008</v>
      </c>
      <c r="B126" s="227" t="s">
        <v>170</v>
      </c>
      <c r="C126" s="227" t="s">
        <v>673</v>
      </c>
      <c r="D126" s="228">
        <v>225</v>
      </c>
      <c r="E126" s="228">
        <v>13</v>
      </c>
      <c r="F126" s="231">
        <v>2117.6</v>
      </c>
      <c r="G126" s="231">
        <v>2114.1</v>
      </c>
      <c r="H126" s="228">
        <v>3.5</v>
      </c>
      <c r="I126" s="229">
        <v>1.6999999999999999E-3</v>
      </c>
      <c r="J126" s="231">
        <v>2111.1999999999998</v>
      </c>
      <c r="K126" s="231">
        <v>2106</v>
      </c>
      <c r="L126" s="228">
        <v>5.2</v>
      </c>
      <c r="M126" s="229">
        <v>2.5000000000000001E-3</v>
      </c>
      <c r="N126" s="231">
        <v>2117.6</v>
      </c>
      <c r="O126" s="231">
        <v>2114.1</v>
      </c>
      <c r="P126" s="228">
        <v>3.5</v>
      </c>
      <c r="Q126" s="229">
        <v>1.6999999999999999E-3</v>
      </c>
      <c r="R126" s="231">
        <v>2130.8000000000002</v>
      </c>
      <c r="S126" s="231">
        <v>2125.8000000000002</v>
      </c>
      <c r="T126" s="228">
        <v>5</v>
      </c>
      <c r="U126" s="229">
        <v>2.3999999999999998E-3</v>
      </c>
      <c r="V126" s="231">
        <v>2144.9</v>
      </c>
      <c r="W126" s="231">
        <v>2139.6</v>
      </c>
      <c r="X126" s="228">
        <v>5.3</v>
      </c>
      <c r="Y126" s="229">
        <v>2.5000000000000001E-3</v>
      </c>
      <c r="Z126" s="228">
        <v>6.4</v>
      </c>
      <c r="AA126" s="228">
        <v>8.1</v>
      </c>
      <c r="AB126" s="228">
        <v>-1.7</v>
      </c>
      <c r="AC126" s="229">
        <v>3.0000000000000001E-3</v>
      </c>
      <c r="AD126" s="228">
        <v>6.4</v>
      </c>
      <c r="AE126" s="228">
        <v>8.1</v>
      </c>
      <c r="AF126" s="228">
        <v>-1.7</v>
      </c>
      <c r="AG126" s="229">
        <v>3.0000000000000001E-3</v>
      </c>
      <c r="AH126" s="228">
        <v>19.600000000000001</v>
      </c>
      <c r="AI126" s="228">
        <v>19.8</v>
      </c>
      <c r="AJ126" s="228">
        <v>-0.2</v>
      </c>
      <c r="AK126" s="229">
        <v>9.2999999999999992E-3</v>
      </c>
      <c r="AL126" s="228">
        <v>33.700000000000003</v>
      </c>
      <c r="AM126" s="228">
        <v>33.6</v>
      </c>
      <c r="AN126" s="228">
        <v>0.1</v>
      </c>
      <c r="AO126" s="229">
        <v>1.6E-2</v>
      </c>
      <c r="AP126" s="231">
        <v>2111.2800000000002</v>
      </c>
      <c r="AQ126" s="231">
        <v>2120.59</v>
      </c>
      <c r="AR126" s="228">
        <v>0</v>
      </c>
      <c r="AS126" s="228">
        <v>60</v>
      </c>
      <c r="AT126" s="228">
        <v>105</v>
      </c>
      <c r="AU126" s="228">
        <v>-46</v>
      </c>
      <c r="AV126" s="229">
        <v>-0.43419999999999997</v>
      </c>
      <c r="AW126" s="228">
        <v>47</v>
      </c>
      <c r="AX126" s="228">
        <v>80</v>
      </c>
      <c r="AY126" s="228">
        <v>-33</v>
      </c>
      <c r="AZ126" s="229">
        <v>-0.41489999999999999</v>
      </c>
      <c r="BA126" s="228">
        <v>12</v>
      </c>
      <c r="BB126" s="228">
        <v>23</v>
      </c>
      <c r="BC126" s="228">
        <v>-12</v>
      </c>
      <c r="BD126" s="229">
        <v>-0.49590000000000001</v>
      </c>
      <c r="BE126" s="228">
        <v>1</v>
      </c>
      <c r="BF126" s="228">
        <v>2</v>
      </c>
      <c r="BG126" s="228">
        <v>-1</v>
      </c>
      <c r="BH126" s="229">
        <v>-0.5</v>
      </c>
      <c r="BI126" s="228">
        <v>212</v>
      </c>
      <c r="BJ126" s="228">
        <v>198</v>
      </c>
      <c r="BK126" s="228">
        <v>14</v>
      </c>
      <c r="BL126" s="229">
        <v>7.0599999999999996E-2</v>
      </c>
      <c r="BM126" s="228">
        <v>102</v>
      </c>
      <c r="BN126" s="228">
        <v>96</v>
      </c>
      <c r="BO126" s="228">
        <v>6</v>
      </c>
      <c r="BP126" s="229">
        <v>6.6100000000000006E-2</v>
      </c>
      <c r="BQ126" s="228">
        <v>374</v>
      </c>
      <c r="BR126" s="228">
        <v>399</v>
      </c>
      <c r="BS126" s="228">
        <v>-25</v>
      </c>
      <c r="BT126" s="229">
        <v>-6.3799999999999996E-2</v>
      </c>
      <c r="BU126" s="230">
        <v>750631</v>
      </c>
      <c r="BV126" s="230">
        <v>694024</v>
      </c>
      <c r="BW126" s="230">
        <v>56607</v>
      </c>
      <c r="BX126" s="229">
        <v>8.1600000000000006E-2</v>
      </c>
      <c r="BY126" s="228">
        <v>564</v>
      </c>
      <c r="BZ126" s="228">
        <v>556</v>
      </c>
      <c r="CA126" s="228">
        <v>7</v>
      </c>
      <c r="CB126" s="229">
        <v>1.3299999999999999E-2</v>
      </c>
      <c r="CC126" s="228">
        <v>519</v>
      </c>
      <c r="CD126" s="228">
        <v>517</v>
      </c>
      <c r="CE126" s="228">
        <v>2</v>
      </c>
      <c r="CF126" s="229">
        <v>4.1000000000000003E-3</v>
      </c>
      <c r="CG126" s="228">
        <v>40</v>
      </c>
      <c r="CH126" s="228">
        <v>36</v>
      </c>
      <c r="CI126" s="228">
        <v>5</v>
      </c>
      <c r="CJ126" s="229">
        <v>0.1288</v>
      </c>
      <c r="CK126" s="228">
        <v>4</v>
      </c>
      <c r="CL126" s="228">
        <v>3</v>
      </c>
      <c r="CM126" s="228">
        <v>1</v>
      </c>
      <c r="CN126" s="229">
        <v>0.2</v>
      </c>
      <c r="CO126" s="228">
        <v>250</v>
      </c>
      <c r="CP126" s="228">
        <v>241</v>
      </c>
      <c r="CQ126" s="228">
        <v>8</v>
      </c>
      <c r="CR126" s="229">
        <v>3.4599999999999999E-2</v>
      </c>
      <c r="CS126" s="228">
        <v>120</v>
      </c>
      <c r="CT126" s="228">
        <v>118</v>
      </c>
      <c r="CU126" s="228">
        <v>2</v>
      </c>
      <c r="CV126" s="229">
        <v>1.8599999999999998E-2</v>
      </c>
      <c r="CW126" s="228">
        <v>934</v>
      </c>
      <c r="CX126" s="228">
        <v>916</v>
      </c>
      <c r="CY126" s="228">
        <v>18</v>
      </c>
      <c r="CZ126" s="229">
        <v>1.9599999999999999E-2</v>
      </c>
      <c r="DA126" s="228">
        <v>22.16</v>
      </c>
      <c r="DB126" s="228">
        <v>24.16</v>
      </c>
      <c r="DC126" s="228">
        <v>-2</v>
      </c>
      <c r="DD126" s="228">
        <v>-2</v>
      </c>
      <c r="DE126" s="228">
        <v>32.380000000000003</v>
      </c>
      <c r="DF126" s="228">
        <v>32.46</v>
      </c>
      <c r="DG126" s="228">
        <v>-10.220000000000001</v>
      </c>
      <c r="DH126" s="228">
        <v>-0.08</v>
      </c>
      <c r="DI126" s="228">
        <v>23.08</v>
      </c>
      <c r="DJ126" s="228">
        <v>25.06</v>
      </c>
      <c r="DK126" s="228">
        <v>-1.98</v>
      </c>
      <c r="DL126" s="228">
        <v>-1.98</v>
      </c>
      <c r="DM126" s="228">
        <v>20.239999999999998</v>
      </c>
      <c r="DN126" s="228">
        <v>22.31</v>
      </c>
      <c r="DO126" s="228">
        <v>-2.0699999999999998</v>
      </c>
      <c r="DP126" s="228">
        <v>-2.0699999999999998</v>
      </c>
      <c r="DQ126" s="228">
        <v>0.48</v>
      </c>
      <c r="DR126" s="228">
        <v>0.49</v>
      </c>
      <c r="DS126" s="228">
        <v>-0.01</v>
      </c>
      <c r="DT126" s="229">
        <v>-2.0400000000000001E-2</v>
      </c>
      <c r="DU126" s="231">
        <v>2300</v>
      </c>
      <c r="DV126" s="231">
        <v>2000</v>
      </c>
      <c r="DW126" s="228">
        <v>0.48</v>
      </c>
      <c r="DX126" s="228">
        <v>0.48</v>
      </c>
      <c r="DY126" s="228">
        <v>0</v>
      </c>
      <c r="DZ126" s="229">
        <v>0</v>
      </c>
      <c r="EA126" s="229">
        <v>7.8399999999999997E-2</v>
      </c>
      <c r="EB126" s="230">
        <v>184050</v>
      </c>
      <c r="EC126" s="229">
        <v>6.1999999999999998E-3</v>
      </c>
      <c r="ED126" s="229">
        <v>7.8399999999999997E-2</v>
      </c>
      <c r="EE126" s="228">
        <v>9.31</v>
      </c>
      <c r="EF126" s="229">
        <v>4.4000000000000003E-3</v>
      </c>
      <c r="EG126" s="230">
        <v>598071</v>
      </c>
      <c r="EH126" s="230">
        <v>520883</v>
      </c>
      <c r="EI126" s="229">
        <v>0.1482</v>
      </c>
      <c r="EJ126" s="229">
        <v>0.79679999999999995</v>
      </c>
      <c r="EK126" s="228">
        <v>223.37</v>
      </c>
      <c r="EL126" s="228">
        <v>100.92</v>
      </c>
      <c r="EM126" s="228">
        <v>59.49</v>
      </c>
      <c r="EN126" s="228">
        <v>18.14</v>
      </c>
      <c r="EO126" s="228">
        <v>383.78</v>
      </c>
      <c r="EP126" s="228">
        <v>413.68</v>
      </c>
      <c r="EQ126" s="228">
        <v>-29.9</v>
      </c>
      <c r="ER126" s="229">
        <v>-7.2300000000000003E-2</v>
      </c>
      <c r="ES126" s="228">
        <v>269.56</v>
      </c>
      <c r="ET126" s="228">
        <v>122.34</v>
      </c>
      <c r="EU126" s="228">
        <v>564</v>
      </c>
      <c r="EV126" s="231">
        <v>16915220</v>
      </c>
      <c r="EW126" s="228">
        <v>955.91</v>
      </c>
      <c r="EX126" s="228">
        <v>938.08</v>
      </c>
      <c r="EY126" s="228">
        <v>17.829999999999998</v>
      </c>
      <c r="EZ126" s="229">
        <v>1.9E-2</v>
      </c>
      <c r="FA126" s="229">
        <v>0.26069999999999999</v>
      </c>
      <c r="FB126" s="227" t="s">
        <v>555</v>
      </c>
      <c r="FC126">
        <f t="shared" si="1"/>
        <v>45</v>
      </c>
    </row>
    <row r="127" spans="1:159" ht="17.25" thickBot="1" x14ac:dyDescent="0.3">
      <c r="A127" s="226">
        <v>46008</v>
      </c>
      <c r="B127" s="227" t="s">
        <v>168</v>
      </c>
      <c r="C127" s="227" t="s">
        <v>254</v>
      </c>
      <c r="D127" s="228">
        <v>1200</v>
      </c>
      <c r="E127" s="228">
        <v>13</v>
      </c>
      <c r="F127" s="228">
        <v>739</v>
      </c>
      <c r="G127" s="228">
        <v>739.8</v>
      </c>
      <c r="H127" s="228">
        <v>-0.8</v>
      </c>
      <c r="I127" s="229">
        <v>-1.1000000000000001E-3</v>
      </c>
      <c r="J127" s="228">
        <v>738.15</v>
      </c>
      <c r="K127" s="228">
        <v>738.8</v>
      </c>
      <c r="L127" s="228">
        <v>-0.65</v>
      </c>
      <c r="M127" s="229">
        <v>-8.9999999999999998E-4</v>
      </c>
      <c r="N127" s="228">
        <v>739</v>
      </c>
      <c r="O127" s="228">
        <v>739.8</v>
      </c>
      <c r="P127" s="228">
        <v>-0.8</v>
      </c>
      <c r="Q127" s="229">
        <v>-1.1000000000000001E-3</v>
      </c>
      <c r="R127" s="228">
        <v>743.65</v>
      </c>
      <c r="S127" s="228">
        <v>743.9</v>
      </c>
      <c r="T127" s="228">
        <v>-0.25</v>
      </c>
      <c r="U127" s="229">
        <v>-2.9999999999999997E-4</v>
      </c>
      <c r="V127" s="228">
        <v>744.2</v>
      </c>
      <c r="W127" s="228">
        <v>744.8</v>
      </c>
      <c r="X127" s="228">
        <v>-0.6</v>
      </c>
      <c r="Y127" s="229">
        <v>-8.0000000000000004E-4</v>
      </c>
      <c r="Z127" s="228">
        <v>0.85</v>
      </c>
      <c r="AA127" s="228">
        <v>1</v>
      </c>
      <c r="AB127" s="228">
        <v>-0.15</v>
      </c>
      <c r="AC127" s="229">
        <v>1.1999999999999999E-3</v>
      </c>
      <c r="AD127" s="228">
        <v>0.85</v>
      </c>
      <c r="AE127" s="228">
        <v>1</v>
      </c>
      <c r="AF127" s="228">
        <v>-0.15</v>
      </c>
      <c r="AG127" s="229">
        <v>1.1999999999999999E-3</v>
      </c>
      <c r="AH127" s="228">
        <v>5.5</v>
      </c>
      <c r="AI127" s="228">
        <v>5.0999999999999996</v>
      </c>
      <c r="AJ127" s="228">
        <v>0.4</v>
      </c>
      <c r="AK127" s="229">
        <v>7.4999999999999997E-3</v>
      </c>
      <c r="AL127" s="228">
        <v>6.05</v>
      </c>
      <c r="AM127" s="228">
        <v>6</v>
      </c>
      <c r="AN127" s="228">
        <v>0.05</v>
      </c>
      <c r="AO127" s="229">
        <v>8.2000000000000007E-3</v>
      </c>
      <c r="AP127" s="228">
        <v>739.49</v>
      </c>
      <c r="AQ127" s="228">
        <v>743.91</v>
      </c>
      <c r="AR127" s="228">
        <v>0</v>
      </c>
      <c r="AS127" s="228">
        <v>81</v>
      </c>
      <c r="AT127" s="228">
        <v>210</v>
      </c>
      <c r="AU127" s="228">
        <v>-129</v>
      </c>
      <c r="AV127" s="229">
        <v>-0.61409999999999998</v>
      </c>
      <c r="AW127" s="228">
        <v>78</v>
      </c>
      <c r="AX127" s="228">
        <v>197</v>
      </c>
      <c r="AY127" s="228">
        <v>-119</v>
      </c>
      <c r="AZ127" s="229">
        <v>-0.60340000000000005</v>
      </c>
      <c r="BA127" s="228">
        <v>3</v>
      </c>
      <c r="BB127" s="228">
        <v>12</v>
      </c>
      <c r="BC127" s="228">
        <v>-9</v>
      </c>
      <c r="BD127" s="229">
        <v>-0.76300000000000001</v>
      </c>
      <c r="BE127" s="228">
        <v>0</v>
      </c>
      <c r="BF127" s="228">
        <v>1</v>
      </c>
      <c r="BG127" s="228">
        <v>-1</v>
      </c>
      <c r="BH127" s="229">
        <v>-0.91669999999999996</v>
      </c>
      <c r="BI127" s="228">
        <v>357</v>
      </c>
      <c r="BJ127" s="230">
        <v>1553</v>
      </c>
      <c r="BK127" s="230">
        <v>-1196</v>
      </c>
      <c r="BL127" s="229">
        <v>-0.76980000000000004</v>
      </c>
      <c r="BM127" s="228">
        <v>110</v>
      </c>
      <c r="BN127" s="228">
        <v>441</v>
      </c>
      <c r="BO127" s="228">
        <v>-332</v>
      </c>
      <c r="BP127" s="229">
        <v>-0.75149999999999995</v>
      </c>
      <c r="BQ127" s="228">
        <v>548</v>
      </c>
      <c r="BR127" s="230">
        <v>2205</v>
      </c>
      <c r="BS127" s="230">
        <v>-1656</v>
      </c>
      <c r="BT127" s="229">
        <v>-0.75129999999999997</v>
      </c>
      <c r="BU127" s="230">
        <v>1102795</v>
      </c>
      <c r="BV127" s="230">
        <v>1993867</v>
      </c>
      <c r="BW127" s="230">
        <v>-891072</v>
      </c>
      <c r="BX127" s="229">
        <v>-0.44690000000000002</v>
      </c>
      <c r="BY127" s="230">
        <v>2508</v>
      </c>
      <c r="BZ127" s="230">
        <v>2517</v>
      </c>
      <c r="CA127" s="228">
        <v>-9</v>
      </c>
      <c r="CB127" s="229">
        <v>-3.5000000000000001E-3</v>
      </c>
      <c r="CC127" s="230">
        <v>2490</v>
      </c>
      <c r="CD127" s="230">
        <v>2500</v>
      </c>
      <c r="CE127" s="228">
        <v>-9</v>
      </c>
      <c r="CF127" s="229">
        <v>-3.8E-3</v>
      </c>
      <c r="CG127" s="228">
        <v>16</v>
      </c>
      <c r="CH127" s="228">
        <v>16</v>
      </c>
      <c r="CI127" s="228">
        <v>1</v>
      </c>
      <c r="CJ127" s="229">
        <v>3.9800000000000002E-2</v>
      </c>
      <c r="CK127" s="228">
        <v>2</v>
      </c>
      <c r="CL127" s="228">
        <v>2</v>
      </c>
      <c r="CM127" s="228">
        <v>0</v>
      </c>
      <c r="CN127" s="229">
        <v>-4.3499999999999997E-2</v>
      </c>
      <c r="CO127" s="228">
        <v>482</v>
      </c>
      <c r="CP127" s="228">
        <v>473</v>
      </c>
      <c r="CQ127" s="228">
        <v>9</v>
      </c>
      <c r="CR127" s="229">
        <v>1.9099999999999999E-2</v>
      </c>
      <c r="CS127" s="228">
        <v>292</v>
      </c>
      <c r="CT127" s="228">
        <v>284</v>
      </c>
      <c r="CU127" s="228">
        <v>8</v>
      </c>
      <c r="CV127" s="229">
        <v>2.81E-2</v>
      </c>
      <c r="CW127" s="230">
        <v>3282</v>
      </c>
      <c r="CX127" s="230">
        <v>3274</v>
      </c>
      <c r="CY127" s="228">
        <v>8</v>
      </c>
      <c r="CZ127" s="229">
        <v>2.5000000000000001E-3</v>
      </c>
      <c r="DA127" s="228">
        <v>18.41</v>
      </c>
      <c r="DB127" s="228">
        <v>18.8</v>
      </c>
      <c r="DC127" s="228">
        <v>-0.39</v>
      </c>
      <c r="DD127" s="228">
        <v>-0.39</v>
      </c>
      <c r="DE127" s="228">
        <v>24.8</v>
      </c>
      <c r="DF127" s="228">
        <v>24.86</v>
      </c>
      <c r="DG127" s="228">
        <v>-6.39</v>
      </c>
      <c r="DH127" s="228">
        <v>-0.06</v>
      </c>
      <c r="DI127" s="228">
        <v>18.46</v>
      </c>
      <c r="DJ127" s="228">
        <v>19.010000000000002</v>
      </c>
      <c r="DK127" s="228">
        <v>-0.55000000000000004</v>
      </c>
      <c r="DL127" s="228">
        <v>-0.55000000000000004</v>
      </c>
      <c r="DM127" s="228">
        <v>18.260000000000002</v>
      </c>
      <c r="DN127" s="228">
        <v>18.04</v>
      </c>
      <c r="DO127" s="228">
        <v>0.22</v>
      </c>
      <c r="DP127" s="228">
        <v>0.22</v>
      </c>
      <c r="DQ127" s="228">
        <v>0.61</v>
      </c>
      <c r="DR127" s="228">
        <v>0.6</v>
      </c>
      <c r="DS127" s="228">
        <v>0.01</v>
      </c>
      <c r="DT127" s="229">
        <v>1.67E-2</v>
      </c>
      <c r="DU127" s="228">
        <v>750</v>
      </c>
      <c r="DV127" s="228">
        <v>690</v>
      </c>
      <c r="DW127" s="228">
        <v>0.31</v>
      </c>
      <c r="DX127" s="228">
        <v>0.28000000000000003</v>
      </c>
      <c r="DY127" s="228">
        <v>0.03</v>
      </c>
      <c r="DZ127" s="229">
        <v>0.1071</v>
      </c>
      <c r="EA127" s="229">
        <v>7.1999999999999998E-3</v>
      </c>
      <c r="EB127" s="230">
        <v>238800</v>
      </c>
      <c r="EC127" s="229">
        <v>6.3E-3</v>
      </c>
      <c r="ED127" s="229">
        <v>7.1999999999999998E-3</v>
      </c>
      <c r="EE127" s="228">
        <v>4.42</v>
      </c>
      <c r="EF127" s="229">
        <v>6.0000000000000001E-3</v>
      </c>
      <c r="EG127" s="230">
        <v>796222</v>
      </c>
      <c r="EH127" s="230">
        <v>874445</v>
      </c>
      <c r="EI127" s="229">
        <v>-8.9499999999999996E-2</v>
      </c>
      <c r="EJ127" s="229">
        <v>0.72199999999999998</v>
      </c>
      <c r="EK127" s="228">
        <v>367.22</v>
      </c>
      <c r="EL127" s="228">
        <v>108.12</v>
      </c>
      <c r="EM127" s="228">
        <v>81.209999999999994</v>
      </c>
      <c r="EN127" s="228">
        <v>17.97</v>
      </c>
      <c r="EO127" s="228">
        <v>556.55999999999995</v>
      </c>
      <c r="EP127" s="231">
        <v>2257.31</v>
      </c>
      <c r="EQ127" s="231">
        <v>-1700.75</v>
      </c>
      <c r="ER127" s="229">
        <v>-0.75339999999999996</v>
      </c>
      <c r="ES127" s="228">
        <v>499.32</v>
      </c>
      <c r="ET127" s="228">
        <v>277.35000000000002</v>
      </c>
      <c r="EU127" s="231">
        <v>2508.61</v>
      </c>
      <c r="EV127" s="231">
        <v>79408529</v>
      </c>
      <c r="EW127" s="231">
        <v>3285.28</v>
      </c>
      <c r="EX127" s="231">
        <v>3279.49</v>
      </c>
      <c r="EY127" s="228">
        <v>5.79</v>
      </c>
      <c r="EZ127" s="229">
        <v>1.8E-3</v>
      </c>
      <c r="FA127" s="229">
        <v>0.55930000000000002</v>
      </c>
      <c r="FB127" s="227" t="s">
        <v>568</v>
      </c>
      <c r="FC127">
        <f t="shared" si="1"/>
        <v>18</v>
      </c>
    </row>
    <row r="128" spans="1:159" ht="17.25" thickBot="1" x14ac:dyDescent="0.3">
      <c r="A128" s="226">
        <v>46008</v>
      </c>
      <c r="B128" s="227" t="s">
        <v>162</v>
      </c>
      <c r="C128" s="227" t="s">
        <v>255</v>
      </c>
      <c r="D128" s="228">
        <v>50</v>
      </c>
      <c r="E128" s="228">
        <v>13</v>
      </c>
      <c r="F128" s="231">
        <v>16409</v>
      </c>
      <c r="G128" s="231">
        <v>16396</v>
      </c>
      <c r="H128" s="228">
        <v>13</v>
      </c>
      <c r="I128" s="229">
        <v>8.0000000000000004E-4</v>
      </c>
      <c r="J128" s="231">
        <v>16398</v>
      </c>
      <c r="K128" s="231">
        <v>16354</v>
      </c>
      <c r="L128" s="228">
        <v>44</v>
      </c>
      <c r="M128" s="229">
        <v>2.7000000000000001E-3</v>
      </c>
      <c r="N128" s="231">
        <v>16409</v>
      </c>
      <c r="O128" s="231">
        <v>16396</v>
      </c>
      <c r="P128" s="228">
        <v>13</v>
      </c>
      <c r="Q128" s="229">
        <v>8.0000000000000004E-4</v>
      </c>
      <c r="R128" s="231">
        <v>16516</v>
      </c>
      <c r="S128" s="231">
        <v>16492</v>
      </c>
      <c r="T128" s="228">
        <v>24</v>
      </c>
      <c r="U128" s="229">
        <v>1.5E-3</v>
      </c>
      <c r="V128" s="231">
        <v>16600</v>
      </c>
      <c r="W128" s="231">
        <v>16592</v>
      </c>
      <c r="X128" s="228">
        <v>8</v>
      </c>
      <c r="Y128" s="229">
        <v>5.0000000000000001E-4</v>
      </c>
      <c r="Z128" s="228">
        <v>11</v>
      </c>
      <c r="AA128" s="228">
        <v>42</v>
      </c>
      <c r="AB128" s="228">
        <v>-31</v>
      </c>
      <c r="AC128" s="229">
        <v>6.9999999999999999E-4</v>
      </c>
      <c r="AD128" s="228">
        <v>11</v>
      </c>
      <c r="AE128" s="228">
        <v>42</v>
      </c>
      <c r="AF128" s="228">
        <v>-31</v>
      </c>
      <c r="AG128" s="229">
        <v>6.9999999999999999E-4</v>
      </c>
      <c r="AH128" s="228">
        <v>118</v>
      </c>
      <c r="AI128" s="228">
        <v>138</v>
      </c>
      <c r="AJ128" s="228">
        <v>-20</v>
      </c>
      <c r="AK128" s="229">
        <v>7.1999999999999998E-3</v>
      </c>
      <c r="AL128" s="228">
        <v>202</v>
      </c>
      <c r="AM128" s="228">
        <v>238</v>
      </c>
      <c r="AN128" s="228">
        <v>-36</v>
      </c>
      <c r="AO128" s="229">
        <v>1.23E-2</v>
      </c>
      <c r="AP128" s="231">
        <v>16430.61</v>
      </c>
      <c r="AQ128" s="231">
        <v>16530.830000000002</v>
      </c>
      <c r="AR128" s="228">
        <v>0</v>
      </c>
      <c r="AS128" s="228">
        <v>429</v>
      </c>
      <c r="AT128" s="228">
        <v>487</v>
      </c>
      <c r="AU128" s="228">
        <v>-59</v>
      </c>
      <c r="AV128" s="229">
        <v>-0.1203</v>
      </c>
      <c r="AW128" s="228">
        <v>347</v>
      </c>
      <c r="AX128" s="228">
        <v>389</v>
      </c>
      <c r="AY128" s="228">
        <v>-42</v>
      </c>
      <c r="AZ128" s="229">
        <v>-0.1091</v>
      </c>
      <c r="BA128" s="228">
        <v>79</v>
      </c>
      <c r="BB128" s="228">
        <v>95</v>
      </c>
      <c r="BC128" s="228">
        <v>-16</v>
      </c>
      <c r="BD128" s="229">
        <v>-0.16800000000000001</v>
      </c>
      <c r="BE128" s="228">
        <v>2</v>
      </c>
      <c r="BF128" s="228">
        <v>2</v>
      </c>
      <c r="BG128" s="228">
        <v>0</v>
      </c>
      <c r="BH128" s="229">
        <v>-3.4500000000000003E-2</v>
      </c>
      <c r="BI128" s="230">
        <v>3224</v>
      </c>
      <c r="BJ128" s="230">
        <v>2011</v>
      </c>
      <c r="BK128" s="230">
        <v>1213</v>
      </c>
      <c r="BL128" s="229">
        <v>0.60350000000000004</v>
      </c>
      <c r="BM128" s="230">
        <v>2490</v>
      </c>
      <c r="BN128" s="230">
        <v>2379</v>
      </c>
      <c r="BO128" s="228">
        <v>111</v>
      </c>
      <c r="BP128" s="229">
        <v>4.6699999999999998E-2</v>
      </c>
      <c r="BQ128" s="230">
        <v>6143</v>
      </c>
      <c r="BR128" s="230">
        <v>4877</v>
      </c>
      <c r="BS128" s="230">
        <v>1266</v>
      </c>
      <c r="BT128" s="229">
        <v>0.25950000000000001</v>
      </c>
      <c r="BU128" s="230">
        <v>260520</v>
      </c>
      <c r="BV128" s="230">
        <v>166578</v>
      </c>
      <c r="BW128" s="230">
        <v>93942</v>
      </c>
      <c r="BX128" s="229">
        <v>0.56399999999999995</v>
      </c>
      <c r="BY128" s="230">
        <v>4684</v>
      </c>
      <c r="BZ128" s="230">
        <v>4694</v>
      </c>
      <c r="CA128" s="228">
        <v>-11</v>
      </c>
      <c r="CB128" s="229">
        <v>-2.3E-3</v>
      </c>
      <c r="CC128" s="230">
        <v>4289</v>
      </c>
      <c r="CD128" s="230">
        <v>4358</v>
      </c>
      <c r="CE128" s="228">
        <v>-69</v>
      </c>
      <c r="CF128" s="229">
        <v>-1.5800000000000002E-2</v>
      </c>
      <c r="CG128" s="228">
        <v>372</v>
      </c>
      <c r="CH128" s="228">
        <v>314</v>
      </c>
      <c r="CI128" s="228">
        <v>57</v>
      </c>
      <c r="CJ128" s="229">
        <v>0.1827</v>
      </c>
      <c r="CK128" s="228">
        <v>23</v>
      </c>
      <c r="CL128" s="228">
        <v>22</v>
      </c>
      <c r="CM128" s="228">
        <v>0</v>
      </c>
      <c r="CN128" s="229">
        <v>1.8499999999999999E-2</v>
      </c>
      <c r="CO128" s="230">
        <v>2649</v>
      </c>
      <c r="CP128" s="230">
        <v>2591</v>
      </c>
      <c r="CQ128" s="228">
        <v>58</v>
      </c>
      <c r="CR128" s="229">
        <v>2.2200000000000001E-2</v>
      </c>
      <c r="CS128" s="230">
        <v>2517</v>
      </c>
      <c r="CT128" s="230">
        <v>2535</v>
      </c>
      <c r="CU128" s="228">
        <v>-18</v>
      </c>
      <c r="CV128" s="229">
        <v>-7.1999999999999998E-3</v>
      </c>
      <c r="CW128" s="230">
        <v>9849</v>
      </c>
      <c r="CX128" s="230">
        <v>9820</v>
      </c>
      <c r="CY128" s="228">
        <v>29</v>
      </c>
      <c r="CZ128" s="229">
        <v>2.8999999999999998E-3</v>
      </c>
      <c r="DA128" s="228">
        <v>15.73</v>
      </c>
      <c r="DB128" s="228">
        <v>15.47</v>
      </c>
      <c r="DC128" s="228">
        <v>0.26</v>
      </c>
      <c r="DD128" s="228">
        <v>0.26</v>
      </c>
      <c r="DE128" s="228">
        <v>24.6</v>
      </c>
      <c r="DF128" s="228">
        <v>24.66</v>
      </c>
      <c r="DG128" s="228">
        <v>-8.8699999999999992</v>
      </c>
      <c r="DH128" s="228">
        <v>-0.06</v>
      </c>
      <c r="DI128" s="228">
        <v>15.24</v>
      </c>
      <c r="DJ128" s="228">
        <v>15</v>
      </c>
      <c r="DK128" s="228">
        <v>0.24</v>
      </c>
      <c r="DL128" s="228">
        <v>0.24</v>
      </c>
      <c r="DM128" s="228">
        <v>16.350000000000001</v>
      </c>
      <c r="DN128" s="228">
        <v>15.86</v>
      </c>
      <c r="DO128" s="228">
        <v>0.49</v>
      </c>
      <c r="DP128" s="228">
        <v>0.49</v>
      </c>
      <c r="DQ128" s="228">
        <v>0.95</v>
      </c>
      <c r="DR128" s="228">
        <v>0.98</v>
      </c>
      <c r="DS128" s="228">
        <v>-0.03</v>
      </c>
      <c r="DT128" s="229">
        <v>-3.0599999999999999E-2</v>
      </c>
      <c r="DU128" s="231">
        <v>16500</v>
      </c>
      <c r="DV128" s="231">
        <v>16000</v>
      </c>
      <c r="DW128" s="228">
        <v>0.77</v>
      </c>
      <c r="DX128" s="228">
        <v>1.18</v>
      </c>
      <c r="DY128" s="228">
        <v>-0.41</v>
      </c>
      <c r="DZ128" s="229">
        <v>-0.34749999999999998</v>
      </c>
      <c r="EA128" s="229">
        <v>8.4199999999999997E-2</v>
      </c>
      <c r="EB128" s="230">
        <v>205050</v>
      </c>
      <c r="EC128" s="229">
        <v>6.4999999999999997E-3</v>
      </c>
      <c r="ED128" s="229">
        <v>8.4199999999999997E-2</v>
      </c>
      <c r="EE128" s="228">
        <v>100.22</v>
      </c>
      <c r="EF128" s="229">
        <v>6.1000000000000004E-3</v>
      </c>
      <c r="EG128" s="230">
        <v>192505</v>
      </c>
      <c r="EH128" s="230">
        <v>110972</v>
      </c>
      <c r="EI128" s="229">
        <v>0.73470000000000002</v>
      </c>
      <c r="EJ128" s="229">
        <v>0.7389</v>
      </c>
      <c r="EK128" s="231">
        <v>3296.79</v>
      </c>
      <c r="EL128" s="231">
        <v>2455.6999999999998</v>
      </c>
      <c r="EM128" s="228">
        <v>429.6</v>
      </c>
      <c r="EN128" s="228">
        <v>82.41</v>
      </c>
      <c r="EO128" s="231">
        <v>6182.08</v>
      </c>
      <c r="EP128" s="231">
        <v>4899.2700000000004</v>
      </c>
      <c r="EQ128" s="231">
        <v>1282.81</v>
      </c>
      <c r="ER128" s="229">
        <v>0.26179999999999998</v>
      </c>
      <c r="ES128" s="231">
        <v>2697.2</v>
      </c>
      <c r="ET128" s="231">
        <v>2407.79</v>
      </c>
      <c r="EU128" s="231">
        <v>4686.2299999999996</v>
      </c>
      <c r="EV128" s="231">
        <v>16752897</v>
      </c>
      <c r="EW128" s="231">
        <v>9791.2099999999991</v>
      </c>
      <c r="EX128" s="231">
        <v>9753.98</v>
      </c>
      <c r="EY128" s="228">
        <v>37.229999999999997</v>
      </c>
      <c r="EZ128" s="229">
        <v>3.8E-3</v>
      </c>
      <c r="FA128" s="229">
        <v>0.35830000000000001</v>
      </c>
      <c r="FB128" s="227" t="s">
        <v>556</v>
      </c>
      <c r="FC128">
        <f t="shared" si="1"/>
        <v>395</v>
      </c>
    </row>
    <row r="129" spans="1:159" ht="17.25" thickBot="1" x14ac:dyDescent="0.3">
      <c r="A129" s="226">
        <v>46008</v>
      </c>
      <c r="B129" s="227" t="s">
        <v>170</v>
      </c>
      <c r="C129" s="227" t="s">
        <v>603</v>
      </c>
      <c r="D129" s="228">
        <v>525</v>
      </c>
      <c r="E129" s="228">
        <v>13</v>
      </c>
      <c r="F129" s="231">
        <v>1033.8</v>
      </c>
      <c r="G129" s="231">
        <v>1074.2</v>
      </c>
      <c r="H129" s="228">
        <v>-40.4</v>
      </c>
      <c r="I129" s="229">
        <v>-3.7600000000000001E-2</v>
      </c>
      <c r="J129" s="231">
        <v>1031.0999999999999</v>
      </c>
      <c r="K129" s="231">
        <v>1073</v>
      </c>
      <c r="L129" s="228">
        <v>-41.9</v>
      </c>
      <c r="M129" s="229">
        <v>-3.9E-2</v>
      </c>
      <c r="N129" s="231">
        <v>1033.8</v>
      </c>
      <c r="O129" s="231">
        <v>1074.2</v>
      </c>
      <c r="P129" s="228">
        <v>-40.4</v>
      </c>
      <c r="Q129" s="229">
        <v>-3.7600000000000001E-2</v>
      </c>
      <c r="R129" s="231">
        <v>1041.2</v>
      </c>
      <c r="S129" s="231">
        <v>1080</v>
      </c>
      <c r="T129" s="228">
        <v>-38.799999999999997</v>
      </c>
      <c r="U129" s="229">
        <v>-3.5900000000000001E-2</v>
      </c>
      <c r="V129" s="231">
        <v>1046.7</v>
      </c>
      <c r="W129" s="231">
        <v>1085.5999999999999</v>
      </c>
      <c r="X129" s="228">
        <v>-38.9</v>
      </c>
      <c r="Y129" s="229">
        <v>-3.5799999999999998E-2</v>
      </c>
      <c r="Z129" s="228">
        <v>2.7</v>
      </c>
      <c r="AA129" s="228">
        <v>1.2</v>
      </c>
      <c r="AB129" s="228">
        <v>1.5</v>
      </c>
      <c r="AC129" s="229">
        <v>2.5999999999999999E-3</v>
      </c>
      <c r="AD129" s="228">
        <v>2.7</v>
      </c>
      <c r="AE129" s="228">
        <v>1.2</v>
      </c>
      <c r="AF129" s="228">
        <v>1.5</v>
      </c>
      <c r="AG129" s="229">
        <v>2.5999999999999999E-3</v>
      </c>
      <c r="AH129" s="228">
        <v>10.1</v>
      </c>
      <c r="AI129" s="228">
        <v>7</v>
      </c>
      <c r="AJ129" s="228">
        <v>3.1</v>
      </c>
      <c r="AK129" s="229">
        <v>9.7999999999999997E-3</v>
      </c>
      <c r="AL129" s="228">
        <v>15.6</v>
      </c>
      <c r="AM129" s="228">
        <v>12.6</v>
      </c>
      <c r="AN129" s="228">
        <v>3</v>
      </c>
      <c r="AO129" s="229">
        <v>1.5100000000000001E-2</v>
      </c>
      <c r="AP129" s="231">
        <v>1043.4100000000001</v>
      </c>
      <c r="AQ129" s="231">
        <v>1050.24</v>
      </c>
      <c r="AR129" s="228">
        <v>0</v>
      </c>
      <c r="AS129" s="228">
        <v>383</v>
      </c>
      <c r="AT129" s="228">
        <v>124</v>
      </c>
      <c r="AU129" s="228">
        <v>258</v>
      </c>
      <c r="AV129" s="229">
        <v>2.0790999999999999</v>
      </c>
      <c r="AW129" s="228">
        <v>333</v>
      </c>
      <c r="AX129" s="228">
        <v>113</v>
      </c>
      <c r="AY129" s="228">
        <v>220</v>
      </c>
      <c r="AZ129" s="229">
        <v>1.9496</v>
      </c>
      <c r="BA129" s="228">
        <v>46</v>
      </c>
      <c r="BB129" s="228">
        <v>10</v>
      </c>
      <c r="BC129" s="228">
        <v>35</v>
      </c>
      <c r="BD129" s="229">
        <v>3.5350999999999999</v>
      </c>
      <c r="BE129" s="228">
        <v>4</v>
      </c>
      <c r="BF129" s="228">
        <v>1</v>
      </c>
      <c r="BG129" s="228">
        <v>2</v>
      </c>
      <c r="BH129" s="229">
        <v>2.0909</v>
      </c>
      <c r="BI129" s="230">
        <v>1492</v>
      </c>
      <c r="BJ129" s="228">
        <v>358</v>
      </c>
      <c r="BK129" s="230">
        <v>1134</v>
      </c>
      <c r="BL129" s="229">
        <v>3.1642000000000001</v>
      </c>
      <c r="BM129" s="230">
        <v>1957</v>
      </c>
      <c r="BN129" s="228">
        <v>86</v>
      </c>
      <c r="BO129" s="230">
        <v>1871</v>
      </c>
      <c r="BP129" s="229">
        <v>21.7059</v>
      </c>
      <c r="BQ129" s="230">
        <v>3831</v>
      </c>
      <c r="BR129" s="228">
        <v>569</v>
      </c>
      <c r="BS129" s="230">
        <v>3263</v>
      </c>
      <c r="BT129" s="229">
        <v>5.7373000000000003</v>
      </c>
      <c r="BU129" s="230">
        <v>4349516</v>
      </c>
      <c r="BV129" s="230">
        <v>1473285</v>
      </c>
      <c r="BW129" s="230">
        <v>2876231</v>
      </c>
      <c r="BX129" s="229">
        <v>1.9522999999999999</v>
      </c>
      <c r="BY129" s="230">
        <v>2039</v>
      </c>
      <c r="BZ129" s="230">
        <v>1946</v>
      </c>
      <c r="CA129" s="228">
        <v>93</v>
      </c>
      <c r="CB129" s="229">
        <v>4.7699999999999999E-2</v>
      </c>
      <c r="CC129" s="230">
        <v>1925</v>
      </c>
      <c r="CD129" s="230">
        <v>1855</v>
      </c>
      <c r="CE129" s="228">
        <v>70</v>
      </c>
      <c r="CF129" s="229">
        <v>3.78E-2</v>
      </c>
      <c r="CG129" s="228">
        <v>97</v>
      </c>
      <c r="CH129" s="228">
        <v>77</v>
      </c>
      <c r="CI129" s="228">
        <v>21</v>
      </c>
      <c r="CJ129" s="229">
        <v>0.26690000000000003</v>
      </c>
      <c r="CK129" s="228">
        <v>17</v>
      </c>
      <c r="CL129" s="228">
        <v>15</v>
      </c>
      <c r="CM129" s="228">
        <v>2</v>
      </c>
      <c r="CN129" s="229">
        <v>0.1487</v>
      </c>
      <c r="CO129" s="228">
        <v>755</v>
      </c>
      <c r="CP129" s="228">
        <v>574</v>
      </c>
      <c r="CQ129" s="228">
        <v>182</v>
      </c>
      <c r="CR129" s="229">
        <v>0.3165</v>
      </c>
      <c r="CS129" s="228">
        <v>398</v>
      </c>
      <c r="CT129" s="228">
        <v>292</v>
      </c>
      <c r="CU129" s="228">
        <v>106</v>
      </c>
      <c r="CV129" s="229">
        <v>0.3639</v>
      </c>
      <c r="CW129" s="230">
        <v>3192</v>
      </c>
      <c r="CX129" s="230">
        <v>2811</v>
      </c>
      <c r="CY129" s="228">
        <v>380</v>
      </c>
      <c r="CZ129" s="229">
        <v>0.1353</v>
      </c>
      <c r="DA129" s="228">
        <v>27.79</v>
      </c>
      <c r="DB129" s="228">
        <v>24.56</v>
      </c>
      <c r="DC129" s="228">
        <v>3.23</v>
      </c>
      <c r="DD129" s="228">
        <v>3.23</v>
      </c>
      <c r="DE129" s="228">
        <v>39.32</v>
      </c>
      <c r="DF129" s="228">
        <v>39.049999999999997</v>
      </c>
      <c r="DG129" s="228">
        <v>-11.53</v>
      </c>
      <c r="DH129" s="228">
        <v>0.27</v>
      </c>
      <c r="DI129" s="228">
        <v>28.93</v>
      </c>
      <c r="DJ129" s="228">
        <v>24.62</v>
      </c>
      <c r="DK129" s="228">
        <v>4.3099999999999996</v>
      </c>
      <c r="DL129" s="228">
        <v>4.3099999999999996</v>
      </c>
      <c r="DM129" s="228">
        <v>26.93</v>
      </c>
      <c r="DN129" s="228">
        <v>24.3</v>
      </c>
      <c r="DO129" s="228">
        <v>2.63</v>
      </c>
      <c r="DP129" s="228">
        <v>2.63</v>
      </c>
      <c r="DQ129" s="228">
        <v>0.53</v>
      </c>
      <c r="DR129" s="228">
        <v>0.51</v>
      </c>
      <c r="DS129" s="228">
        <v>0.02</v>
      </c>
      <c r="DT129" s="229">
        <v>3.9199999999999999E-2</v>
      </c>
      <c r="DU129" s="231">
        <v>1100</v>
      </c>
      <c r="DV129" s="231">
        <v>1160</v>
      </c>
      <c r="DW129" s="228">
        <v>1.31</v>
      </c>
      <c r="DX129" s="228">
        <v>0.24</v>
      </c>
      <c r="DY129" s="228">
        <v>1.07</v>
      </c>
      <c r="DZ129" s="229">
        <v>4.4583000000000004</v>
      </c>
      <c r="EA129" s="229">
        <v>5.6000000000000001E-2</v>
      </c>
      <c r="EB129" s="230">
        <v>884625</v>
      </c>
      <c r="EC129" s="229">
        <v>7.1999999999999998E-3</v>
      </c>
      <c r="ED129" s="229">
        <v>5.6000000000000001E-2</v>
      </c>
      <c r="EE129" s="228">
        <v>6.83</v>
      </c>
      <c r="EF129" s="229">
        <v>6.4999999999999997E-3</v>
      </c>
      <c r="EG129" s="230">
        <v>2657537</v>
      </c>
      <c r="EH129" s="230">
        <v>966569</v>
      </c>
      <c r="EI129" s="229">
        <v>1.7495000000000001</v>
      </c>
      <c r="EJ129" s="229">
        <v>0.61099999999999999</v>
      </c>
      <c r="EK129" s="231">
        <v>1588.5</v>
      </c>
      <c r="EL129" s="231">
        <v>1966.55</v>
      </c>
      <c r="EM129" s="228">
        <v>386.44</v>
      </c>
      <c r="EN129" s="228">
        <v>28.45</v>
      </c>
      <c r="EO129" s="231">
        <v>3941.48</v>
      </c>
      <c r="EP129" s="228">
        <v>610.42999999999995</v>
      </c>
      <c r="EQ129" s="231">
        <v>3331.05</v>
      </c>
      <c r="ER129" s="229">
        <v>5.4569000000000001</v>
      </c>
      <c r="ES129" s="228">
        <v>829.36</v>
      </c>
      <c r="ET129" s="228">
        <v>410.82</v>
      </c>
      <c r="EU129" s="231">
        <v>2039.84</v>
      </c>
      <c r="EV129" s="231">
        <v>97211768</v>
      </c>
      <c r="EW129" s="231">
        <v>3280.02</v>
      </c>
      <c r="EX129" s="231">
        <v>2977.25</v>
      </c>
      <c r="EY129" s="228">
        <v>302.77</v>
      </c>
      <c r="EZ129" s="229">
        <v>0.1017</v>
      </c>
      <c r="FA129" s="229">
        <v>0.31759999999999999</v>
      </c>
      <c r="FB129" s="227" t="s">
        <v>567</v>
      </c>
      <c r="FC129">
        <f t="shared" si="1"/>
        <v>114</v>
      </c>
    </row>
    <row r="130" spans="1:159" ht="17.25" thickBot="1" x14ac:dyDescent="0.3">
      <c r="A130" s="226">
        <v>46008</v>
      </c>
      <c r="B130" s="227" t="s">
        <v>215</v>
      </c>
      <c r="C130" s="227" t="s">
        <v>674</v>
      </c>
      <c r="D130" s="228">
        <v>175</v>
      </c>
      <c r="E130" s="228">
        <v>13</v>
      </c>
      <c r="F130" s="231">
        <v>2362.6</v>
      </c>
      <c r="G130" s="231">
        <v>2416.6</v>
      </c>
      <c r="H130" s="228">
        <v>-54</v>
      </c>
      <c r="I130" s="229">
        <v>-2.23E-2</v>
      </c>
      <c r="J130" s="231">
        <v>2356.6</v>
      </c>
      <c r="K130" s="231">
        <v>2408</v>
      </c>
      <c r="L130" s="228">
        <v>-51.4</v>
      </c>
      <c r="M130" s="229">
        <v>-2.1299999999999999E-2</v>
      </c>
      <c r="N130" s="231">
        <v>2362.6</v>
      </c>
      <c r="O130" s="231">
        <v>2416.6</v>
      </c>
      <c r="P130" s="228">
        <v>-54</v>
      </c>
      <c r="Q130" s="229">
        <v>-2.23E-2</v>
      </c>
      <c r="R130" s="231">
        <v>2376.9</v>
      </c>
      <c r="S130" s="231">
        <v>2425.6</v>
      </c>
      <c r="T130" s="228">
        <v>-48.7</v>
      </c>
      <c r="U130" s="229">
        <v>-2.01E-2</v>
      </c>
      <c r="V130" s="231">
        <v>2388.8000000000002</v>
      </c>
      <c r="W130" s="231">
        <v>2441.6</v>
      </c>
      <c r="X130" s="228">
        <v>-52.8</v>
      </c>
      <c r="Y130" s="229">
        <v>-2.1600000000000001E-2</v>
      </c>
      <c r="Z130" s="228">
        <v>6</v>
      </c>
      <c r="AA130" s="228">
        <v>8.6</v>
      </c>
      <c r="AB130" s="228">
        <v>-2.6</v>
      </c>
      <c r="AC130" s="229">
        <v>2.5000000000000001E-3</v>
      </c>
      <c r="AD130" s="228">
        <v>6</v>
      </c>
      <c r="AE130" s="228">
        <v>8.6</v>
      </c>
      <c r="AF130" s="228">
        <v>-2.6</v>
      </c>
      <c r="AG130" s="229">
        <v>2.5000000000000001E-3</v>
      </c>
      <c r="AH130" s="228">
        <v>20.3</v>
      </c>
      <c r="AI130" s="228">
        <v>17.600000000000001</v>
      </c>
      <c r="AJ130" s="228">
        <v>2.7</v>
      </c>
      <c r="AK130" s="229">
        <v>8.6E-3</v>
      </c>
      <c r="AL130" s="228">
        <v>32.200000000000003</v>
      </c>
      <c r="AM130" s="228">
        <v>33.6</v>
      </c>
      <c r="AN130" s="228">
        <v>-1.4</v>
      </c>
      <c r="AO130" s="229">
        <v>1.37E-2</v>
      </c>
      <c r="AP130" s="231">
        <v>2382.92</v>
      </c>
      <c r="AQ130" s="231">
        <v>2398.0300000000002</v>
      </c>
      <c r="AR130" s="228">
        <v>0</v>
      </c>
      <c r="AS130" s="228">
        <v>176</v>
      </c>
      <c r="AT130" s="228">
        <v>172</v>
      </c>
      <c r="AU130" s="228">
        <v>5</v>
      </c>
      <c r="AV130" s="229">
        <v>2.87E-2</v>
      </c>
      <c r="AW130" s="228">
        <v>133</v>
      </c>
      <c r="AX130" s="228">
        <v>152</v>
      </c>
      <c r="AY130" s="228">
        <v>-18</v>
      </c>
      <c r="AZ130" s="229">
        <v>-0.12130000000000001</v>
      </c>
      <c r="BA130" s="228">
        <v>35</v>
      </c>
      <c r="BB130" s="228">
        <v>18</v>
      </c>
      <c r="BC130" s="228">
        <v>17</v>
      </c>
      <c r="BD130" s="229">
        <v>0.93410000000000004</v>
      </c>
      <c r="BE130" s="228">
        <v>8</v>
      </c>
      <c r="BF130" s="228">
        <v>2</v>
      </c>
      <c r="BG130" s="228">
        <v>6</v>
      </c>
      <c r="BH130" s="229">
        <v>3.9230999999999998</v>
      </c>
      <c r="BI130" s="228">
        <v>842</v>
      </c>
      <c r="BJ130" s="228">
        <v>599</v>
      </c>
      <c r="BK130" s="228">
        <v>243</v>
      </c>
      <c r="BL130" s="229">
        <v>0.40550000000000003</v>
      </c>
      <c r="BM130" s="228">
        <v>508</v>
      </c>
      <c r="BN130" s="228">
        <v>241</v>
      </c>
      <c r="BO130" s="228">
        <v>267</v>
      </c>
      <c r="BP130" s="229">
        <v>1.1116999999999999</v>
      </c>
      <c r="BQ130" s="230">
        <v>1527</v>
      </c>
      <c r="BR130" s="230">
        <v>1011</v>
      </c>
      <c r="BS130" s="228">
        <v>515</v>
      </c>
      <c r="BT130" s="229">
        <v>0.50960000000000005</v>
      </c>
      <c r="BU130" s="230">
        <v>697328</v>
      </c>
      <c r="BV130" s="230">
        <v>619971</v>
      </c>
      <c r="BW130" s="230">
        <v>77357</v>
      </c>
      <c r="BX130" s="229">
        <v>0.12479999999999999</v>
      </c>
      <c r="BY130" s="230">
        <v>1083</v>
      </c>
      <c r="BZ130" s="230">
        <v>1092</v>
      </c>
      <c r="CA130" s="228">
        <v>-9</v>
      </c>
      <c r="CB130" s="229">
        <v>-8.0000000000000002E-3</v>
      </c>
      <c r="CC130" s="228">
        <v>965</v>
      </c>
      <c r="CD130" s="228">
        <v>980</v>
      </c>
      <c r="CE130" s="228">
        <v>-15</v>
      </c>
      <c r="CF130" s="229">
        <v>-1.5599999999999999E-2</v>
      </c>
      <c r="CG130" s="228">
        <v>108</v>
      </c>
      <c r="CH130" s="228">
        <v>102</v>
      </c>
      <c r="CI130" s="228">
        <v>6</v>
      </c>
      <c r="CJ130" s="229">
        <v>5.6000000000000001E-2</v>
      </c>
      <c r="CK130" s="228">
        <v>10</v>
      </c>
      <c r="CL130" s="228">
        <v>10</v>
      </c>
      <c r="CM130" s="228">
        <v>1</v>
      </c>
      <c r="CN130" s="229">
        <v>8.8200000000000001E-2</v>
      </c>
      <c r="CO130" s="228">
        <v>994</v>
      </c>
      <c r="CP130" s="228">
        <v>961</v>
      </c>
      <c r="CQ130" s="228">
        <v>33</v>
      </c>
      <c r="CR130" s="229">
        <v>3.4000000000000002E-2</v>
      </c>
      <c r="CS130" s="228">
        <v>423</v>
      </c>
      <c r="CT130" s="228">
        <v>428</v>
      </c>
      <c r="CU130" s="228">
        <v>-5</v>
      </c>
      <c r="CV130" s="229">
        <v>-1.26E-2</v>
      </c>
      <c r="CW130" s="230">
        <v>2500</v>
      </c>
      <c r="CX130" s="230">
        <v>2481</v>
      </c>
      <c r="CY130" s="228">
        <v>19</v>
      </c>
      <c r="CZ130" s="229">
        <v>7.4999999999999997E-3</v>
      </c>
      <c r="DA130" s="228">
        <v>30.87</v>
      </c>
      <c r="DB130" s="228">
        <v>31.88</v>
      </c>
      <c r="DC130" s="228">
        <v>-1.01</v>
      </c>
      <c r="DD130" s="228">
        <v>-1.01</v>
      </c>
      <c r="DE130" s="228">
        <v>55.4</v>
      </c>
      <c r="DF130" s="228">
        <v>55.46</v>
      </c>
      <c r="DG130" s="228">
        <v>-24.53</v>
      </c>
      <c r="DH130" s="228">
        <v>-0.06</v>
      </c>
      <c r="DI130" s="228">
        <v>32.49</v>
      </c>
      <c r="DJ130" s="228">
        <v>32.840000000000003</v>
      </c>
      <c r="DK130" s="228">
        <v>-0.35</v>
      </c>
      <c r="DL130" s="228">
        <v>-0.35</v>
      </c>
      <c r="DM130" s="228">
        <v>28.17</v>
      </c>
      <c r="DN130" s="228">
        <v>29.48</v>
      </c>
      <c r="DO130" s="228">
        <v>-1.31</v>
      </c>
      <c r="DP130" s="228">
        <v>-1.31</v>
      </c>
      <c r="DQ130" s="228">
        <v>0.43</v>
      </c>
      <c r="DR130" s="228">
        <v>0.45</v>
      </c>
      <c r="DS130" s="228">
        <v>-0.02</v>
      </c>
      <c r="DT130" s="229">
        <v>-4.4400000000000002E-2</v>
      </c>
      <c r="DU130" s="231">
        <v>2700</v>
      </c>
      <c r="DV130" s="231">
        <v>2400</v>
      </c>
      <c r="DW130" s="228">
        <v>0.6</v>
      </c>
      <c r="DX130" s="228">
        <v>0.4</v>
      </c>
      <c r="DY130" s="228">
        <v>0.2</v>
      </c>
      <c r="DZ130" s="229">
        <v>0.5</v>
      </c>
      <c r="EA130" s="229">
        <v>0.1091</v>
      </c>
      <c r="EB130" s="230">
        <v>472600</v>
      </c>
      <c r="EC130" s="229">
        <v>6.1000000000000004E-3</v>
      </c>
      <c r="ED130" s="229">
        <v>0.1091</v>
      </c>
      <c r="EE130" s="228">
        <v>15.11</v>
      </c>
      <c r="EF130" s="229">
        <v>6.3E-3</v>
      </c>
      <c r="EG130" s="230">
        <v>209676</v>
      </c>
      <c r="EH130" s="230">
        <v>180964</v>
      </c>
      <c r="EI130" s="229">
        <v>0.15870000000000001</v>
      </c>
      <c r="EJ130" s="229">
        <v>0.30070000000000002</v>
      </c>
      <c r="EK130" s="228">
        <v>914.49</v>
      </c>
      <c r="EL130" s="228">
        <v>523.47</v>
      </c>
      <c r="EM130" s="228">
        <v>184.54</v>
      </c>
      <c r="EN130" s="228">
        <v>36.32</v>
      </c>
      <c r="EO130" s="231">
        <v>1622.5</v>
      </c>
      <c r="EP130" s="231">
        <v>1096.3399999999999</v>
      </c>
      <c r="EQ130" s="228">
        <v>526.16</v>
      </c>
      <c r="ER130" s="229">
        <v>0.47989999999999999</v>
      </c>
      <c r="ES130" s="231">
        <v>1128.22</v>
      </c>
      <c r="ET130" s="228">
        <v>456.1</v>
      </c>
      <c r="EU130" s="231">
        <v>1083.9100000000001</v>
      </c>
      <c r="EV130" s="231">
        <v>11364224</v>
      </c>
      <c r="EW130" s="231">
        <v>2668.23</v>
      </c>
      <c r="EX130" s="231">
        <v>2680.07</v>
      </c>
      <c r="EY130" s="228">
        <v>-11.84</v>
      </c>
      <c r="EZ130" s="229">
        <v>-4.4000000000000003E-3</v>
      </c>
      <c r="FA130" s="229">
        <v>0.93100000000000005</v>
      </c>
      <c r="FB130" s="227" t="s">
        <v>568</v>
      </c>
      <c r="FC130">
        <f t="shared" si="1"/>
        <v>118</v>
      </c>
    </row>
    <row r="131" spans="1:159" ht="17.25" thickBot="1" x14ac:dyDescent="0.3">
      <c r="A131" s="226">
        <v>46008</v>
      </c>
      <c r="B131" s="227" t="s">
        <v>175</v>
      </c>
      <c r="C131" s="227" t="s">
        <v>517</v>
      </c>
      <c r="D131" s="228">
        <v>125</v>
      </c>
      <c r="E131" s="228">
        <v>13</v>
      </c>
      <c r="F131" s="231">
        <v>10066</v>
      </c>
      <c r="G131" s="231">
        <v>10195</v>
      </c>
      <c r="H131" s="228">
        <v>-129</v>
      </c>
      <c r="I131" s="229">
        <v>-1.2699999999999999E-2</v>
      </c>
      <c r="J131" s="231">
        <v>10025</v>
      </c>
      <c r="K131" s="231">
        <v>10164</v>
      </c>
      <c r="L131" s="228">
        <v>-139</v>
      </c>
      <c r="M131" s="229">
        <v>-1.37E-2</v>
      </c>
      <c r="N131" s="231">
        <v>10066</v>
      </c>
      <c r="O131" s="231">
        <v>10195</v>
      </c>
      <c r="P131" s="228">
        <v>-129</v>
      </c>
      <c r="Q131" s="229">
        <v>-1.2699999999999999E-2</v>
      </c>
      <c r="R131" s="231">
        <v>10120</v>
      </c>
      <c r="S131" s="231">
        <v>10262</v>
      </c>
      <c r="T131" s="228">
        <v>-142</v>
      </c>
      <c r="U131" s="229">
        <v>-1.38E-2</v>
      </c>
      <c r="V131" s="231">
        <v>10188</v>
      </c>
      <c r="W131" s="231">
        <v>10293</v>
      </c>
      <c r="X131" s="228">
        <v>-105</v>
      </c>
      <c r="Y131" s="229">
        <v>-1.0200000000000001E-2</v>
      </c>
      <c r="Z131" s="228">
        <v>41</v>
      </c>
      <c r="AA131" s="228">
        <v>31</v>
      </c>
      <c r="AB131" s="228">
        <v>10</v>
      </c>
      <c r="AC131" s="229">
        <v>4.1000000000000003E-3</v>
      </c>
      <c r="AD131" s="228">
        <v>41</v>
      </c>
      <c r="AE131" s="228">
        <v>31</v>
      </c>
      <c r="AF131" s="228">
        <v>10</v>
      </c>
      <c r="AG131" s="229">
        <v>4.1000000000000003E-3</v>
      </c>
      <c r="AH131" s="228">
        <v>95</v>
      </c>
      <c r="AI131" s="228">
        <v>98</v>
      </c>
      <c r="AJ131" s="228">
        <v>-3</v>
      </c>
      <c r="AK131" s="229">
        <v>9.4999999999999998E-3</v>
      </c>
      <c r="AL131" s="228">
        <v>163</v>
      </c>
      <c r="AM131" s="228">
        <v>129</v>
      </c>
      <c r="AN131" s="228">
        <v>34</v>
      </c>
      <c r="AO131" s="229">
        <v>1.6299999999999999E-2</v>
      </c>
      <c r="AP131" s="231">
        <v>10126.99</v>
      </c>
      <c r="AQ131" s="231">
        <v>10185.34</v>
      </c>
      <c r="AR131" s="228">
        <v>0</v>
      </c>
      <c r="AS131" s="228">
        <v>566</v>
      </c>
      <c r="AT131" s="228">
        <v>888</v>
      </c>
      <c r="AU131" s="228">
        <v>-322</v>
      </c>
      <c r="AV131" s="229">
        <v>-0.36280000000000001</v>
      </c>
      <c r="AW131" s="228">
        <v>475</v>
      </c>
      <c r="AX131" s="228">
        <v>762</v>
      </c>
      <c r="AY131" s="228">
        <v>-287</v>
      </c>
      <c r="AZ131" s="229">
        <v>-0.37659999999999999</v>
      </c>
      <c r="BA131" s="228">
        <v>87</v>
      </c>
      <c r="BB131" s="228">
        <v>120</v>
      </c>
      <c r="BC131" s="228">
        <v>-32</v>
      </c>
      <c r="BD131" s="229">
        <v>-0.27050000000000002</v>
      </c>
      <c r="BE131" s="228">
        <v>3</v>
      </c>
      <c r="BF131" s="228">
        <v>6</v>
      </c>
      <c r="BG131" s="228">
        <v>-3</v>
      </c>
      <c r="BH131" s="229">
        <v>-0.45650000000000002</v>
      </c>
      <c r="BI131" s="230">
        <v>3523</v>
      </c>
      <c r="BJ131" s="230">
        <v>4318</v>
      </c>
      <c r="BK131" s="228">
        <v>-795</v>
      </c>
      <c r="BL131" s="229">
        <v>-0.18410000000000001</v>
      </c>
      <c r="BM131" s="230">
        <v>2298</v>
      </c>
      <c r="BN131" s="230">
        <v>3295</v>
      </c>
      <c r="BO131" s="228">
        <v>-997</v>
      </c>
      <c r="BP131" s="229">
        <v>-0.30259999999999998</v>
      </c>
      <c r="BQ131" s="230">
        <v>6387</v>
      </c>
      <c r="BR131" s="230">
        <v>8501</v>
      </c>
      <c r="BS131" s="230">
        <v>-2114</v>
      </c>
      <c r="BT131" s="229">
        <v>-0.2487</v>
      </c>
      <c r="BU131" s="230">
        <v>294649</v>
      </c>
      <c r="BV131" s="230">
        <v>363526</v>
      </c>
      <c r="BW131" s="230">
        <v>-68877</v>
      </c>
      <c r="BX131" s="229">
        <v>-0.1895</v>
      </c>
      <c r="BY131" s="230">
        <v>2908</v>
      </c>
      <c r="BZ131" s="230">
        <v>2783</v>
      </c>
      <c r="CA131" s="228">
        <v>125</v>
      </c>
      <c r="CB131" s="229">
        <v>4.4900000000000002E-2</v>
      </c>
      <c r="CC131" s="230">
        <v>2586</v>
      </c>
      <c r="CD131" s="230">
        <v>2496</v>
      </c>
      <c r="CE131" s="228">
        <v>90</v>
      </c>
      <c r="CF131" s="229">
        <v>3.5900000000000001E-2</v>
      </c>
      <c r="CG131" s="228">
        <v>277</v>
      </c>
      <c r="CH131" s="228">
        <v>241</v>
      </c>
      <c r="CI131" s="228">
        <v>36</v>
      </c>
      <c r="CJ131" s="229">
        <v>0.14810000000000001</v>
      </c>
      <c r="CK131" s="228">
        <v>45</v>
      </c>
      <c r="CL131" s="228">
        <v>46</v>
      </c>
      <c r="CM131" s="228">
        <v>-1</v>
      </c>
      <c r="CN131" s="229">
        <v>-1.0999999999999999E-2</v>
      </c>
      <c r="CO131" s="230">
        <v>3163</v>
      </c>
      <c r="CP131" s="230">
        <v>2962</v>
      </c>
      <c r="CQ131" s="228">
        <v>201</v>
      </c>
      <c r="CR131" s="229">
        <v>6.7799999999999999E-2</v>
      </c>
      <c r="CS131" s="230">
        <v>2009</v>
      </c>
      <c r="CT131" s="230">
        <v>1978</v>
      </c>
      <c r="CU131" s="228">
        <v>31</v>
      </c>
      <c r="CV131" s="229">
        <v>1.5800000000000002E-2</v>
      </c>
      <c r="CW131" s="230">
        <v>8079</v>
      </c>
      <c r="CX131" s="230">
        <v>7722</v>
      </c>
      <c r="CY131" s="228">
        <v>357</v>
      </c>
      <c r="CZ131" s="229">
        <v>4.6199999999999998E-2</v>
      </c>
      <c r="DA131" s="228">
        <v>30.89</v>
      </c>
      <c r="DB131" s="228">
        <v>30.47</v>
      </c>
      <c r="DC131" s="228">
        <v>0.42</v>
      </c>
      <c r="DD131" s="228">
        <v>0.42</v>
      </c>
      <c r="DE131" s="228">
        <v>45.24</v>
      </c>
      <c r="DF131" s="228">
        <v>45.32</v>
      </c>
      <c r="DG131" s="228">
        <v>-14.35</v>
      </c>
      <c r="DH131" s="228">
        <v>-0.08</v>
      </c>
      <c r="DI131" s="228">
        <v>31.11</v>
      </c>
      <c r="DJ131" s="228">
        <v>30.41</v>
      </c>
      <c r="DK131" s="228">
        <v>0.7</v>
      </c>
      <c r="DL131" s="228">
        <v>0.7</v>
      </c>
      <c r="DM131" s="228">
        <v>30.54</v>
      </c>
      <c r="DN131" s="228">
        <v>30.55</v>
      </c>
      <c r="DO131" s="228">
        <v>-0.01</v>
      </c>
      <c r="DP131" s="228">
        <v>-0.01</v>
      </c>
      <c r="DQ131" s="228">
        <v>0.64</v>
      </c>
      <c r="DR131" s="228">
        <v>0.67</v>
      </c>
      <c r="DS131" s="228">
        <v>-0.03</v>
      </c>
      <c r="DT131" s="229">
        <v>-4.48E-2</v>
      </c>
      <c r="DU131" s="231">
        <v>11000</v>
      </c>
      <c r="DV131" s="231">
        <v>10000</v>
      </c>
      <c r="DW131" s="228">
        <v>0.65</v>
      </c>
      <c r="DX131" s="228">
        <v>0.76</v>
      </c>
      <c r="DY131" s="228">
        <v>-0.11</v>
      </c>
      <c r="DZ131" s="229">
        <v>-0.1447</v>
      </c>
      <c r="EA131" s="229">
        <v>0.1108</v>
      </c>
      <c r="EB131" s="230">
        <v>285000</v>
      </c>
      <c r="EC131" s="229">
        <v>5.4000000000000003E-3</v>
      </c>
      <c r="ED131" s="229">
        <v>0.1108</v>
      </c>
      <c r="EE131" s="228">
        <v>58.35</v>
      </c>
      <c r="EF131" s="229">
        <v>5.7999999999999996E-3</v>
      </c>
      <c r="EG131" s="230">
        <v>102061</v>
      </c>
      <c r="EH131" s="230">
        <v>98918</v>
      </c>
      <c r="EI131" s="229">
        <v>3.1800000000000002E-2</v>
      </c>
      <c r="EJ131" s="229">
        <v>0.34639999999999999</v>
      </c>
      <c r="EK131" s="231">
        <v>3719.97</v>
      </c>
      <c r="EL131" s="231">
        <v>2266.65</v>
      </c>
      <c r="EM131" s="228">
        <v>569.67999999999995</v>
      </c>
      <c r="EN131" s="228">
        <v>77.13</v>
      </c>
      <c r="EO131" s="231">
        <v>6556.3</v>
      </c>
      <c r="EP131" s="231">
        <v>8737.73</v>
      </c>
      <c r="EQ131" s="231">
        <v>-2181.4299999999998</v>
      </c>
      <c r="ER131" s="229">
        <v>-0.24970000000000001</v>
      </c>
      <c r="ES131" s="231">
        <v>3302.81</v>
      </c>
      <c r="ET131" s="231">
        <v>1926.3</v>
      </c>
      <c r="EU131" s="231">
        <v>2909.85</v>
      </c>
      <c r="EV131" s="231">
        <v>7635422</v>
      </c>
      <c r="EW131" s="231">
        <v>8138.96</v>
      </c>
      <c r="EX131" s="231">
        <v>7818.43</v>
      </c>
      <c r="EY131" s="228">
        <v>320.52999999999997</v>
      </c>
      <c r="EZ131" s="229">
        <v>4.1000000000000002E-2</v>
      </c>
      <c r="FA131" s="229">
        <v>1.0511999999999999</v>
      </c>
      <c r="FB131" s="227" t="s">
        <v>567</v>
      </c>
      <c r="FC131">
        <f t="shared" ref="FC131:FC147" si="2">BY131-CC131</f>
        <v>322</v>
      </c>
    </row>
    <row r="132" spans="1:159" ht="17.25" thickBot="1" x14ac:dyDescent="0.3">
      <c r="A132" s="226">
        <v>46008</v>
      </c>
      <c r="B132" s="227" t="s">
        <v>175</v>
      </c>
      <c r="C132" s="227" t="s">
        <v>257</v>
      </c>
      <c r="D132" s="228">
        <v>400</v>
      </c>
      <c r="E132" s="228">
        <v>13</v>
      </c>
      <c r="F132" s="231">
        <v>1668.5</v>
      </c>
      <c r="G132" s="231">
        <v>1675.8</v>
      </c>
      <c r="H132" s="228">
        <v>-7.3</v>
      </c>
      <c r="I132" s="229">
        <v>-4.4000000000000003E-3</v>
      </c>
      <c r="J132" s="231">
        <v>1663.9</v>
      </c>
      <c r="K132" s="231">
        <v>1669.6</v>
      </c>
      <c r="L132" s="228">
        <v>-5.7</v>
      </c>
      <c r="M132" s="229">
        <v>-3.3999999999999998E-3</v>
      </c>
      <c r="N132" s="231">
        <v>1668.5</v>
      </c>
      <c r="O132" s="231">
        <v>1675.8</v>
      </c>
      <c r="P132" s="228">
        <v>-7.3</v>
      </c>
      <c r="Q132" s="229">
        <v>-4.4000000000000003E-3</v>
      </c>
      <c r="R132" s="231">
        <v>1677.5</v>
      </c>
      <c r="S132" s="231">
        <v>1685.8</v>
      </c>
      <c r="T132" s="228">
        <v>-8.3000000000000007</v>
      </c>
      <c r="U132" s="229">
        <v>-4.8999999999999998E-3</v>
      </c>
      <c r="V132" s="231">
        <v>1684.6</v>
      </c>
      <c r="W132" s="231">
        <v>1708</v>
      </c>
      <c r="X132" s="228">
        <v>-23.4</v>
      </c>
      <c r="Y132" s="229">
        <v>-1.37E-2</v>
      </c>
      <c r="Z132" s="228">
        <v>4.5999999999999996</v>
      </c>
      <c r="AA132" s="228">
        <v>6.2</v>
      </c>
      <c r="AB132" s="228">
        <v>-1.6</v>
      </c>
      <c r="AC132" s="229">
        <v>2.8E-3</v>
      </c>
      <c r="AD132" s="228">
        <v>4.5999999999999996</v>
      </c>
      <c r="AE132" s="228">
        <v>6.2</v>
      </c>
      <c r="AF132" s="228">
        <v>-1.6</v>
      </c>
      <c r="AG132" s="229">
        <v>2.8E-3</v>
      </c>
      <c r="AH132" s="228">
        <v>13.6</v>
      </c>
      <c r="AI132" s="228">
        <v>16.2</v>
      </c>
      <c r="AJ132" s="228">
        <v>-2.6</v>
      </c>
      <c r="AK132" s="229">
        <v>8.2000000000000007E-3</v>
      </c>
      <c r="AL132" s="228">
        <v>20.7</v>
      </c>
      <c r="AM132" s="228">
        <v>38.4</v>
      </c>
      <c r="AN132" s="228">
        <v>-17.7</v>
      </c>
      <c r="AO132" s="229">
        <v>1.24E-2</v>
      </c>
      <c r="AP132" s="231">
        <v>1662.79</v>
      </c>
      <c r="AQ132" s="231">
        <v>1673.16</v>
      </c>
      <c r="AR132" s="228">
        <v>0</v>
      </c>
      <c r="AS132" s="228">
        <v>135</v>
      </c>
      <c r="AT132" s="228">
        <v>139</v>
      </c>
      <c r="AU132" s="228">
        <v>-5</v>
      </c>
      <c r="AV132" s="229">
        <v>-3.5400000000000001E-2</v>
      </c>
      <c r="AW132" s="228">
        <v>116</v>
      </c>
      <c r="AX132" s="228">
        <v>128</v>
      </c>
      <c r="AY132" s="228">
        <v>-12</v>
      </c>
      <c r="AZ132" s="229">
        <v>-9.6100000000000005E-2</v>
      </c>
      <c r="BA132" s="228">
        <v>18</v>
      </c>
      <c r="BB132" s="228">
        <v>10</v>
      </c>
      <c r="BC132" s="228">
        <v>8</v>
      </c>
      <c r="BD132" s="229">
        <v>0.80789999999999995</v>
      </c>
      <c r="BE132" s="228">
        <v>0</v>
      </c>
      <c r="BF132" s="228">
        <v>1</v>
      </c>
      <c r="BG132" s="228">
        <v>-1</v>
      </c>
      <c r="BH132" s="229">
        <v>-0.78569999999999995</v>
      </c>
      <c r="BI132" s="228">
        <v>305</v>
      </c>
      <c r="BJ132" s="228">
        <v>391</v>
      </c>
      <c r="BK132" s="228">
        <v>-86</v>
      </c>
      <c r="BL132" s="229">
        <v>-0.221</v>
      </c>
      <c r="BM132" s="228">
        <v>186</v>
      </c>
      <c r="BN132" s="228">
        <v>162</v>
      </c>
      <c r="BO132" s="228">
        <v>24</v>
      </c>
      <c r="BP132" s="229">
        <v>0.1507</v>
      </c>
      <c r="BQ132" s="228">
        <v>626</v>
      </c>
      <c r="BR132" s="228">
        <v>693</v>
      </c>
      <c r="BS132" s="228">
        <v>-67</v>
      </c>
      <c r="BT132" s="229">
        <v>-9.6699999999999994E-2</v>
      </c>
      <c r="BU132" s="230">
        <v>351871</v>
      </c>
      <c r="BV132" s="230">
        <v>582597</v>
      </c>
      <c r="BW132" s="230">
        <v>-230726</v>
      </c>
      <c r="BX132" s="229">
        <v>-0.39600000000000002</v>
      </c>
      <c r="BY132" s="230">
        <v>1326</v>
      </c>
      <c r="BZ132" s="230">
        <v>1312</v>
      </c>
      <c r="CA132" s="228">
        <v>14</v>
      </c>
      <c r="CB132" s="229">
        <v>1.0699999999999999E-2</v>
      </c>
      <c r="CC132" s="230">
        <v>1302</v>
      </c>
      <c r="CD132" s="230">
        <v>1295</v>
      </c>
      <c r="CE132" s="228">
        <v>7</v>
      </c>
      <c r="CF132" s="229">
        <v>5.3E-3</v>
      </c>
      <c r="CG132" s="228">
        <v>24</v>
      </c>
      <c r="CH132" s="228">
        <v>16</v>
      </c>
      <c r="CI132" s="228">
        <v>7</v>
      </c>
      <c r="CJ132" s="229">
        <v>0.439</v>
      </c>
      <c r="CK132" s="228">
        <v>1</v>
      </c>
      <c r="CL132" s="228">
        <v>1</v>
      </c>
      <c r="CM132" s="228">
        <v>0</v>
      </c>
      <c r="CN132" s="229">
        <v>0</v>
      </c>
      <c r="CO132" s="228">
        <v>311</v>
      </c>
      <c r="CP132" s="228">
        <v>311</v>
      </c>
      <c r="CQ132" s="228">
        <v>0</v>
      </c>
      <c r="CR132" s="229">
        <v>1.5E-3</v>
      </c>
      <c r="CS132" s="228">
        <v>166</v>
      </c>
      <c r="CT132" s="228">
        <v>170</v>
      </c>
      <c r="CU132" s="228">
        <v>-5</v>
      </c>
      <c r="CV132" s="229">
        <v>-2.7E-2</v>
      </c>
      <c r="CW132" s="230">
        <v>1803</v>
      </c>
      <c r="CX132" s="230">
        <v>1794</v>
      </c>
      <c r="CY132" s="228">
        <v>10</v>
      </c>
      <c r="CZ132" s="229">
        <v>5.4999999999999997E-3</v>
      </c>
      <c r="DA132" s="228">
        <v>22.84</v>
      </c>
      <c r="DB132" s="228">
        <v>23.5</v>
      </c>
      <c r="DC132" s="228">
        <v>-0.66</v>
      </c>
      <c r="DD132" s="228">
        <v>-0.66</v>
      </c>
      <c r="DE132" s="228">
        <v>29.97</v>
      </c>
      <c r="DF132" s="228">
        <v>30.04</v>
      </c>
      <c r="DG132" s="228">
        <v>-7.13</v>
      </c>
      <c r="DH132" s="228">
        <v>-7.0000000000000007E-2</v>
      </c>
      <c r="DI132" s="228">
        <v>23.23</v>
      </c>
      <c r="DJ132" s="228">
        <v>23.97</v>
      </c>
      <c r="DK132" s="228">
        <v>-0.74</v>
      </c>
      <c r="DL132" s="228">
        <v>-0.74</v>
      </c>
      <c r="DM132" s="228">
        <v>22.21</v>
      </c>
      <c r="DN132" s="228">
        <v>22.37</v>
      </c>
      <c r="DO132" s="228">
        <v>-0.16</v>
      </c>
      <c r="DP132" s="228">
        <v>-0.16</v>
      </c>
      <c r="DQ132" s="228">
        <v>0.53</v>
      </c>
      <c r="DR132" s="228">
        <v>0.55000000000000004</v>
      </c>
      <c r="DS132" s="228">
        <v>-0.02</v>
      </c>
      <c r="DT132" s="229">
        <v>-3.6400000000000002E-2</v>
      </c>
      <c r="DU132" s="231">
        <v>1740</v>
      </c>
      <c r="DV132" s="231">
        <v>1660</v>
      </c>
      <c r="DW132" s="228">
        <v>0.61</v>
      </c>
      <c r="DX132" s="228">
        <v>0.41</v>
      </c>
      <c r="DY132" s="228">
        <v>0.2</v>
      </c>
      <c r="DZ132" s="229">
        <v>0.48780000000000001</v>
      </c>
      <c r="EA132" s="229">
        <v>1.8800000000000001E-2</v>
      </c>
      <c r="EB132" s="230">
        <v>106000</v>
      </c>
      <c r="EC132" s="229">
        <v>5.4000000000000003E-3</v>
      </c>
      <c r="ED132" s="229">
        <v>1.8800000000000001E-2</v>
      </c>
      <c r="EE132" s="228">
        <v>10.37</v>
      </c>
      <c r="EF132" s="229">
        <v>6.1999999999999998E-3</v>
      </c>
      <c r="EG132" s="230">
        <v>182734</v>
      </c>
      <c r="EH132" s="230">
        <v>332361</v>
      </c>
      <c r="EI132" s="229">
        <v>-0.45019999999999999</v>
      </c>
      <c r="EJ132" s="229">
        <v>0.51929999999999998</v>
      </c>
      <c r="EK132" s="228">
        <v>318.23</v>
      </c>
      <c r="EL132" s="228">
        <v>186.02</v>
      </c>
      <c r="EM132" s="228">
        <v>134.19999999999999</v>
      </c>
      <c r="EN132" s="228">
        <v>18</v>
      </c>
      <c r="EO132" s="228">
        <v>638.45000000000005</v>
      </c>
      <c r="EP132" s="228">
        <v>716.22</v>
      </c>
      <c r="EQ132" s="228">
        <v>-77.760000000000005</v>
      </c>
      <c r="ER132" s="229">
        <v>-0.1086</v>
      </c>
      <c r="ES132" s="228">
        <v>329.14</v>
      </c>
      <c r="ET132" s="228">
        <v>161.52000000000001</v>
      </c>
      <c r="EU132" s="231">
        <v>1326.6</v>
      </c>
      <c r="EV132" s="231">
        <v>34712157</v>
      </c>
      <c r="EW132" s="231">
        <v>1817.25</v>
      </c>
      <c r="EX132" s="231">
        <v>1814.03</v>
      </c>
      <c r="EY132" s="228">
        <v>3.22</v>
      </c>
      <c r="EZ132" s="229">
        <v>1.8E-3</v>
      </c>
      <c r="FA132" s="229">
        <v>0.31140000000000001</v>
      </c>
      <c r="FB132" s="227" t="s">
        <v>567</v>
      </c>
      <c r="FC132">
        <f t="shared" si="2"/>
        <v>24</v>
      </c>
    </row>
    <row r="133" spans="1:159" ht="17.25" thickBot="1" x14ac:dyDescent="0.3">
      <c r="A133" s="226">
        <v>46008</v>
      </c>
      <c r="B133" s="227" t="s">
        <v>181</v>
      </c>
      <c r="C133" s="227" t="s">
        <v>563</v>
      </c>
      <c r="D133" s="228">
        <v>140</v>
      </c>
      <c r="E133" s="228">
        <v>13</v>
      </c>
      <c r="F133" s="231">
        <v>13686.05</v>
      </c>
      <c r="G133" s="231">
        <v>13776.85</v>
      </c>
      <c r="H133" s="228">
        <v>-90.8</v>
      </c>
      <c r="I133" s="229">
        <v>-6.6E-3</v>
      </c>
      <c r="J133" s="231">
        <v>13652.3</v>
      </c>
      <c r="K133" s="231">
        <v>13748</v>
      </c>
      <c r="L133" s="228">
        <v>-95.7</v>
      </c>
      <c r="M133" s="229">
        <v>-7.0000000000000001E-3</v>
      </c>
      <c r="N133" s="231">
        <v>13686.05</v>
      </c>
      <c r="O133" s="231">
        <v>13776.85</v>
      </c>
      <c r="P133" s="228">
        <v>-90.8</v>
      </c>
      <c r="Q133" s="229">
        <v>-6.6E-3</v>
      </c>
      <c r="R133" s="231">
        <v>13768.15</v>
      </c>
      <c r="S133" s="231">
        <v>13856.1</v>
      </c>
      <c r="T133" s="228">
        <v>-87.95</v>
      </c>
      <c r="U133" s="229">
        <v>-6.3E-3</v>
      </c>
      <c r="V133" s="231">
        <v>13838.35</v>
      </c>
      <c r="W133" s="231">
        <v>13933</v>
      </c>
      <c r="X133" s="228">
        <v>-94.65</v>
      </c>
      <c r="Y133" s="229">
        <v>-6.7999999999999996E-3</v>
      </c>
      <c r="Z133" s="228">
        <v>33.75</v>
      </c>
      <c r="AA133" s="228">
        <v>28.85</v>
      </c>
      <c r="AB133" s="228">
        <v>4.9000000000000004</v>
      </c>
      <c r="AC133" s="229">
        <v>2.5000000000000001E-3</v>
      </c>
      <c r="AD133" s="228">
        <v>33.75</v>
      </c>
      <c r="AE133" s="228">
        <v>28.85</v>
      </c>
      <c r="AF133" s="228">
        <v>4.9000000000000004</v>
      </c>
      <c r="AG133" s="229">
        <v>2.5000000000000001E-3</v>
      </c>
      <c r="AH133" s="228">
        <v>115.85</v>
      </c>
      <c r="AI133" s="228">
        <v>108.1</v>
      </c>
      <c r="AJ133" s="228">
        <v>7.75</v>
      </c>
      <c r="AK133" s="229">
        <v>8.5000000000000006E-3</v>
      </c>
      <c r="AL133" s="228">
        <v>186.05</v>
      </c>
      <c r="AM133" s="228">
        <v>185</v>
      </c>
      <c r="AN133" s="228">
        <v>1.05</v>
      </c>
      <c r="AO133" s="229">
        <v>1.3599999999999999E-2</v>
      </c>
      <c r="AP133" s="231">
        <v>13732.02</v>
      </c>
      <c r="AQ133" s="231">
        <v>13809.13</v>
      </c>
      <c r="AR133" s="228">
        <v>0</v>
      </c>
      <c r="AS133" s="228">
        <v>587</v>
      </c>
      <c r="AT133" s="228">
        <v>974</v>
      </c>
      <c r="AU133" s="228">
        <v>-388</v>
      </c>
      <c r="AV133" s="229">
        <v>-0.39789999999999998</v>
      </c>
      <c r="AW133" s="228">
        <v>526</v>
      </c>
      <c r="AX133" s="228">
        <v>876</v>
      </c>
      <c r="AY133" s="228">
        <v>-350</v>
      </c>
      <c r="AZ133" s="229">
        <v>-0.39979999999999999</v>
      </c>
      <c r="BA133" s="228">
        <v>56</v>
      </c>
      <c r="BB133" s="228">
        <v>94</v>
      </c>
      <c r="BC133" s="228">
        <v>-38</v>
      </c>
      <c r="BD133" s="229">
        <v>-0.40160000000000001</v>
      </c>
      <c r="BE133" s="228">
        <v>5</v>
      </c>
      <c r="BF133" s="228">
        <v>5</v>
      </c>
      <c r="BG133" s="228">
        <v>0</v>
      </c>
      <c r="BH133" s="229">
        <v>0</v>
      </c>
      <c r="BI133" s="230">
        <v>33909</v>
      </c>
      <c r="BJ133" s="230">
        <v>27859</v>
      </c>
      <c r="BK133" s="230">
        <v>6050</v>
      </c>
      <c r="BL133" s="229">
        <v>0.2172</v>
      </c>
      <c r="BM133" s="230">
        <v>25284</v>
      </c>
      <c r="BN133" s="230">
        <v>23991</v>
      </c>
      <c r="BO133" s="230">
        <v>1293</v>
      </c>
      <c r="BP133" s="229">
        <v>5.3900000000000003E-2</v>
      </c>
      <c r="BQ133" s="230">
        <v>59780</v>
      </c>
      <c r="BR133" s="230">
        <v>52823</v>
      </c>
      <c r="BS133" s="230">
        <v>6956</v>
      </c>
      <c r="BT133" s="229">
        <v>0.13170000000000001</v>
      </c>
      <c r="BU133" s="228">
        <v>0</v>
      </c>
      <c r="BV133" s="228">
        <v>0</v>
      </c>
      <c r="BW133" s="228">
        <v>0</v>
      </c>
      <c r="BX133" s="229">
        <v>0</v>
      </c>
      <c r="BY133" s="230">
        <v>3485</v>
      </c>
      <c r="BZ133" s="230">
        <v>3482</v>
      </c>
      <c r="CA133" s="228">
        <v>4</v>
      </c>
      <c r="CB133" s="229">
        <v>1E-3</v>
      </c>
      <c r="CC133" s="230">
        <v>3298</v>
      </c>
      <c r="CD133" s="230">
        <v>3311</v>
      </c>
      <c r="CE133" s="228">
        <v>-13</v>
      </c>
      <c r="CF133" s="229">
        <v>-3.8999999999999998E-3</v>
      </c>
      <c r="CG133" s="228">
        <v>167</v>
      </c>
      <c r="CH133" s="228">
        <v>151</v>
      </c>
      <c r="CI133" s="228">
        <v>15</v>
      </c>
      <c r="CJ133" s="229">
        <v>0.10100000000000001</v>
      </c>
      <c r="CK133" s="228">
        <v>21</v>
      </c>
      <c r="CL133" s="228">
        <v>19</v>
      </c>
      <c r="CM133" s="228">
        <v>1</v>
      </c>
      <c r="CN133" s="229">
        <v>6.8400000000000002E-2</v>
      </c>
      <c r="CO133" s="230">
        <v>14629</v>
      </c>
      <c r="CP133" s="230">
        <v>13513</v>
      </c>
      <c r="CQ133" s="230">
        <v>1116</v>
      </c>
      <c r="CR133" s="229">
        <v>8.2600000000000007E-2</v>
      </c>
      <c r="CS133" s="230">
        <v>12586</v>
      </c>
      <c r="CT133" s="230">
        <v>12340</v>
      </c>
      <c r="CU133" s="228">
        <v>246</v>
      </c>
      <c r="CV133" s="229">
        <v>1.9900000000000001E-2</v>
      </c>
      <c r="CW133" s="230">
        <v>30701</v>
      </c>
      <c r="CX133" s="230">
        <v>29335</v>
      </c>
      <c r="CY133" s="230">
        <v>1365</v>
      </c>
      <c r="CZ133" s="229">
        <v>4.65E-2</v>
      </c>
      <c r="DA133" s="228">
        <v>15.39</v>
      </c>
      <c r="DB133" s="228">
        <v>15.23</v>
      </c>
      <c r="DC133" s="228">
        <v>0.16</v>
      </c>
      <c r="DD133" s="228">
        <v>0.16</v>
      </c>
      <c r="DE133" s="228">
        <v>21.83</v>
      </c>
      <c r="DF133" s="228">
        <v>21.87</v>
      </c>
      <c r="DG133" s="228">
        <v>-6.44</v>
      </c>
      <c r="DH133" s="228">
        <v>-0.04</v>
      </c>
      <c r="DI133" s="228">
        <v>15.23</v>
      </c>
      <c r="DJ133" s="228">
        <v>14.8</v>
      </c>
      <c r="DK133" s="228">
        <v>0.43</v>
      </c>
      <c r="DL133" s="228">
        <v>0.43</v>
      </c>
      <c r="DM133" s="228">
        <v>15.59</v>
      </c>
      <c r="DN133" s="228">
        <v>15.73</v>
      </c>
      <c r="DO133" s="228">
        <v>-0.14000000000000001</v>
      </c>
      <c r="DP133" s="228">
        <v>-0.14000000000000001</v>
      </c>
      <c r="DQ133" s="228">
        <v>0.86</v>
      </c>
      <c r="DR133" s="228">
        <v>0.91</v>
      </c>
      <c r="DS133" s="228">
        <v>-0.05</v>
      </c>
      <c r="DT133" s="229">
        <v>-5.4899999999999997E-2</v>
      </c>
      <c r="DU133" s="231">
        <v>14000</v>
      </c>
      <c r="DV133" s="231">
        <v>13500</v>
      </c>
      <c r="DW133" s="228">
        <v>0.75</v>
      </c>
      <c r="DX133" s="228">
        <v>0.86</v>
      </c>
      <c r="DY133" s="228">
        <v>-0.11</v>
      </c>
      <c r="DZ133" s="229">
        <v>-0.12790000000000001</v>
      </c>
      <c r="EA133" s="229">
        <v>5.3699999999999998E-2</v>
      </c>
      <c r="EB133" s="230">
        <v>124560</v>
      </c>
      <c r="EC133" s="229">
        <v>6.0000000000000001E-3</v>
      </c>
      <c r="ED133" s="229">
        <v>5.3699999999999998E-2</v>
      </c>
      <c r="EE133" s="228">
        <v>77.11</v>
      </c>
      <c r="EF133" s="229">
        <v>5.5999999999999999E-3</v>
      </c>
      <c r="EG133" s="228">
        <v>0</v>
      </c>
      <c r="EH133" s="228">
        <v>0</v>
      </c>
      <c r="EI133" s="229">
        <v>0</v>
      </c>
      <c r="EJ133" s="229">
        <v>0</v>
      </c>
      <c r="EK133" s="231">
        <v>34988.25</v>
      </c>
      <c r="EL133" s="231">
        <v>25111.22</v>
      </c>
      <c r="EM133" s="228">
        <v>580.04999999999995</v>
      </c>
      <c r="EN133" s="228">
        <v>0</v>
      </c>
      <c r="EO133" s="231">
        <v>60679.519999999997</v>
      </c>
      <c r="EP133" s="231">
        <v>53780.9</v>
      </c>
      <c r="EQ133" s="231">
        <v>6898.62</v>
      </c>
      <c r="ER133" s="229">
        <v>0.1283</v>
      </c>
      <c r="ES133" s="231">
        <v>15218.72</v>
      </c>
      <c r="ET133" s="231">
        <v>12278.13</v>
      </c>
      <c r="EU133" s="231">
        <v>3486.57</v>
      </c>
      <c r="EV133" s="228">
        <v>0</v>
      </c>
      <c r="EW133" s="231">
        <v>30983.43</v>
      </c>
      <c r="EX133" s="231">
        <v>29654.39</v>
      </c>
      <c r="EY133" s="231">
        <v>1329.04</v>
      </c>
      <c r="EZ133" s="229">
        <v>4.48E-2</v>
      </c>
      <c r="FA133" s="229">
        <v>0</v>
      </c>
      <c r="FB133" s="227" t="s">
        <v>567</v>
      </c>
      <c r="FC133">
        <f t="shared" si="2"/>
        <v>187</v>
      </c>
    </row>
    <row r="134" spans="1:159" ht="17.25" thickBot="1" x14ac:dyDescent="0.3">
      <c r="A134" s="226">
        <v>46008</v>
      </c>
      <c r="B134" s="227" t="s">
        <v>162</v>
      </c>
      <c r="C134" s="227" t="s">
        <v>559</v>
      </c>
      <c r="D134" s="228">
        <v>6150</v>
      </c>
      <c r="E134" s="228">
        <v>13</v>
      </c>
      <c r="F134" s="228">
        <v>119.73</v>
      </c>
      <c r="G134" s="228">
        <v>119.97</v>
      </c>
      <c r="H134" s="228">
        <v>-0.24</v>
      </c>
      <c r="I134" s="229">
        <v>-2E-3</v>
      </c>
      <c r="J134" s="228">
        <v>119.56</v>
      </c>
      <c r="K134" s="228">
        <v>119.57</v>
      </c>
      <c r="L134" s="228">
        <v>-0.01</v>
      </c>
      <c r="M134" s="229">
        <v>-1E-4</v>
      </c>
      <c r="N134" s="228">
        <v>119.73</v>
      </c>
      <c r="O134" s="228">
        <v>119.97</v>
      </c>
      <c r="P134" s="228">
        <v>-0.24</v>
      </c>
      <c r="Q134" s="229">
        <v>-2E-3</v>
      </c>
      <c r="R134" s="228">
        <v>120.37</v>
      </c>
      <c r="S134" s="228">
        <v>120.71</v>
      </c>
      <c r="T134" s="228">
        <v>-0.34</v>
      </c>
      <c r="U134" s="229">
        <v>-2.8E-3</v>
      </c>
      <c r="V134" s="228">
        <v>121.14</v>
      </c>
      <c r="W134" s="228">
        <v>121.2</v>
      </c>
      <c r="X134" s="228">
        <v>-0.06</v>
      </c>
      <c r="Y134" s="229">
        <v>-5.0000000000000001E-4</v>
      </c>
      <c r="Z134" s="228">
        <v>0.17</v>
      </c>
      <c r="AA134" s="228">
        <v>0.4</v>
      </c>
      <c r="AB134" s="228">
        <v>-0.23</v>
      </c>
      <c r="AC134" s="229">
        <v>1.4E-3</v>
      </c>
      <c r="AD134" s="228">
        <v>0.17</v>
      </c>
      <c r="AE134" s="228">
        <v>0.4</v>
      </c>
      <c r="AF134" s="228">
        <v>-0.23</v>
      </c>
      <c r="AG134" s="229">
        <v>1.4E-3</v>
      </c>
      <c r="AH134" s="228">
        <v>0.81</v>
      </c>
      <c r="AI134" s="228">
        <v>1.1399999999999999</v>
      </c>
      <c r="AJ134" s="228">
        <v>-0.33</v>
      </c>
      <c r="AK134" s="229">
        <v>6.7999999999999996E-3</v>
      </c>
      <c r="AL134" s="228">
        <v>1.58</v>
      </c>
      <c r="AM134" s="228">
        <v>1.63</v>
      </c>
      <c r="AN134" s="228">
        <v>-0.05</v>
      </c>
      <c r="AO134" s="229">
        <v>1.32E-2</v>
      </c>
      <c r="AP134" s="228">
        <v>120.16</v>
      </c>
      <c r="AQ134" s="228">
        <v>120.82</v>
      </c>
      <c r="AR134" s="228">
        <v>0</v>
      </c>
      <c r="AS134" s="228">
        <v>182</v>
      </c>
      <c r="AT134" s="228">
        <v>159</v>
      </c>
      <c r="AU134" s="228">
        <v>23</v>
      </c>
      <c r="AV134" s="229">
        <v>0.14779999999999999</v>
      </c>
      <c r="AW134" s="228">
        <v>149</v>
      </c>
      <c r="AX134" s="228">
        <v>135</v>
      </c>
      <c r="AY134" s="228">
        <v>13</v>
      </c>
      <c r="AZ134" s="229">
        <v>9.6199999999999994E-2</v>
      </c>
      <c r="BA134" s="228">
        <v>32</v>
      </c>
      <c r="BB134" s="228">
        <v>16</v>
      </c>
      <c r="BC134" s="228">
        <v>16</v>
      </c>
      <c r="BD134" s="229">
        <v>0.95069999999999999</v>
      </c>
      <c r="BE134" s="228">
        <v>2</v>
      </c>
      <c r="BF134" s="228">
        <v>7</v>
      </c>
      <c r="BG134" s="228">
        <v>-5</v>
      </c>
      <c r="BH134" s="229">
        <v>-0.73680000000000001</v>
      </c>
      <c r="BI134" s="228">
        <v>458</v>
      </c>
      <c r="BJ134" s="228">
        <v>256</v>
      </c>
      <c r="BK134" s="228">
        <v>202</v>
      </c>
      <c r="BL134" s="229">
        <v>0.78659999999999997</v>
      </c>
      <c r="BM134" s="228">
        <v>213</v>
      </c>
      <c r="BN134" s="228">
        <v>142</v>
      </c>
      <c r="BO134" s="228">
        <v>71</v>
      </c>
      <c r="BP134" s="229">
        <v>0.49840000000000001</v>
      </c>
      <c r="BQ134" s="228">
        <v>853</v>
      </c>
      <c r="BR134" s="228">
        <v>557</v>
      </c>
      <c r="BS134" s="228">
        <v>296</v>
      </c>
      <c r="BT134" s="229">
        <v>0.53110000000000002</v>
      </c>
      <c r="BU134" s="230">
        <v>7357971</v>
      </c>
      <c r="BV134" s="230">
        <v>8060730</v>
      </c>
      <c r="BW134" s="230">
        <v>-702759</v>
      </c>
      <c r="BX134" s="229">
        <v>-8.72E-2</v>
      </c>
      <c r="BY134" s="230">
        <v>2277</v>
      </c>
      <c r="BZ134" s="230">
        <v>2260</v>
      </c>
      <c r="CA134" s="228">
        <v>17</v>
      </c>
      <c r="CB134" s="229">
        <v>7.4000000000000003E-3</v>
      </c>
      <c r="CC134" s="230">
        <v>2188</v>
      </c>
      <c r="CD134" s="230">
        <v>2183</v>
      </c>
      <c r="CE134" s="228">
        <v>5</v>
      </c>
      <c r="CF134" s="229">
        <v>2.3E-3</v>
      </c>
      <c r="CG134" s="228">
        <v>68</v>
      </c>
      <c r="CH134" s="228">
        <v>56</v>
      </c>
      <c r="CI134" s="228">
        <v>12</v>
      </c>
      <c r="CJ134" s="229">
        <v>0.21460000000000001</v>
      </c>
      <c r="CK134" s="228">
        <v>22</v>
      </c>
      <c r="CL134" s="228">
        <v>22</v>
      </c>
      <c r="CM134" s="228">
        <v>0</v>
      </c>
      <c r="CN134" s="229">
        <v>-3.3E-3</v>
      </c>
      <c r="CO134" s="228">
        <v>731</v>
      </c>
      <c r="CP134" s="228">
        <v>724</v>
      </c>
      <c r="CQ134" s="228">
        <v>7</v>
      </c>
      <c r="CR134" s="229">
        <v>8.9999999999999993E-3</v>
      </c>
      <c r="CS134" s="228">
        <v>574</v>
      </c>
      <c r="CT134" s="228">
        <v>581</v>
      </c>
      <c r="CU134" s="228">
        <v>-7</v>
      </c>
      <c r="CV134" s="229">
        <v>-1.2500000000000001E-2</v>
      </c>
      <c r="CW134" s="230">
        <v>3582</v>
      </c>
      <c r="CX134" s="230">
        <v>3566</v>
      </c>
      <c r="CY134" s="228">
        <v>16</v>
      </c>
      <c r="CZ134" s="229">
        <v>4.4999999999999997E-3</v>
      </c>
      <c r="DA134" s="228">
        <v>26.75</v>
      </c>
      <c r="DB134" s="228">
        <v>26.78</v>
      </c>
      <c r="DC134" s="228">
        <v>-0.03</v>
      </c>
      <c r="DD134" s="228">
        <v>-0.03</v>
      </c>
      <c r="DE134" s="228">
        <v>39.020000000000003</v>
      </c>
      <c r="DF134" s="228">
        <v>39.11</v>
      </c>
      <c r="DG134" s="228">
        <v>-12.27</v>
      </c>
      <c r="DH134" s="228">
        <v>-0.09</v>
      </c>
      <c r="DI134" s="228">
        <v>26.63</v>
      </c>
      <c r="DJ134" s="228">
        <v>26.13</v>
      </c>
      <c r="DK134" s="228">
        <v>0.5</v>
      </c>
      <c r="DL134" s="228">
        <v>0.5</v>
      </c>
      <c r="DM134" s="228">
        <v>27.01</v>
      </c>
      <c r="DN134" s="228">
        <v>27.96</v>
      </c>
      <c r="DO134" s="228">
        <v>-0.95</v>
      </c>
      <c r="DP134" s="228">
        <v>-0.95</v>
      </c>
      <c r="DQ134" s="228">
        <v>0.79</v>
      </c>
      <c r="DR134" s="228">
        <v>0.8</v>
      </c>
      <c r="DS134" s="228">
        <v>-0.01</v>
      </c>
      <c r="DT134" s="229">
        <v>-1.2500000000000001E-2</v>
      </c>
      <c r="DU134" s="228">
        <v>120</v>
      </c>
      <c r="DV134" s="228">
        <v>110</v>
      </c>
      <c r="DW134" s="228">
        <v>0.46</v>
      </c>
      <c r="DX134" s="228">
        <v>0.55000000000000004</v>
      </c>
      <c r="DY134" s="228">
        <v>-0.09</v>
      </c>
      <c r="DZ134" s="229">
        <v>-0.1636</v>
      </c>
      <c r="EA134" s="229">
        <v>3.9300000000000002E-2</v>
      </c>
      <c r="EB134" s="230">
        <v>6482100</v>
      </c>
      <c r="EC134" s="229">
        <v>5.3E-3</v>
      </c>
      <c r="ED134" s="229">
        <v>3.9300000000000002E-2</v>
      </c>
      <c r="EE134" s="228">
        <v>0.66</v>
      </c>
      <c r="EF134" s="229">
        <v>5.4999999999999997E-3</v>
      </c>
      <c r="EG134" s="230">
        <v>3347263</v>
      </c>
      <c r="EH134" s="230">
        <v>5699437</v>
      </c>
      <c r="EI134" s="229">
        <v>-0.41270000000000001</v>
      </c>
      <c r="EJ134" s="229">
        <v>0.45490000000000003</v>
      </c>
      <c r="EK134" s="228">
        <v>475</v>
      </c>
      <c r="EL134" s="228">
        <v>209.58</v>
      </c>
      <c r="EM134" s="228">
        <v>183.25</v>
      </c>
      <c r="EN134" s="228">
        <v>35.4</v>
      </c>
      <c r="EO134" s="228">
        <v>867.83</v>
      </c>
      <c r="EP134" s="228">
        <v>566.11</v>
      </c>
      <c r="EQ134" s="228">
        <v>301.72000000000003</v>
      </c>
      <c r="ER134" s="229">
        <v>0.53300000000000003</v>
      </c>
      <c r="ES134" s="228">
        <v>743.54</v>
      </c>
      <c r="ET134" s="228">
        <v>538.13</v>
      </c>
      <c r="EU134" s="231">
        <v>2277.8200000000002</v>
      </c>
      <c r="EV134" s="231">
        <v>542522848</v>
      </c>
      <c r="EW134" s="231">
        <v>3559.49</v>
      </c>
      <c r="EX134" s="231">
        <v>3545.36</v>
      </c>
      <c r="EY134" s="228">
        <v>14.13</v>
      </c>
      <c r="EZ134" s="229">
        <v>4.0000000000000001E-3</v>
      </c>
      <c r="FA134" s="229">
        <v>0.55149999999999999</v>
      </c>
      <c r="FB134" s="227" t="s">
        <v>567</v>
      </c>
      <c r="FC134">
        <f t="shared" si="2"/>
        <v>89</v>
      </c>
    </row>
    <row r="135" spans="1:159" ht="17.25" thickBot="1" x14ac:dyDescent="0.3">
      <c r="A135" s="226">
        <v>46008</v>
      </c>
      <c r="B135" s="227" t="s">
        <v>221</v>
      </c>
      <c r="C135" s="227" t="s">
        <v>487</v>
      </c>
      <c r="D135" s="228">
        <v>275</v>
      </c>
      <c r="E135" s="228">
        <v>13</v>
      </c>
      <c r="F135" s="231">
        <v>2868.4</v>
      </c>
      <c r="G135" s="231">
        <v>2866.9</v>
      </c>
      <c r="H135" s="228">
        <v>1.5</v>
      </c>
      <c r="I135" s="229">
        <v>5.0000000000000001E-4</v>
      </c>
      <c r="J135" s="231">
        <v>2865.3</v>
      </c>
      <c r="K135" s="231">
        <v>2863.1</v>
      </c>
      <c r="L135" s="228">
        <v>2.2000000000000002</v>
      </c>
      <c r="M135" s="229">
        <v>8.0000000000000004E-4</v>
      </c>
      <c r="N135" s="231">
        <v>2868.4</v>
      </c>
      <c r="O135" s="231">
        <v>2866.9</v>
      </c>
      <c r="P135" s="228">
        <v>1.5</v>
      </c>
      <c r="Q135" s="229">
        <v>5.0000000000000001E-4</v>
      </c>
      <c r="R135" s="231">
        <v>2886.3</v>
      </c>
      <c r="S135" s="231">
        <v>2882</v>
      </c>
      <c r="T135" s="228">
        <v>4.3</v>
      </c>
      <c r="U135" s="229">
        <v>1.5E-3</v>
      </c>
      <c r="V135" s="231">
        <v>2902.7</v>
      </c>
      <c r="W135" s="231">
        <v>2897.9</v>
      </c>
      <c r="X135" s="228">
        <v>4.8</v>
      </c>
      <c r="Y135" s="229">
        <v>1.6999999999999999E-3</v>
      </c>
      <c r="Z135" s="228">
        <v>3.1</v>
      </c>
      <c r="AA135" s="228">
        <v>3.8</v>
      </c>
      <c r="AB135" s="228">
        <v>-0.7</v>
      </c>
      <c r="AC135" s="229">
        <v>1.1000000000000001E-3</v>
      </c>
      <c r="AD135" s="228">
        <v>3.1</v>
      </c>
      <c r="AE135" s="228">
        <v>3.8</v>
      </c>
      <c r="AF135" s="228">
        <v>-0.7</v>
      </c>
      <c r="AG135" s="229">
        <v>1.1000000000000001E-3</v>
      </c>
      <c r="AH135" s="228">
        <v>21</v>
      </c>
      <c r="AI135" s="228">
        <v>18.899999999999999</v>
      </c>
      <c r="AJ135" s="228">
        <v>2.1</v>
      </c>
      <c r="AK135" s="229">
        <v>7.3000000000000001E-3</v>
      </c>
      <c r="AL135" s="228">
        <v>37.4</v>
      </c>
      <c r="AM135" s="228">
        <v>34.799999999999997</v>
      </c>
      <c r="AN135" s="228">
        <v>2.6</v>
      </c>
      <c r="AO135" s="229">
        <v>1.3100000000000001E-2</v>
      </c>
      <c r="AP135" s="231">
        <v>2876.12</v>
      </c>
      <c r="AQ135" s="231">
        <v>2892.78</v>
      </c>
      <c r="AR135" s="228">
        <v>0</v>
      </c>
      <c r="AS135" s="228">
        <v>163</v>
      </c>
      <c r="AT135" s="228">
        <v>199</v>
      </c>
      <c r="AU135" s="228">
        <v>-36</v>
      </c>
      <c r="AV135" s="229">
        <v>-0.18049999999999999</v>
      </c>
      <c r="AW135" s="228">
        <v>138</v>
      </c>
      <c r="AX135" s="228">
        <v>183</v>
      </c>
      <c r="AY135" s="228">
        <v>-45</v>
      </c>
      <c r="AZ135" s="229">
        <v>-0.2462</v>
      </c>
      <c r="BA135" s="228">
        <v>25</v>
      </c>
      <c r="BB135" s="228">
        <v>16</v>
      </c>
      <c r="BC135" s="228">
        <v>9</v>
      </c>
      <c r="BD135" s="229">
        <v>0.60909999999999997</v>
      </c>
      <c r="BE135" s="228">
        <v>0</v>
      </c>
      <c r="BF135" s="228">
        <v>0</v>
      </c>
      <c r="BG135" s="228">
        <v>0</v>
      </c>
      <c r="BH135" s="229">
        <v>-0.66669999999999996</v>
      </c>
      <c r="BI135" s="228">
        <v>350</v>
      </c>
      <c r="BJ135" s="228">
        <v>337</v>
      </c>
      <c r="BK135" s="228">
        <v>13</v>
      </c>
      <c r="BL135" s="229">
        <v>3.9100000000000003E-2</v>
      </c>
      <c r="BM135" s="228">
        <v>97</v>
      </c>
      <c r="BN135" s="228">
        <v>255</v>
      </c>
      <c r="BO135" s="228">
        <v>-159</v>
      </c>
      <c r="BP135" s="229">
        <v>-0.62119999999999997</v>
      </c>
      <c r="BQ135" s="228">
        <v>610</v>
      </c>
      <c r="BR135" s="228">
        <v>792</v>
      </c>
      <c r="BS135" s="228">
        <v>-182</v>
      </c>
      <c r="BT135" s="229">
        <v>-0.2293</v>
      </c>
      <c r="BU135" s="230">
        <v>254423</v>
      </c>
      <c r="BV135" s="230">
        <v>245064</v>
      </c>
      <c r="BW135" s="230">
        <v>9359</v>
      </c>
      <c r="BX135" s="229">
        <v>3.8199999999999998E-2</v>
      </c>
      <c r="BY135" s="230">
        <v>1839</v>
      </c>
      <c r="BZ135" s="230">
        <v>1828</v>
      </c>
      <c r="CA135" s="228">
        <v>11</v>
      </c>
      <c r="CB135" s="229">
        <v>6.0000000000000001E-3</v>
      </c>
      <c r="CC135" s="230">
        <v>1798</v>
      </c>
      <c r="CD135" s="230">
        <v>1799</v>
      </c>
      <c r="CE135" s="228">
        <v>-1</v>
      </c>
      <c r="CF135" s="229">
        <v>-6.9999999999999999E-4</v>
      </c>
      <c r="CG135" s="228">
        <v>38</v>
      </c>
      <c r="CH135" s="228">
        <v>26</v>
      </c>
      <c r="CI135" s="228">
        <v>12</v>
      </c>
      <c r="CJ135" s="229">
        <v>0.46989999999999998</v>
      </c>
      <c r="CK135" s="228">
        <v>2</v>
      </c>
      <c r="CL135" s="228">
        <v>2</v>
      </c>
      <c r="CM135" s="228">
        <v>0</v>
      </c>
      <c r="CN135" s="229">
        <v>-3.3300000000000003E-2</v>
      </c>
      <c r="CO135" s="228">
        <v>392</v>
      </c>
      <c r="CP135" s="228">
        <v>384</v>
      </c>
      <c r="CQ135" s="228">
        <v>9</v>
      </c>
      <c r="CR135" s="229">
        <v>2.24E-2</v>
      </c>
      <c r="CS135" s="228">
        <v>301</v>
      </c>
      <c r="CT135" s="228">
        <v>293</v>
      </c>
      <c r="CU135" s="228">
        <v>7</v>
      </c>
      <c r="CV135" s="229">
        <v>2.4500000000000001E-2</v>
      </c>
      <c r="CW135" s="230">
        <v>2531</v>
      </c>
      <c r="CX135" s="230">
        <v>2505</v>
      </c>
      <c r="CY135" s="228">
        <v>27</v>
      </c>
      <c r="CZ135" s="229">
        <v>1.0699999999999999E-2</v>
      </c>
      <c r="DA135" s="228">
        <v>25.56</v>
      </c>
      <c r="DB135" s="228">
        <v>25.85</v>
      </c>
      <c r="DC135" s="228">
        <v>-0.28999999999999998</v>
      </c>
      <c r="DD135" s="228">
        <v>-0.28999999999999998</v>
      </c>
      <c r="DE135" s="228">
        <v>36</v>
      </c>
      <c r="DF135" s="228">
        <v>36.090000000000003</v>
      </c>
      <c r="DG135" s="228">
        <v>-10.44</v>
      </c>
      <c r="DH135" s="228">
        <v>-0.09</v>
      </c>
      <c r="DI135" s="228">
        <v>25.5</v>
      </c>
      <c r="DJ135" s="228">
        <v>26.2</v>
      </c>
      <c r="DK135" s="228">
        <v>-0.7</v>
      </c>
      <c r="DL135" s="228">
        <v>-0.7</v>
      </c>
      <c r="DM135" s="228">
        <v>25.81</v>
      </c>
      <c r="DN135" s="228">
        <v>25.38</v>
      </c>
      <c r="DO135" s="228">
        <v>0.43</v>
      </c>
      <c r="DP135" s="228">
        <v>0.43</v>
      </c>
      <c r="DQ135" s="228">
        <v>0.77</v>
      </c>
      <c r="DR135" s="228">
        <v>0.76</v>
      </c>
      <c r="DS135" s="228">
        <v>0.01</v>
      </c>
      <c r="DT135" s="229">
        <v>1.32E-2</v>
      </c>
      <c r="DU135" s="231">
        <v>2900</v>
      </c>
      <c r="DV135" s="231">
        <v>2750</v>
      </c>
      <c r="DW135" s="228">
        <v>0.28000000000000003</v>
      </c>
      <c r="DX135" s="228">
        <v>0.76</v>
      </c>
      <c r="DY135" s="228">
        <v>-0.48</v>
      </c>
      <c r="DZ135" s="229">
        <v>-0.63160000000000005</v>
      </c>
      <c r="EA135" s="229">
        <v>2.2200000000000001E-2</v>
      </c>
      <c r="EB135" s="230">
        <v>99550</v>
      </c>
      <c r="EC135" s="229">
        <v>6.1999999999999998E-3</v>
      </c>
      <c r="ED135" s="229">
        <v>2.2200000000000001E-2</v>
      </c>
      <c r="EE135" s="228">
        <v>16.66</v>
      </c>
      <c r="EF135" s="229">
        <v>5.7999999999999996E-3</v>
      </c>
      <c r="EG135" s="230">
        <v>138004</v>
      </c>
      <c r="EH135" s="230">
        <v>113958</v>
      </c>
      <c r="EI135" s="229">
        <v>0.21099999999999999</v>
      </c>
      <c r="EJ135" s="229">
        <v>0.54239999999999999</v>
      </c>
      <c r="EK135" s="228">
        <v>364.73</v>
      </c>
      <c r="EL135" s="228">
        <v>94.98</v>
      </c>
      <c r="EM135" s="228">
        <v>163.87</v>
      </c>
      <c r="EN135" s="228">
        <v>18.53</v>
      </c>
      <c r="EO135" s="228">
        <v>623.58000000000004</v>
      </c>
      <c r="EP135" s="228">
        <v>806.91</v>
      </c>
      <c r="EQ135" s="228">
        <v>-183.34</v>
      </c>
      <c r="ER135" s="229">
        <v>-0.22720000000000001</v>
      </c>
      <c r="ES135" s="228">
        <v>412.09</v>
      </c>
      <c r="ET135" s="228">
        <v>286.31</v>
      </c>
      <c r="EU135" s="231">
        <v>1838.83</v>
      </c>
      <c r="EV135" s="231">
        <v>14652855</v>
      </c>
      <c r="EW135" s="231">
        <v>2537.23</v>
      </c>
      <c r="EX135" s="231">
        <v>2509.4</v>
      </c>
      <c r="EY135" s="228">
        <v>27.83</v>
      </c>
      <c r="EZ135" s="229">
        <v>1.11E-2</v>
      </c>
      <c r="FA135" s="229">
        <v>0.60229999999999995</v>
      </c>
      <c r="FB135" s="227" t="s">
        <v>555</v>
      </c>
      <c r="FC135">
        <f t="shared" si="2"/>
        <v>41</v>
      </c>
    </row>
    <row r="136" spans="1:159" ht="17.25" thickBot="1" x14ac:dyDescent="0.3">
      <c r="A136" s="226">
        <v>46008</v>
      </c>
      <c r="B136" s="227" t="s">
        <v>175</v>
      </c>
      <c r="C136" s="227" t="s">
        <v>262</v>
      </c>
      <c r="D136" s="228">
        <v>275</v>
      </c>
      <c r="E136" s="228">
        <v>13</v>
      </c>
      <c r="F136" s="231">
        <v>3769.2</v>
      </c>
      <c r="G136" s="231">
        <v>3850.4</v>
      </c>
      <c r="H136" s="228">
        <v>-81.2</v>
      </c>
      <c r="I136" s="229">
        <v>-2.1100000000000001E-2</v>
      </c>
      <c r="J136" s="231">
        <v>3766.5</v>
      </c>
      <c r="K136" s="231">
        <v>3847</v>
      </c>
      <c r="L136" s="228">
        <v>-80.5</v>
      </c>
      <c r="M136" s="229">
        <v>-2.0899999999999998E-2</v>
      </c>
      <c r="N136" s="231">
        <v>3769.2</v>
      </c>
      <c r="O136" s="231">
        <v>3850.4</v>
      </c>
      <c r="P136" s="228">
        <v>-81.2</v>
      </c>
      <c r="Q136" s="229">
        <v>-2.1100000000000001E-2</v>
      </c>
      <c r="R136" s="231">
        <v>3791.7</v>
      </c>
      <c r="S136" s="231">
        <v>3871.4</v>
      </c>
      <c r="T136" s="228">
        <v>-79.7</v>
      </c>
      <c r="U136" s="229">
        <v>-2.06E-2</v>
      </c>
      <c r="V136" s="231">
        <v>3808.4</v>
      </c>
      <c r="W136" s="231">
        <v>3881.3</v>
      </c>
      <c r="X136" s="228">
        <v>-72.900000000000006</v>
      </c>
      <c r="Y136" s="229">
        <v>-1.8800000000000001E-2</v>
      </c>
      <c r="Z136" s="228">
        <v>2.7</v>
      </c>
      <c r="AA136" s="228">
        <v>3.4</v>
      </c>
      <c r="AB136" s="228">
        <v>-0.7</v>
      </c>
      <c r="AC136" s="229">
        <v>6.9999999999999999E-4</v>
      </c>
      <c r="AD136" s="228">
        <v>2.7</v>
      </c>
      <c r="AE136" s="228">
        <v>3.4</v>
      </c>
      <c r="AF136" s="228">
        <v>-0.7</v>
      </c>
      <c r="AG136" s="229">
        <v>6.9999999999999999E-4</v>
      </c>
      <c r="AH136" s="228">
        <v>25.2</v>
      </c>
      <c r="AI136" s="228">
        <v>24.4</v>
      </c>
      <c r="AJ136" s="228">
        <v>0.8</v>
      </c>
      <c r="AK136" s="229">
        <v>6.7000000000000002E-3</v>
      </c>
      <c r="AL136" s="228">
        <v>41.9</v>
      </c>
      <c r="AM136" s="228">
        <v>34.299999999999997</v>
      </c>
      <c r="AN136" s="228">
        <v>7.6</v>
      </c>
      <c r="AO136" s="229">
        <v>1.11E-2</v>
      </c>
      <c r="AP136" s="231">
        <v>3807.42</v>
      </c>
      <c r="AQ136" s="231">
        <v>3837.95</v>
      </c>
      <c r="AR136" s="228">
        <v>0</v>
      </c>
      <c r="AS136" s="228">
        <v>520</v>
      </c>
      <c r="AT136" s="228">
        <v>312</v>
      </c>
      <c r="AU136" s="228">
        <v>208</v>
      </c>
      <c r="AV136" s="229">
        <v>0.66679999999999995</v>
      </c>
      <c r="AW136" s="228">
        <v>400</v>
      </c>
      <c r="AX136" s="228">
        <v>286</v>
      </c>
      <c r="AY136" s="228">
        <v>115</v>
      </c>
      <c r="AZ136" s="229">
        <v>0.40079999999999999</v>
      </c>
      <c r="BA136" s="228">
        <v>110</v>
      </c>
      <c r="BB136" s="228">
        <v>24</v>
      </c>
      <c r="BC136" s="228">
        <v>86</v>
      </c>
      <c r="BD136" s="229">
        <v>3.5407999999999999</v>
      </c>
      <c r="BE136" s="228">
        <v>10</v>
      </c>
      <c r="BF136" s="228">
        <v>2</v>
      </c>
      <c r="BG136" s="228">
        <v>8</v>
      </c>
      <c r="BH136" s="229">
        <v>3.85</v>
      </c>
      <c r="BI136" s="230">
        <v>2603</v>
      </c>
      <c r="BJ136" s="230">
        <v>1002</v>
      </c>
      <c r="BK136" s="230">
        <v>1601</v>
      </c>
      <c r="BL136" s="229">
        <v>1.5978000000000001</v>
      </c>
      <c r="BM136" s="230">
        <v>1066</v>
      </c>
      <c r="BN136" s="228">
        <v>585</v>
      </c>
      <c r="BO136" s="228">
        <v>481</v>
      </c>
      <c r="BP136" s="229">
        <v>0.82099999999999995</v>
      </c>
      <c r="BQ136" s="230">
        <v>4189</v>
      </c>
      <c r="BR136" s="230">
        <v>1899</v>
      </c>
      <c r="BS136" s="230">
        <v>2289</v>
      </c>
      <c r="BT136" s="229">
        <v>1.2054</v>
      </c>
      <c r="BU136" s="230">
        <v>291470</v>
      </c>
      <c r="BV136" s="230">
        <v>183931</v>
      </c>
      <c r="BW136" s="230">
        <v>107539</v>
      </c>
      <c r="BX136" s="229">
        <v>0.5847</v>
      </c>
      <c r="BY136" s="230">
        <v>1192</v>
      </c>
      <c r="BZ136" s="230">
        <v>1101</v>
      </c>
      <c r="CA136" s="228">
        <v>91</v>
      </c>
      <c r="CB136" s="229">
        <v>8.2900000000000001E-2</v>
      </c>
      <c r="CC136" s="230">
        <v>1052</v>
      </c>
      <c r="CD136" s="230">
        <v>1005</v>
      </c>
      <c r="CE136" s="228">
        <v>47</v>
      </c>
      <c r="CF136" s="229">
        <v>4.6399999999999997E-2</v>
      </c>
      <c r="CG136" s="228">
        <v>126</v>
      </c>
      <c r="CH136" s="228">
        <v>83</v>
      </c>
      <c r="CI136" s="228">
        <v>43</v>
      </c>
      <c r="CJ136" s="229">
        <v>0.52129999999999999</v>
      </c>
      <c r="CK136" s="228">
        <v>15</v>
      </c>
      <c r="CL136" s="228">
        <v>13</v>
      </c>
      <c r="CM136" s="228">
        <v>1</v>
      </c>
      <c r="CN136" s="229">
        <v>0.1111</v>
      </c>
      <c r="CO136" s="230">
        <v>1309</v>
      </c>
      <c r="CP136" s="230">
        <v>1265</v>
      </c>
      <c r="CQ136" s="228">
        <v>45</v>
      </c>
      <c r="CR136" s="229">
        <v>3.5400000000000001E-2</v>
      </c>
      <c r="CS136" s="228">
        <v>682</v>
      </c>
      <c r="CT136" s="228">
        <v>693</v>
      </c>
      <c r="CU136" s="228">
        <v>-11</v>
      </c>
      <c r="CV136" s="229">
        <v>-1.6299999999999999E-2</v>
      </c>
      <c r="CW136" s="230">
        <v>3183</v>
      </c>
      <c r="CX136" s="230">
        <v>3059</v>
      </c>
      <c r="CY136" s="228">
        <v>125</v>
      </c>
      <c r="CZ136" s="229">
        <v>4.0800000000000003E-2</v>
      </c>
      <c r="DA136" s="228">
        <v>24.12</v>
      </c>
      <c r="DB136" s="228">
        <v>24.84</v>
      </c>
      <c r="DC136" s="228">
        <v>-0.72</v>
      </c>
      <c r="DD136" s="228">
        <v>-0.72</v>
      </c>
      <c r="DE136" s="228">
        <v>36.36</v>
      </c>
      <c r="DF136" s="228">
        <v>36.33</v>
      </c>
      <c r="DG136" s="228">
        <v>-12.24</v>
      </c>
      <c r="DH136" s="228">
        <v>0.03</v>
      </c>
      <c r="DI136" s="228">
        <v>24.42</v>
      </c>
      <c r="DJ136" s="228">
        <v>24.61</v>
      </c>
      <c r="DK136" s="228">
        <v>-0.19</v>
      </c>
      <c r="DL136" s="228">
        <v>-0.19</v>
      </c>
      <c r="DM136" s="228">
        <v>23.38</v>
      </c>
      <c r="DN136" s="228">
        <v>25.22</v>
      </c>
      <c r="DO136" s="228">
        <v>-1.84</v>
      </c>
      <c r="DP136" s="228">
        <v>-1.84</v>
      </c>
      <c r="DQ136" s="228">
        <v>0.52</v>
      </c>
      <c r="DR136" s="228">
        <v>0.55000000000000004</v>
      </c>
      <c r="DS136" s="228">
        <v>-0.03</v>
      </c>
      <c r="DT136" s="229">
        <v>-5.45E-2</v>
      </c>
      <c r="DU136" s="231">
        <v>3800</v>
      </c>
      <c r="DV136" s="231">
        <v>3700</v>
      </c>
      <c r="DW136" s="228">
        <v>0.41</v>
      </c>
      <c r="DX136" s="228">
        <v>0.57999999999999996</v>
      </c>
      <c r="DY136" s="228">
        <v>-0.17</v>
      </c>
      <c r="DZ136" s="229">
        <v>-0.29310000000000003</v>
      </c>
      <c r="EA136" s="229">
        <v>0.1177</v>
      </c>
      <c r="EB136" s="230">
        <v>254100</v>
      </c>
      <c r="EC136" s="229">
        <v>6.0000000000000001E-3</v>
      </c>
      <c r="ED136" s="229">
        <v>0.1177</v>
      </c>
      <c r="EE136" s="228">
        <v>30.53</v>
      </c>
      <c r="EF136" s="229">
        <v>8.0000000000000002E-3</v>
      </c>
      <c r="EG136" s="230">
        <v>144979</v>
      </c>
      <c r="EH136" s="230">
        <v>83345</v>
      </c>
      <c r="EI136" s="229">
        <v>0.73950000000000005</v>
      </c>
      <c r="EJ136" s="229">
        <v>0.49740000000000001</v>
      </c>
      <c r="EK136" s="231">
        <v>2739.76</v>
      </c>
      <c r="EL136" s="231">
        <v>1066.71</v>
      </c>
      <c r="EM136" s="228">
        <v>526.26</v>
      </c>
      <c r="EN136" s="228">
        <v>30.86</v>
      </c>
      <c r="EO136" s="231">
        <v>4332.7299999999996</v>
      </c>
      <c r="EP136" s="231">
        <v>1963.85</v>
      </c>
      <c r="EQ136" s="231">
        <v>2368.88</v>
      </c>
      <c r="ER136" s="229">
        <v>1.2061999999999999</v>
      </c>
      <c r="ES136" s="231">
        <v>1346.75</v>
      </c>
      <c r="ET136" s="228">
        <v>654.39</v>
      </c>
      <c r="EU136" s="231">
        <v>1192.9100000000001</v>
      </c>
      <c r="EV136" s="231">
        <v>16050690</v>
      </c>
      <c r="EW136" s="231">
        <v>3194.06</v>
      </c>
      <c r="EX136" s="231">
        <v>3095.38</v>
      </c>
      <c r="EY136" s="228">
        <v>98.68</v>
      </c>
      <c r="EZ136" s="229">
        <v>3.1899999999999998E-2</v>
      </c>
      <c r="FA136" s="229">
        <v>0.5262</v>
      </c>
      <c r="FB136" s="227" t="s">
        <v>567</v>
      </c>
      <c r="FC136">
        <f t="shared" si="2"/>
        <v>140</v>
      </c>
    </row>
    <row r="137" spans="1:159" ht="17.25" thickBot="1" x14ac:dyDescent="0.3">
      <c r="A137" s="226">
        <v>46008</v>
      </c>
      <c r="B137" s="227" t="s">
        <v>227</v>
      </c>
      <c r="C137" s="227" t="s">
        <v>263</v>
      </c>
      <c r="D137" s="228">
        <v>3750</v>
      </c>
      <c r="E137" s="228">
        <v>13</v>
      </c>
      <c r="F137" s="228">
        <v>279.7</v>
      </c>
      <c r="G137" s="228">
        <v>277.10000000000002</v>
      </c>
      <c r="H137" s="228">
        <v>2.6</v>
      </c>
      <c r="I137" s="229">
        <v>9.4000000000000004E-3</v>
      </c>
      <c r="J137" s="228">
        <v>279.45</v>
      </c>
      <c r="K137" s="228">
        <v>276.85000000000002</v>
      </c>
      <c r="L137" s="228">
        <v>2.6</v>
      </c>
      <c r="M137" s="229">
        <v>9.4000000000000004E-3</v>
      </c>
      <c r="N137" s="228">
        <v>279.7</v>
      </c>
      <c r="O137" s="228">
        <v>277.10000000000002</v>
      </c>
      <c r="P137" s="228">
        <v>2.6</v>
      </c>
      <c r="Q137" s="229">
        <v>9.4000000000000004E-3</v>
      </c>
      <c r="R137" s="228">
        <v>281.5</v>
      </c>
      <c r="S137" s="228">
        <v>278.75</v>
      </c>
      <c r="T137" s="228">
        <v>2.75</v>
      </c>
      <c r="U137" s="229">
        <v>9.9000000000000008E-3</v>
      </c>
      <c r="V137" s="228">
        <v>280</v>
      </c>
      <c r="W137" s="228">
        <v>277.35000000000002</v>
      </c>
      <c r="X137" s="228">
        <v>2.65</v>
      </c>
      <c r="Y137" s="229">
        <v>9.5999999999999992E-3</v>
      </c>
      <c r="Z137" s="228">
        <v>0.25</v>
      </c>
      <c r="AA137" s="228">
        <v>0.25</v>
      </c>
      <c r="AB137" s="228">
        <v>0</v>
      </c>
      <c r="AC137" s="229">
        <v>8.9999999999999998E-4</v>
      </c>
      <c r="AD137" s="228">
        <v>0.25</v>
      </c>
      <c r="AE137" s="228">
        <v>0.25</v>
      </c>
      <c r="AF137" s="228">
        <v>0</v>
      </c>
      <c r="AG137" s="229">
        <v>8.9999999999999998E-4</v>
      </c>
      <c r="AH137" s="228">
        <v>2.0499999999999998</v>
      </c>
      <c r="AI137" s="228">
        <v>1.9</v>
      </c>
      <c r="AJ137" s="228">
        <v>0.15</v>
      </c>
      <c r="AK137" s="229">
        <v>7.3000000000000001E-3</v>
      </c>
      <c r="AL137" s="228">
        <v>0.55000000000000004</v>
      </c>
      <c r="AM137" s="228">
        <v>0.5</v>
      </c>
      <c r="AN137" s="228">
        <v>0.05</v>
      </c>
      <c r="AO137" s="229">
        <v>2E-3</v>
      </c>
      <c r="AP137" s="228">
        <v>279.89999999999998</v>
      </c>
      <c r="AQ137" s="228">
        <v>281.66000000000003</v>
      </c>
      <c r="AR137" s="228">
        <v>0</v>
      </c>
      <c r="AS137" s="228">
        <v>438</v>
      </c>
      <c r="AT137" s="228">
        <v>411</v>
      </c>
      <c r="AU137" s="228">
        <v>27</v>
      </c>
      <c r="AV137" s="229">
        <v>6.5500000000000003E-2</v>
      </c>
      <c r="AW137" s="228">
        <v>382</v>
      </c>
      <c r="AX137" s="228">
        <v>360</v>
      </c>
      <c r="AY137" s="228">
        <v>22</v>
      </c>
      <c r="AZ137" s="229">
        <v>0.06</v>
      </c>
      <c r="BA137" s="228">
        <v>49</v>
      </c>
      <c r="BB137" s="228">
        <v>48</v>
      </c>
      <c r="BC137" s="228">
        <v>2</v>
      </c>
      <c r="BD137" s="229">
        <v>3.7499999999999999E-2</v>
      </c>
      <c r="BE137" s="228">
        <v>7</v>
      </c>
      <c r="BF137" s="228">
        <v>4</v>
      </c>
      <c r="BG137" s="228">
        <v>4</v>
      </c>
      <c r="BH137" s="229">
        <v>1</v>
      </c>
      <c r="BI137" s="230">
        <v>1532</v>
      </c>
      <c r="BJ137" s="228">
        <v>874</v>
      </c>
      <c r="BK137" s="228">
        <v>657</v>
      </c>
      <c r="BL137" s="229">
        <v>0.75180000000000002</v>
      </c>
      <c r="BM137" s="228">
        <v>777</v>
      </c>
      <c r="BN137" s="228">
        <v>531</v>
      </c>
      <c r="BO137" s="228">
        <v>245</v>
      </c>
      <c r="BP137" s="229">
        <v>0.46150000000000002</v>
      </c>
      <c r="BQ137" s="230">
        <v>2747</v>
      </c>
      <c r="BR137" s="230">
        <v>1817</v>
      </c>
      <c r="BS137" s="228">
        <v>930</v>
      </c>
      <c r="BT137" s="229">
        <v>0.51149999999999995</v>
      </c>
      <c r="BU137" s="230">
        <v>9190687</v>
      </c>
      <c r="BV137" s="230">
        <v>7888846</v>
      </c>
      <c r="BW137" s="230">
        <v>1301841</v>
      </c>
      <c r="BX137" s="229">
        <v>0.16500000000000001</v>
      </c>
      <c r="BY137" s="230">
        <v>1665</v>
      </c>
      <c r="BZ137" s="230">
        <v>1714</v>
      </c>
      <c r="CA137" s="228">
        <v>-49</v>
      </c>
      <c r="CB137" s="229">
        <v>-2.87E-2</v>
      </c>
      <c r="CC137" s="230">
        <v>1497</v>
      </c>
      <c r="CD137" s="230">
        <v>1556</v>
      </c>
      <c r="CE137" s="228">
        <v>-59</v>
      </c>
      <c r="CF137" s="229">
        <v>-3.7999999999999999E-2</v>
      </c>
      <c r="CG137" s="228">
        <v>119</v>
      </c>
      <c r="CH137" s="228">
        <v>109</v>
      </c>
      <c r="CI137" s="228">
        <v>10</v>
      </c>
      <c r="CJ137" s="229">
        <v>9.2399999999999996E-2</v>
      </c>
      <c r="CK137" s="228">
        <v>49</v>
      </c>
      <c r="CL137" s="228">
        <v>49</v>
      </c>
      <c r="CM137" s="228">
        <v>0</v>
      </c>
      <c r="CN137" s="229">
        <v>-2.0999999999999999E-3</v>
      </c>
      <c r="CO137" s="228">
        <v>931</v>
      </c>
      <c r="CP137" s="228">
        <v>871</v>
      </c>
      <c r="CQ137" s="228">
        <v>61</v>
      </c>
      <c r="CR137" s="229">
        <v>6.9599999999999995E-2</v>
      </c>
      <c r="CS137" s="228">
        <v>790</v>
      </c>
      <c r="CT137" s="228">
        <v>760</v>
      </c>
      <c r="CU137" s="228">
        <v>30</v>
      </c>
      <c r="CV137" s="229">
        <v>3.9300000000000002E-2</v>
      </c>
      <c r="CW137" s="230">
        <v>3386</v>
      </c>
      <c r="CX137" s="230">
        <v>3345</v>
      </c>
      <c r="CY137" s="228">
        <v>41</v>
      </c>
      <c r="CZ137" s="229">
        <v>1.24E-2</v>
      </c>
      <c r="DA137" s="228">
        <v>28.24</v>
      </c>
      <c r="DB137" s="228">
        <v>28.66</v>
      </c>
      <c r="DC137" s="228">
        <v>-0.42</v>
      </c>
      <c r="DD137" s="228">
        <v>-0.42</v>
      </c>
      <c r="DE137" s="228">
        <v>46.18</v>
      </c>
      <c r="DF137" s="228">
        <v>46.28</v>
      </c>
      <c r="DG137" s="228">
        <v>-17.940000000000001</v>
      </c>
      <c r="DH137" s="228">
        <v>-0.1</v>
      </c>
      <c r="DI137" s="228">
        <v>28.15</v>
      </c>
      <c r="DJ137" s="228">
        <v>28.91</v>
      </c>
      <c r="DK137" s="228">
        <v>-0.76</v>
      </c>
      <c r="DL137" s="228">
        <v>-0.76</v>
      </c>
      <c r="DM137" s="228">
        <v>28.42</v>
      </c>
      <c r="DN137" s="228">
        <v>28.23</v>
      </c>
      <c r="DO137" s="228">
        <v>0.19</v>
      </c>
      <c r="DP137" s="228">
        <v>0.19</v>
      </c>
      <c r="DQ137" s="228">
        <v>0.85</v>
      </c>
      <c r="DR137" s="228">
        <v>0.87</v>
      </c>
      <c r="DS137" s="228">
        <v>-0.02</v>
      </c>
      <c r="DT137" s="229">
        <v>-2.3E-2</v>
      </c>
      <c r="DU137" s="228">
        <v>280</v>
      </c>
      <c r="DV137" s="228">
        <v>270</v>
      </c>
      <c r="DW137" s="228">
        <v>0.51</v>
      </c>
      <c r="DX137" s="228">
        <v>0.61</v>
      </c>
      <c r="DY137" s="228">
        <v>-0.1</v>
      </c>
      <c r="DZ137" s="229">
        <v>-0.16389999999999999</v>
      </c>
      <c r="EA137" s="229">
        <v>0.10100000000000001</v>
      </c>
      <c r="EB137" s="230">
        <v>5658750</v>
      </c>
      <c r="EC137" s="229">
        <v>6.4000000000000003E-3</v>
      </c>
      <c r="ED137" s="229">
        <v>0.10100000000000001</v>
      </c>
      <c r="EE137" s="228">
        <v>1.76</v>
      </c>
      <c r="EF137" s="229">
        <v>6.3E-3</v>
      </c>
      <c r="EG137" s="230">
        <v>4032591</v>
      </c>
      <c r="EH137" s="230">
        <v>4493377</v>
      </c>
      <c r="EI137" s="229">
        <v>-0.10249999999999999</v>
      </c>
      <c r="EJ137" s="229">
        <v>0.43880000000000002</v>
      </c>
      <c r="EK137" s="231">
        <v>1584.41</v>
      </c>
      <c r="EL137" s="228">
        <v>764.57</v>
      </c>
      <c r="EM137" s="228">
        <v>438.96</v>
      </c>
      <c r="EN137" s="228">
        <v>43.33</v>
      </c>
      <c r="EO137" s="231">
        <v>2787.95</v>
      </c>
      <c r="EP137" s="231">
        <v>1824.84</v>
      </c>
      <c r="EQ137" s="228">
        <v>963.11</v>
      </c>
      <c r="ER137" s="229">
        <v>0.52780000000000005</v>
      </c>
      <c r="ES137" s="228">
        <v>935.2</v>
      </c>
      <c r="ET137" s="228">
        <v>734.63</v>
      </c>
      <c r="EU137" s="231">
        <v>1665.91</v>
      </c>
      <c r="EV137" s="231">
        <v>134225816</v>
      </c>
      <c r="EW137" s="231">
        <v>3335.74</v>
      </c>
      <c r="EX137" s="231">
        <v>3273.69</v>
      </c>
      <c r="EY137" s="228">
        <v>62.05</v>
      </c>
      <c r="EZ137" s="229">
        <v>1.9E-2</v>
      </c>
      <c r="FA137" s="229">
        <v>0.90200000000000002</v>
      </c>
      <c r="FB137" s="227" t="s">
        <v>556</v>
      </c>
      <c r="FC137">
        <f t="shared" si="2"/>
        <v>168</v>
      </c>
    </row>
    <row r="138" spans="1:159" ht="17.25" thickBot="1" x14ac:dyDescent="0.3">
      <c r="A138" s="226">
        <v>46008</v>
      </c>
      <c r="B138" s="227" t="s">
        <v>615</v>
      </c>
      <c r="C138" s="227" t="s">
        <v>264</v>
      </c>
      <c r="D138" s="228">
        <v>375</v>
      </c>
      <c r="E138" s="228">
        <v>13</v>
      </c>
      <c r="F138" s="231">
        <v>1343.2</v>
      </c>
      <c r="G138" s="231">
        <v>1348.9</v>
      </c>
      <c r="H138" s="228">
        <v>-5.7</v>
      </c>
      <c r="I138" s="229">
        <v>-4.1999999999999997E-3</v>
      </c>
      <c r="J138" s="231">
        <v>1338.2</v>
      </c>
      <c r="K138" s="231">
        <v>1346.9</v>
      </c>
      <c r="L138" s="228">
        <v>-8.6999999999999993</v>
      </c>
      <c r="M138" s="229">
        <v>-6.4999999999999997E-3</v>
      </c>
      <c r="N138" s="231">
        <v>1343.2</v>
      </c>
      <c r="O138" s="231">
        <v>1348.9</v>
      </c>
      <c r="P138" s="228">
        <v>-5.7</v>
      </c>
      <c r="Q138" s="229">
        <v>-4.1999999999999997E-3</v>
      </c>
      <c r="R138" s="231">
        <v>1350.8</v>
      </c>
      <c r="S138" s="231">
        <v>1358.3</v>
      </c>
      <c r="T138" s="228">
        <v>-7.5</v>
      </c>
      <c r="U138" s="229">
        <v>-5.4999999999999997E-3</v>
      </c>
      <c r="V138" s="231">
        <v>1358.2</v>
      </c>
      <c r="W138" s="231">
        <v>1370</v>
      </c>
      <c r="X138" s="228">
        <v>-11.8</v>
      </c>
      <c r="Y138" s="229">
        <v>-8.6E-3</v>
      </c>
      <c r="Z138" s="228">
        <v>5</v>
      </c>
      <c r="AA138" s="228">
        <v>2</v>
      </c>
      <c r="AB138" s="228">
        <v>3</v>
      </c>
      <c r="AC138" s="229">
        <v>3.7000000000000002E-3</v>
      </c>
      <c r="AD138" s="228">
        <v>5</v>
      </c>
      <c r="AE138" s="228">
        <v>2</v>
      </c>
      <c r="AF138" s="228">
        <v>3</v>
      </c>
      <c r="AG138" s="229">
        <v>3.7000000000000002E-3</v>
      </c>
      <c r="AH138" s="228">
        <v>12.6</v>
      </c>
      <c r="AI138" s="228">
        <v>11.4</v>
      </c>
      <c r="AJ138" s="228">
        <v>1.2</v>
      </c>
      <c r="AK138" s="229">
        <v>9.4000000000000004E-3</v>
      </c>
      <c r="AL138" s="228">
        <v>20</v>
      </c>
      <c r="AM138" s="228">
        <v>23.1</v>
      </c>
      <c r="AN138" s="228">
        <v>-3.1</v>
      </c>
      <c r="AO138" s="229">
        <v>1.49E-2</v>
      </c>
      <c r="AP138" s="231">
        <v>1350.85</v>
      </c>
      <c r="AQ138" s="231">
        <v>1357.31</v>
      </c>
      <c r="AR138" s="228">
        <v>0</v>
      </c>
      <c r="AS138" s="228">
        <v>93</v>
      </c>
      <c r="AT138" s="228">
        <v>107</v>
      </c>
      <c r="AU138" s="228">
        <v>-14</v>
      </c>
      <c r="AV138" s="229">
        <v>-0.1338</v>
      </c>
      <c r="AW138" s="228">
        <v>70</v>
      </c>
      <c r="AX138" s="228">
        <v>93</v>
      </c>
      <c r="AY138" s="228">
        <v>-23</v>
      </c>
      <c r="AZ138" s="229">
        <v>-0.24579999999999999</v>
      </c>
      <c r="BA138" s="228">
        <v>22</v>
      </c>
      <c r="BB138" s="228">
        <v>12</v>
      </c>
      <c r="BC138" s="228">
        <v>10</v>
      </c>
      <c r="BD138" s="229">
        <v>0.76519999999999999</v>
      </c>
      <c r="BE138" s="228">
        <v>1</v>
      </c>
      <c r="BF138" s="228">
        <v>1</v>
      </c>
      <c r="BG138" s="228">
        <v>-1</v>
      </c>
      <c r="BH138" s="229">
        <v>-0.6552</v>
      </c>
      <c r="BI138" s="228">
        <v>248</v>
      </c>
      <c r="BJ138" s="228">
        <v>205</v>
      </c>
      <c r="BK138" s="228">
        <v>43</v>
      </c>
      <c r="BL138" s="229">
        <v>0.21129999999999999</v>
      </c>
      <c r="BM138" s="228">
        <v>76</v>
      </c>
      <c r="BN138" s="228">
        <v>102</v>
      </c>
      <c r="BO138" s="228">
        <v>-26</v>
      </c>
      <c r="BP138" s="229">
        <v>-0.252</v>
      </c>
      <c r="BQ138" s="228">
        <v>417</v>
      </c>
      <c r="BR138" s="228">
        <v>414</v>
      </c>
      <c r="BS138" s="228">
        <v>3</v>
      </c>
      <c r="BT138" s="229">
        <v>7.7000000000000002E-3</v>
      </c>
      <c r="BU138" s="230">
        <v>397391</v>
      </c>
      <c r="BV138" s="230">
        <v>785636</v>
      </c>
      <c r="BW138" s="230">
        <v>-388245</v>
      </c>
      <c r="BX138" s="229">
        <v>-0.49419999999999997</v>
      </c>
      <c r="BY138" s="230">
        <v>1142</v>
      </c>
      <c r="BZ138" s="230">
        <v>1127</v>
      </c>
      <c r="CA138" s="228">
        <v>15</v>
      </c>
      <c r="CB138" s="229">
        <v>1.29E-2</v>
      </c>
      <c r="CC138" s="230">
        <v>1060</v>
      </c>
      <c r="CD138" s="230">
        <v>1060</v>
      </c>
      <c r="CE138" s="228">
        <v>1</v>
      </c>
      <c r="CF138" s="229">
        <v>5.9999999999999995E-4</v>
      </c>
      <c r="CG138" s="228">
        <v>77</v>
      </c>
      <c r="CH138" s="228">
        <v>63</v>
      </c>
      <c r="CI138" s="228">
        <v>14</v>
      </c>
      <c r="CJ138" s="229">
        <v>0.21659999999999999</v>
      </c>
      <c r="CK138" s="228">
        <v>5</v>
      </c>
      <c r="CL138" s="228">
        <v>4</v>
      </c>
      <c r="CM138" s="228">
        <v>0</v>
      </c>
      <c r="CN138" s="229">
        <v>4.5499999999999999E-2</v>
      </c>
      <c r="CO138" s="228">
        <v>373</v>
      </c>
      <c r="CP138" s="228">
        <v>365</v>
      </c>
      <c r="CQ138" s="228">
        <v>8</v>
      </c>
      <c r="CR138" s="229">
        <v>2.2100000000000002E-2</v>
      </c>
      <c r="CS138" s="228">
        <v>312</v>
      </c>
      <c r="CT138" s="228">
        <v>311</v>
      </c>
      <c r="CU138" s="228">
        <v>1</v>
      </c>
      <c r="CV138" s="229">
        <v>3.0999999999999999E-3</v>
      </c>
      <c r="CW138" s="230">
        <v>1827</v>
      </c>
      <c r="CX138" s="230">
        <v>1803</v>
      </c>
      <c r="CY138" s="228">
        <v>24</v>
      </c>
      <c r="CZ138" s="229">
        <v>1.2999999999999999E-2</v>
      </c>
      <c r="DA138" s="228">
        <v>26.16</v>
      </c>
      <c r="DB138" s="228">
        <v>26.11</v>
      </c>
      <c r="DC138" s="228">
        <v>0.05</v>
      </c>
      <c r="DD138" s="228">
        <v>0.05</v>
      </c>
      <c r="DE138" s="228">
        <v>36.450000000000003</v>
      </c>
      <c r="DF138" s="228">
        <v>36.53</v>
      </c>
      <c r="DG138" s="228">
        <v>-10.29</v>
      </c>
      <c r="DH138" s="228">
        <v>-0.08</v>
      </c>
      <c r="DI138" s="228">
        <v>26.04</v>
      </c>
      <c r="DJ138" s="228">
        <v>26.12</v>
      </c>
      <c r="DK138" s="228">
        <v>-0.08</v>
      </c>
      <c r="DL138" s="228">
        <v>-0.08</v>
      </c>
      <c r="DM138" s="228">
        <v>26.56</v>
      </c>
      <c r="DN138" s="228">
        <v>26.08</v>
      </c>
      <c r="DO138" s="228">
        <v>0.48</v>
      </c>
      <c r="DP138" s="228">
        <v>0.48</v>
      </c>
      <c r="DQ138" s="228">
        <v>0.84</v>
      </c>
      <c r="DR138" s="228">
        <v>0.85</v>
      </c>
      <c r="DS138" s="228">
        <v>-0.01</v>
      </c>
      <c r="DT138" s="229">
        <v>-1.18E-2</v>
      </c>
      <c r="DU138" s="231">
        <v>1400</v>
      </c>
      <c r="DV138" s="231">
        <v>1280</v>
      </c>
      <c r="DW138" s="228">
        <v>0.31</v>
      </c>
      <c r="DX138" s="228">
        <v>0.5</v>
      </c>
      <c r="DY138" s="228">
        <v>-0.19</v>
      </c>
      <c r="DZ138" s="229">
        <v>-0.38</v>
      </c>
      <c r="EA138" s="229">
        <v>7.1499999999999994E-2</v>
      </c>
      <c r="EB138" s="230">
        <v>504000</v>
      </c>
      <c r="EC138" s="229">
        <v>5.7000000000000002E-3</v>
      </c>
      <c r="ED138" s="229">
        <v>7.1499999999999994E-2</v>
      </c>
      <c r="EE138" s="228">
        <v>6.46</v>
      </c>
      <c r="EF138" s="229">
        <v>4.7999999999999996E-3</v>
      </c>
      <c r="EG138" s="230">
        <v>249381</v>
      </c>
      <c r="EH138" s="230">
        <v>554517</v>
      </c>
      <c r="EI138" s="229">
        <v>-0.55030000000000001</v>
      </c>
      <c r="EJ138" s="229">
        <v>0.62749999999999995</v>
      </c>
      <c r="EK138" s="228">
        <v>259.8</v>
      </c>
      <c r="EL138" s="228">
        <v>74.61</v>
      </c>
      <c r="EM138" s="228">
        <v>93.27</v>
      </c>
      <c r="EN138" s="228">
        <v>23.13</v>
      </c>
      <c r="EO138" s="228">
        <v>427.68</v>
      </c>
      <c r="EP138" s="228">
        <v>424.95</v>
      </c>
      <c r="EQ138" s="228">
        <v>2.73</v>
      </c>
      <c r="ER138" s="229">
        <v>6.4000000000000003E-3</v>
      </c>
      <c r="ES138" s="228">
        <v>393.66</v>
      </c>
      <c r="ET138" s="228">
        <v>302.31</v>
      </c>
      <c r="EU138" s="231">
        <v>1142.3800000000001</v>
      </c>
      <c r="EV138" s="231">
        <v>60530911</v>
      </c>
      <c r="EW138" s="231">
        <v>1838.35</v>
      </c>
      <c r="EX138" s="231">
        <v>1820.06</v>
      </c>
      <c r="EY138" s="228">
        <v>18.29</v>
      </c>
      <c r="EZ138" s="229">
        <v>0.01</v>
      </c>
      <c r="FA138" s="229">
        <v>0.22470000000000001</v>
      </c>
      <c r="FB138" s="227" t="s">
        <v>567</v>
      </c>
      <c r="FC138">
        <f t="shared" si="2"/>
        <v>82</v>
      </c>
    </row>
    <row r="139" spans="1:159" ht="17.25" thickBot="1" x14ac:dyDescent="0.3">
      <c r="A139" s="226">
        <v>46008</v>
      </c>
      <c r="B139" s="227" t="s">
        <v>206</v>
      </c>
      <c r="C139" s="227" t="s">
        <v>550</v>
      </c>
      <c r="D139" s="228">
        <v>6500</v>
      </c>
      <c r="E139" s="228">
        <v>13</v>
      </c>
      <c r="F139" s="228">
        <v>109.71</v>
      </c>
      <c r="G139" s="228">
        <v>111.76</v>
      </c>
      <c r="H139" s="228">
        <v>-2.0499999999999998</v>
      </c>
      <c r="I139" s="229">
        <v>-1.83E-2</v>
      </c>
      <c r="J139" s="228">
        <v>109.56</v>
      </c>
      <c r="K139" s="228">
        <v>111.68</v>
      </c>
      <c r="L139" s="228">
        <v>-2.12</v>
      </c>
      <c r="M139" s="229">
        <v>-1.9E-2</v>
      </c>
      <c r="N139" s="228">
        <v>109.71</v>
      </c>
      <c r="O139" s="228">
        <v>111.76</v>
      </c>
      <c r="P139" s="228">
        <v>-2.0499999999999998</v>
      </c>
      <c r="Q139" s="229">
        <v>-1.83E-2</v>
      </c>
      <c r="R139" s="228">
        <v>110.37</v>
      </c>
      <c r="S139" s="228">
        <v>112.46</v>
      </c>
      <c r="T139" s="228">
        <v>-2.09</v>
      </c>
      <c r="U139" s="229">
        <v>-1.8599999999999998E-2</v>
      </c>
      <c r="V139" s="228">
        <v>110.58</v>
      </c>
      <c r="W139" s="228">
        <v>113.3</v>
      </c>
      <c r="X139" s="228">
        <v>-2.72</v>
      </c>
      <c r="Y139" s="229">
        <v>-2.4E-2</v>
      </c>
      <c r="Z139" s="228">
        <v>0.15</v>
      </c>
      <c r="AA139" s="228">
        <v>0.08</v>
      </c>
      <c r="AB139" s="228">
        <v>7.0000000000000007E-2</v>
      </c>
      <c r="AC139" s="229">
        <v>1.4E-3</v>
      </c>
      <c r="AD139" s="228">
        <v>0.15</v>
      </c>
      <c r="AE139" s="228">
        <v>0.08</v>
      </c>
      <c r="AF139" s="228">
        <v>7.0000000000000007E-2</v>
      </c>
      <c r="AG139" s="229">
        <v>1.4E-3</v>
      </c>
      <c r="AH139" s="228">
        <v>0.81</v>
      </c>
      <c r="AI139" s="228">
        <v>0.78</v>
      </c>
      <c r="AJ139" s="228">
        <v>0.03</v>
      </c>
      <c r="AK139" s="229">
        <v>7.4000000000000003E-3</v>
      </c>
      <c r="AL139" s="228">
        <v>1.02</v>
      </c>
      <c r="AM139" s="228">
        <v>1.62</v>
      </c>
      <c r="AN139" s="228">
        <v>-0.6</v>
      </c>
      <c r="AO139" s="229">
        <v>9.2999999999999992E-3</v>
      </c>
      <c r="AP139" s="228">
        <v>110.73</v>
      </c>
      <c r="AQ139" s="228">
        <v>111.44</v>
      </c>
      <c r="AR139" s="228">
        <v>0</v>
      </c>
      <c r="AS139" s="228">
        <v>172</v>
      </c>
      <c r="AT139" s="228">
        <v>212</v>
      </c>
      <c r="AU139" s="228">
        <v>-40</v>
      </c>
      <c r="AV139" s="229">
        <v>-0.18870000000000001</v>
      </c>
      <c r="AW139" s="228">
        <v>145</v>
      </c>
      <c r="AX139" s="228">
        <v>177</v>
      </c>
      <c r="AY139" s="228">
        <v>-32</v>
      </c>
      <c r="AZ139" s="229">
        <v>-0.1792</v>
      </c>
      <c r="BA139" s="228">
        <v>25</v>
      </c>
      <c r="BB139" s="228">
        <v>34</v>
      </c>
      <c r="BC139" s="228">
        <v>-8</v>
      </c>
      <c r="BD139" s="229">
        <v>-0.2447</v>
      </c>
      <c r="BE139" s="228">
        <v>1</v>
      </c>
      <c r="BF139" s="228">
        <v>1</v>
      </c>
      <c r="BG139" s="228">
        <v>0</v>
      </c>
      <c r="BH139" s="229">
        <v>0</v>
      </c>
      <c r="BI139" s="228">
        <v>545</v>
      </c>
      <c r="BJ139" s="228">
        <v>595</v>
      </c>
      <c r="BK139" s="228">
        <v>-49</v>
      </c>
      <c r="BL139" s="229">
        <v>-8.2799999999999999E-2</v>
      </c>
      <c r="BM139" s="228">
        <v>153</v>
      </c>
      <c r="BN139" s="228">
        <v>374</v>
      </c>
      <c r="BO139" s="228">
        <v>-221</v>
      </c>
      <c r="BP139" s="229">
        <v>-0.5907</v>
      </c>
      <c r="BQ139" s="228">
        <v>870</v>
      </c>
      <c r="BR139" s="230">
        <v>1180</v>
      </c>
      <c r="BS139" s="228">
        <v>-310</v>
      </c>
      <c r="BT139" s="229">
        <v>-0.26279999999999998</v>
      </c>
      <c r="BU139" s="230">
        <v>13170799</v>
      </c>
      <c r="BV139" s="230">
        <v>10255004</v>
      </c>
      <c r="BW139" s="230">
        <v>2915795</v>
      </c>
      <c r="BX139" s="229">
        <v>0.2843</v>
      </c>
      <c r="BY139" s="228">
        <v>966</v>
      </c>
      <c r="BZ139" s="228">
        <v>943</v>
      </c>
      <c r="CA139" s="228">
        <v>22</v>
      </c>
      <c r="CB139" s="229">
        <v>2.3699999999999999E-2</v>
      </c>
      <c r="CC139" s="228">
        <v>905</v>
      </c>
      <c r="CD139" s="228">
        <v>893</v>
      </c>
      <c r="CE139" s="228">
        <v>12</v>
      </c>
      <c r="CF139" s="229">
        <v>1.4E-2</v>
      </c>
      <c r="CG139" s="228">
        <v>56</v>
      </c>
      <c r="CH139" s="228">
        <v>46</v>
      </c>
      <c r="CI139" s="228">
        <v>10</v>
      </c>
      <c r="CJ139" s="229">
        <v>0.20710000000000001</v>
      </c>
      <c r="CK139" s="228">
        <v>5</v>
      </c>
      <c r="CL139" s="228">
        <v>5</v>
      </c>
      <c r="CM139" s="228">
        <v>0</v>
      </c>
      <c r="CN139" s="229">
        <v>7.6899999999999996E-2</v>
      </c>
      <c r="CO139" s="228">
        <v>634</v>
      </c>
      <c r="CP139" s="228">
        <v>524</v>
      </c>
      <c r="CQ139" s="228">
        <v>109</v>
      </c>
      <c r="CR139" s="229">
        <v>0.2082</v>
      </c>
      <c r="CS139" s="228">
        <v>256</v>
      </c>
      <c r="CT139" s="228">
        <v>245</v>
      </c>
      <c r="CU139" s="228">
        <v>11</v>
      </c>
      <c r="CV139" s="229">
        <v>4.3999999999999997E-2</v>
      </c>
      <c r="CW139" s="230">
        <v>1855</v>
      </c>
      <c r="CX139" s="230">
        <v>1713</v>
      </c>
      <c r="CY139" s="228">
        <v>142</v>
      </c>
      <c r="CZ139" s="229">
        <v>8.3099999999999993E-2</v>
      </c>
      <c r="DA139" s="228">
        <v>32.85</v>
      </c>
      <c r="DB139" s="228">
        <v>31.54</v>
      </c>
      <c r="DC139" s="228">
        <v>1.31</v>
      </c>
      <c r="DD139" s="228">
        <v>1.31</v>
      </c>
      <c r="DE139" s="228">
        <v>51.07</v>
      </c>
      <c r="DF139" s="228">
        <v>51.14</v>
      </c>
      <c r="DG139" s="228">
        <v>-18.22</v>
      </c>
      <c r="DH139" s="228">
        <v>-7.0000000000000007E-2</v>
      </c>
      <c r="DI139" s="228">
        <v>33.76</v>
      </c>
      <c r="DJ139" s="228">
        <v>32.79</v>
      </c>
      <c r="DK139" s="228">
        <v>0.97</v>
      </c>
      <c r="DL139" s="228">
        <v>0.97</v>
      </c>
      <c r="DM139" s="228">
        <v>29.63</v>
      </c>
      <c r="DN139" s="228">
        <v>29.56</v>
      </c>
      <c r="DO139" s="228">
        <v>7.0000000000000007E-2</v>
      </c>
      <c r="DP139" s="228">
        <v>7.0000000000000007E-2</v>
      </c>
      <c r="DQ139" s="228">
        <v>0.4</v>
      </c>
      <c r="DR139" s="228">
        <v>0.47</v>
      </c>
      <c r="DS139" s="228">
        <v>-7.0000000000000007E-2</v>
      </c>
      <c r="DT139" s="229">
        <v>-0.1489</v>
      </c>
      <c r="DU139" s="228">
        <v>120</v>
      </c>
      <c r="DV139" s="228">
        <v>110</v>
      </c>
      <c r="DW139" s="228">
        <v>0.28000000000000003</v>
      </c>
      <c r="DX139" s="228">
        <v>0.63</v>
      </c>
      <c r="DY139" s="228">
        <v>-0.35</v>
      </c>
      <c r="DZ139" s="229">
        <v>-0.55559999999999998</v>
      </c>
      <c r="EA139" s="229">
        <v>6.2799999999999995E-2</v>
      </c>
      <c r="EB139" s="230">
        <v>4628000</v>
      </c>
      <c r="EC139" s="229">
        <v>6.0000000000000001E-3</v>
      </c>
      <c r="ED139" s="229">
        <v>6.2799999999999995E-2</v>
      </c>
      <c r="EE139" s="228">
        <v>0.71</v>
      </c>
      <c r="EF139" s="229">
        <v>6.4000000000000003E-3</v>
      </c>
      <c r="EG139" s="230">
        <v>4084607</v>
      </c>
      <c r="EH139" s="230">
        <v>3142140</v>
      </c>
      <c r="EI139" s="229">
        <v>0.2999</v>
      </c>
      <c r="EJ139" s="229">
        <v>0.31009999999999999</v>
      </c>
      <c r="EK139" s="228">
        <v>585.22</v>
      </c>
      <c r="EL139" s="228">
        <v>155.68</v>
      </c>
      <c r="EM139" s="228">
        <v>173.48</v>
      </c>
      <c r="EN139" s="228">
        <v>31.95</v>
      </c>
      <c r="EO139" s="228">
        <v>914.38</v>
      </c>
      <c r="EP139" s="231">
        <v>1253.74</v>
      </c>
      <c r="EQ139" s="228">
        <v>-339.36</v>
      </c>
      <c r="ER139" s="229">
        <v>-0.2707</v>
      </c>
      <c r="ES139" s="228">
        <v>683.54</v>
      </c>
      <c r="ET139" s="228">
        <v>255.07</v>
      </c>
      <c r="EU139" s="228">
        <v>966.22</v>
      </c>
      <c r="EV139" s="231">
        <v>154894704</v>
      </c>
      <c r="EW139" s="231">
        <v>1904.83</v>
      </c>
      <c r="EX139" s="231">
        <v>1774.4</v>
      </c>
      <c r="EY139" s="228">
        <v>130.43</v>
      </c>
      <c r="EZ139" s="229">
        <v>7.3499999999999996E-2</v>
      </c>
      <c r="FA139" s="229">
        <v>1.0916999999999999</v>
      </c>
      <c r="FB139" s="227" t="s">
        <v>567</v>
      </c>
      <c r="FC139">
        <f t="shared" si="2"/>
        <v>61</v>
      </c>
    </row>
    <row r="140" spans="1:159" ht="17.25" thickBot="1" x14ac:dyDescent="0.3">
      <c r="A140" s="226">
        <v>46008</v>
      </c>
      <c r="B140" s="227" t="s">
        <v>215</v>
      </c>
      <c r="C140" s="227" t="s">
        <v>591</v>
      </c>
      <c r="D140" s="228">
        <v>2700</v>
      </c>
      <c r="E140" s="228">
        <v>13</v>
      </c>
      <c r="F140" s="228">
        <v>155.97</v>
      </c>
      <c r="G140" s="228">
        <v>157.91999999999999</v>
      </c>
      <c r="H140" s="228">
        <v>-1.95</v>
      </c>
      <c r="I140" s="229">
        <v>-1.23E-2</v>
      </c>
      <c r="J140" s="228">
        <v>155.32</v>
      </c>
      <c r="K140" s="228">
        <v>157.85</v>
      </c>
      <c r="L140" s="228">
        <v>-2.5299999999999998</v>
      </c>
      <c r="M140" s="229">
        <v>-1.6E-2</v>
      </c>
      <c r="N140" s="228">
        <v>155.97</v>
      </c>
      <c r="O140" s="228">
        <v>157.91999999999999</v>
      </c>
      <c r="P140" s="228">
        <v>-1.95</v>
      </c>
      <c r="Q140" s="229">
        <v>-1.23E-2</v>
      </c>
      <c r="R140" s="228">
        <v>0</v>
      </c>
      <c r="S140" s="228">
        <v>0</v>
      </c>
      <c r="T140" s="228">
        <v>0</v>
      </c>
      <c r="U140" s="229">
        <v>0</v>
      </c>
      <c r="V140" s="228">
        <v>0</v>
      </c>
      <c r="W140" s="228">
        <v>0</v>
      </c>
      <c r="X140" s="228">
        <v>0</v>
      </c>
      <c r="Y140" s="229">
        <v>0</v>
      </c>
      <c r="Z140" s="228">
        <v>0.65</v>
      </c>
      <c r="AA140" s="228">
        <v>7.0000000000000007E-2</v>
      </c>
      <c r="AB140" s="228">
        <v>0.57999999999999996</v>
      </c>
      <c r="AC140" s="229">
        <v>4.1999999999999997E-3</v>
      </c>
      <c r="AD140" s="228">
        <v>0.65</v>
      </c>
      <c r="AE140" s="228">
        <v>7.0000000000000007E-2</v>
      </c>
      <c r="AF140" s="228">
        <v>0.57999999999999996</v>
      </c>
      <c r="AG140" s="229">
        <v>4.1999999999999997E-3</v>
      </c>
      <c r="AH140" s="228">
        <v>0</v>
      </c>
      <c r="AI140" s="228">
        <v>0</v>
      </c>
      <c r="AJ140" s="228">
        <v>0</v>
      </c>
      <c r="AK140" s="229">
        <v>0</v>
      </c>
      <c r="AL140" s="228">
        <v>0</v>
      </c>
      <c r="AM140" s="228">
        <v>0</v>
      </c>
      <c r="AN140" s="228">
        <v>0</v>
      </c>
      <c r="AO140" s="229">
        <v>0</v>
      </c>
      <c r="AP140" s="228">
        <v>156.63999999999999</v>
      </c>
      <c r="AQ140" s="228">
        <v>0</v>
      </c>
      <c r="AR140" s="228">
        <v>0</v>
      </c>
      <c r="AS140" s="228">
        <v>50</v>
      </c>
      <c r="AT140" s="228">
        <v>58</v>
      </c>
      <c r="AU140" s="228">
        <v>-8</v>
      </c>
      <c r="AV140" s="229">
        <v>-0.14330000000000001</v>
      </c>
      <c r="AW140" s="228">
        <v>50</v>
      </c>
      <c r="AX140" s="228">
        <v>58</v>
      </c>
      <c r="AY140" s="228">
        <v>-8</v>
      </c>
      <c r="AZ140" s="229">
        <v>-0.14330000000000001</v>
      </c>
      <c r="BA140" s="228">
        <v>0</v>
      </c>
      <c r="BB140" s="228">
        <v>0</v>
      </c>
      <c r="BC140" s="228">
        <v>0</v>
      </c>
      <c r="BD140" s="229">
        <v>0</v>
      </c>
      <c r="BE140" s="228">
        <v>0</v>
      </c>
      <c r="BF140" s="228">
        <v>0</v>
      </c>
      <c r="BG140" s="228">
        <v>0</v>
      </c>
      <c r="BH140" s="229">
        <v>0</v>
      </c>
      <c r="BI140" s="228">
        <v>183</v>
      </c>
      <c r="BJ140" s="228">
        <v>174</v>
      </c>
      <c r="BK140" s="228">
        <v>9</v>
      </c>
      <c r="BL140" s="229">
        <v>5.2900000000000003E-2</v>
      </c>
      <c r="BM140" s="228">
        <v>82</v>
      </c>
      <c r="BN140" s="228">
        <v>70</v>
      </c>
      <c r="BO140" s="228">
        <v>11</v>
      </c>
      <c r="BP140" s="229">
        <v>0.1565</v>
      </c>
      <c r="BQ140" s="228">
        <v>314</v>
      </c>
      <c r="BR140" s="228">
        <v>303</v>
      </c>
      <c r="BS140" s="228">
        <v>12</v>
      </c>
      <c r="BT140" s="229">
        <v>3.9100000000000003E-2</v>
      </c>
      <c r="BU140" s="230">
        <v>3741337</v>
      </c>
      <c r="BV140" s="230">
        <v>3417774</v>
      </c>
      <c r="BW140" s="230">
        <v>323563</v>
      </c>
      <c r="BX140" s="229">
        <v>9.4700000000000006E-2</v>
      </c>
      <c r="BY140" s="228">
        <v>349</v>
      </c>
      <c r="BZ140" s="228">
        <v>346</v>
      </c>
      <c r="CA140" s="228">
        <v>2</v>
      </c>
      <c r="CB140" s="229">
        <v>7.1000000000000004E-3</v>
      </c>
      <c r="CC140" s="228">
        <v>349</v>
      </c>
      <c r="CD140" s="228">
        <v>346</v>
      </c>
      <c r="CE140" s="228">
        <v>2</v>
      </c>
      <c r="CF140" s="229">
        <v>7.1000000000000004E-3</v>
      </c>
      <c r="CG140" s="228">
        <v>0</v>
      </c>
      <c r="CH140" s="228">
        <v>0</v>
      </c>
      <c r="CI140" s="228">
        <v>0</v>
      </c>
      <c r="CJ140" s="229">
        <v>0</v>
      </c>
      <c r="CK140" s="228">
        <v>0</v>
      </c>
      <c r="CL140" s="228">
        <v>0</v>
      </c>
      <c r="CM140" s="228">
        <v>0</v>
      </c>
      <c r="CN140" s="229">
        <v>0</v>
      </c>
      <c r="CO140" s="228">
        <v>369</v>
      </c>
      <c r="CP140" s="228">
        <v>381</v>
      </c>
      <c r="CQ140" s="228">
        <v>-12</v>
      </c>
      <c r="CR140" s="229">
        <v>-3.1099999999999999E-2</v>
      </c>
      <c r="CS140" s="228">
        <v>155</v>
      </c>
      <c r="CT140" s="228">
        <v>160</v>
      </c>
      <c r="CU140" s="228">
        <v>-5</v>
      </c>
      <c r="CV140" s="229">
        <v>-2.9000000000000001E-2</v>
      </c>
      <c r="CW140" s="228">
        <v>873</v>
      </c>
      <c r="CX140" s="228">
        <v>887</v>
      </c>
      <c r="CY140" s="228">
        <v>-14</v>
      </c>
      <c r="CZ140" s="229">
        <v>-1.5800000000000002E-2</v>
      </c>
      <c r="DA140" s="228">
        <v>31.9</v>
      </c>
      <c r="DB140" s="228">
        <v>32.24</v>
      </c>
      <c r="DC140" s="228">
        <v>-0.34</v>
      </c>
      <c r="DD140" s="228">
        <v>-0.34</v>
      </c>
      <c r="DE140" s="228">
        <v>45.03</v>
      </c>
      <c r="DF140" s="228">
        <v>45.11</v>
      </c>
      <c r="DG140" s="228">
        <v>-13.13</v>
      </c>
      <c r="DH140" s="228">
        <v>-0.08</v>
      </c>
      <c r="DI140" s="228">
        <v>33.26</v>
      </c>
      <c r="DJ140" s="228">
        <v>32.869999999999997</v>
      </c>
      <c r="DK140" s="228">
        <v>0.39</v>
      </c>
      <c r="DL140" s="228">
        <v>0.39</v>
      </c>
      <c r="DM140" s="228">
        <v>28.85</v>
      </c>
      <c r="DN140" s="228">
        <v>30.68</v>
      </c>
      <c r="DO140" s="228">
        <v>-1.83</v>
      </c>
      <c r="DP140" s="228">
        <v>-1.83</v>
      </c>
      <c r="DQ140" s="228">
        <v>0.42</v>
      </c>
      <c r="DR140" s="228">
        <v>0.42</v>
      </c>
      <c r="DS140" s="228">
        <v>0</v>
      </c>
      <c r="DT140" s="229">
        <v>0</v>
      </c>
      <c r="DU140" s="228">
        <v>180</v>
      </c>
      <c r="DV140" s="228">
        <v>160</v>
      </c>
      <c r="DW140" s="228">
        <v>0.45</v>
      </c>
      <c r="DX140" s="228">
        <v>0.41</v>
      </c>
      <c r="DY140" s="228">
        <v>0.04</v>
      </c>
      <c r="DZ140" s="229">
        <v>9.7600000000000006E-2</v>
      </c>
      <c r="EA140" s="229">
        <v>0</v>
      </c>
      <c r="EB140" s="228">
        <v>0</v>
      </c>
      <c r="EC140" s="229">
        <v>0</v>
      </c>
      <c r="ED140" s="229">
        <v>0</v>
      </c>
      <c r="EE140" s="228">
        <v>0</v>
      </c>
      <c r="EF140" s="229">
        <v>0</v>
      </c>
      <c r="EG140" s="230">
        <v>1386358</v>
      </c>
      <c r="EH140" s="230">
        <v>1624908</v>
      </c>
      <c r="EI140" s="229">
        <v>-0.14680000000000001</v>
      </c>
      <c r="EJ140" s="229">
        <v>0.37059999999999998</v>
      </c>
      <c r="EK140" s="228">
        <v>200.18</v>
      </c>
      <c r="EL140" s="228">
        <v>81.96</v>
      </c>
      <c r="EM140" s="228">
        <v>50.33</v>
      </c>
      <c r="EN140" s="228">
        <v>10.88</v>
      </c>
      <c r="EO140" s="228">
        <v>332.47</v>
      </c>
      <c r="EP140" s="228">
        <v>323.27</v>
      </c>
      <c r="EQ140" s="228">
        <v>9.1999999999999993</v>
      </c>
      <c r="ER140" s="229">
        <v>2.8500000000000001E-2</v>
      </c>
      <c r="ES140" s="228">
        <v>423.88</v>
      </c>
      <c r="ET140" s="228">
        <v>164.34</v>
      </c>
      <c r="EU140" s="228">
        <v>348.77</v>
      </c>
      <c r="EV140" s="231">
        <v>72342848</v>
      </c>
      <c r="EW140" s="228">
        <v>936.99</v>
      </c>
      <c r="EX140" s="228">
        <v>959.45</v>
      </c>
      <c r="EY140" s="228">
        <v>-22.46</v>
      </c>
      <c r="EZ140" s="229">
        <v>-2.3400000000000001E-2</v>
      </c>
      <c r="FA140" s="229">
        <v>0.77400000000000002</v>
      </c>
      <c r="FB140" s="227" t="s">
        <v>567</v>
      </c>
      <c r="FC140">
        <f t="shared" si="2"/>
        <v>0</v>
      </c>
    </row>
    <row r="141" spans="1:159" ht="17.25" thickBot="1" x14ac:dyDescent="0.3">
      <c r="A141" s="226">
        <v>46008</v>
      </c>
      <c r="B141" s="227" t="s">
        <v>168</v>
      </c>
      <c r="C141" s="227" t="s">
        <v>265</v>
      </c>
      <c r="D141" s="228">
        <v>500</v>
      </c>
      <c r="E141" s="228">
        <v>13</v>
      </c>
      <c r="F141" s="231">
        <v>1235.9000000000001</v>
      </c>
      <c r="G141" s="231">
        <v>1244.4000000000001</v>
      </c>
      <c r="H141" s="228">
        <v>-8.5</v>
      </c>
      <c r="I141" s="229">
        <v>-6.7999999999999996E-3</v>
      </c>
      <c r="J141" s="231">
        <v>1234.5999999999999</v>
      </c>
      <c r="K141" s="231">
        <v>1240.5999999999999</v>
      </c>
      <c r="L141" s="228">
        <v>-6</v>
      </c>
      <c r="M141" s="229">
        <v>-4.7999999999999996E-3</v>
      </c>
      <c r="N141" s="231">
        <v>1235.9000000000001</v>
      </c>
      <c r="O141" s="231">
        <v>1244.4000000000001</v>
      </c>
      <c r="P141" s="228">
        <v>-8.5</v>
      </c>
      <c r="Q141" s="229">
        <v>-6.7999999999999996E-3</v>
      </c>
      <c r="R141" s="231">
        <v>1243.5</v>
      </c>
      <c r="S141" s="231">
        <v>1251.4000000000001</v>
      </c>
      <c r="T141" s="228">
        <v>-7.9</v>
      </c>
      <c r="U141" s="229">
        <v>-6.3E-3</v>
      </c>
      <c r="V141" s="231">
        <v>1245.7</v>
      </c>
      <c r="W141" s="231">
        <v>1254.7</v>
      </c>
      <c r="X141" s="228">
        <v>-9</v>
      </c>
      <c r="Y141" s="229">
        <v>-7.1999999999999998E-3</v>
      </c>
      <c r="Z141" s="228">
        <v>1.3</v>
      </c>
      <c r="AA141" s="228">
        <v>3.8</v>
      </c>
      <c r="AB141" s="228">
        <v>-2.5</v>
      </c>
      <c r="AC141" s="229">
        <v>1.1000000000000001E-3</v>
      </c>
      <c r="AD141" s="228">
        <v>1.3</v>
      </c>
      <c r="AE141" s="228">
        <v>3.8</v>
      </c>
      <c r="AF141" s="228">
        <v>-2.5</v>
      </c>
      <c r="AG141" s="229">
        <v>1.1000000000000001E-3</v>
      </c>
      <c r="AH141" s="228">
        <v>8.9</v>
      </c>
      <c r="AI141" s="228">
        <v>10.8</v>
      </c>
      <c r="AJ141" s="228">
        <v>-1.9</v>
      </c>
      <c r="AK141" s="229">
        <v>7.1999999999999998E-3</v>
      </c>
      <c r="AL141" s="228">
        <v>11.1</v>
      </c>
      <c r="AM141" s="228">
        <v>14.1</v>
      </c>
      <c r="AN141" s="228">
        <v>-3</v>
      </c>
      <c r="AO141" s="229">
        <v>8.9999999999999993E-3</v>
      </c>
      <c r="AP141" s="231">
        <v>1236.6400000000001</v>
      </c>
      <c r="AQ141" s="231">
        <v>1244.77</v>
      </c>
      <c r="AR141" s="228">
        <v>0</v>
      </c>
      <c r="AS141" s="228">
        <v>326</v>
      </c>
      <c r="AT141" s="228">
        <v>240</v>
      </c>
      <c r="AU141" s="228">
        <v>86</v>
      </c>
      <c r="AV141" s="229">
        <v>0.35610000000000003</v>
      </c>
      <c r="AW141" s="228">
        <v>213</v>
      </c>
      <c r="AX141" s="228">
        <v>199</v>
      </c>
      <c r="AY141" s="228">
        <v>14</v>
      </c>
      <c r="AZ141" s="229">
        <v>7.22E-2</v>
      </c>
      <c r="BA141" s="228">
        <v>112</v>
      </c>
      <c r="BB141" s="228">
        <v>40</v>
      </c>
      <c r="BC141" s="228">
        <v>72</v>
      </c>
      <c r="BD141" s="229">
        <v>1.7830999999999999</v>
      </c>
      <c r="BE141" s="228">
        <v>1</v>
      </c>
      <c r="BF141" s="228">
        <v>1</v>
      </c>
      <c r="BG141" s="228">
        <v>0</v>
      </c>
      <c r="BH141" s="229">
        <v>-0.30430000000000001</v>
      </c>
      <c r="BI141" s="228">
        <v>529</v>
      </c>
      <c r="BJ141" s="230">
        <v>1294</v>
      </c>
      <c r="BK141" s="228">
        <v>-765</v>
      </c>
      <c r="BL141" s="229">
        <v>-0.59130000000000005</v>
      </c>
      <c r="BM141" s="228">
        <v>192</v>
      </c>
      <c r="BN141" s="228">
        <v>290</v>
      </c>
      <c r="BO141" s="228">
        <v>-98</v>
      </c>
      <c r="BP141" s="229">
        <v>-0.3387</v>
      </c>
      <c r="BQ141" s="230">
        <v>1047</v>
      </c>
      <c r="BR141" s="230">
        <v>1825</v>
      </c>
      <c r="BS141" s="228">
        <v>-778</v>
      </c>
      <c r="BT141" s="229">
        <v>-0.4264</v>
      </c>
      <c r="BU141" s="230">
        <v>538361</v>
      </c>
      <c r="BV141" s="230">
        <v>1123287</v>
      </c>
      <c r="BW141" s="230">
        <v>-584926</v>
      </c>
      <c r="BX141" s="229">
        <v>-0.52070000000000005</v>
      </c>
      <c r="BY141" s="230">
        <v>2038</v>
      </c>
      <c r="BZ141" s="230">
        <v>2014</v>
      </c>
      <c r="CA141" s="228">
        <v>25</v>
      </c>
      <c r="CB141" s="229">
        <v>1.23E-2</v>
      </c>
      <c r="CC141" s="230">
        <v>1798</v>
      </c>
      <c r="CD141" s="230">
        <v>1875</v>
      </c>
      <c r="CE141" s="228">
        <v>-77</v>
      </c>
      <c r="CF141" s="229">
        <v>-4.1099999999999998E-2</v>
      </c>
      <c r="CG141" s="228">
        <v>231</v>
      </c>
      <c r="CH141" s="228">
        <v>129</v>
      </c>
      <c r="CI141" s="228">
        <v>101</v>
      </c>
      <c r="CJ141" s="229">
        <v>0.78390000000000004</v>
      </c>
      <c r="CK141" s="228">
        <v>10</v>
      </c>
      <c r="CL141" s="228">
        <v>10</v>
      </c>
      <c r="CM141" s="228">
        <v>0</v>
      </c>
      <c r="CN141" s="229">
        <v>3.8699999999999998E-2</v>
      </c>
      <c r="CO141" s="228">
        <v>900</v>
      </c>
      <c r="CP141" s="228">
        <v>875</v>
      </c>
      <c r="CQ141" s="228">
        <v>25</v>
      </c>
      <c r="CR141" s="229">
        <v>2.8400000000000002E-2</v>
      </c>
      <c r="CS141" s="228">
        <v>283</v>
      </c>
      <c r="CT141" s="228">
        <v>285</v>
      </c>
      <c r="CU141" s="228">
        <v>-2</v>
      </c>
      <c r="CV141" s="229">
        <v>-5.4000000000000003E-3</v>
      </c>
      <c r="CW141" s="230">
        <v>3222</v>
      </c>
      <c r="CX141" s="230">
        <v>3174</v>
      </c>
      <c r="CY141" s="228">
        <v>48</v>
      </c>
      <c r="CZ141" s="229">
        <v>1.5100000000000001E-2</v>
      </c>
      <c r="DA141" s="228">
        <v>18.63</v>
      </c>
      <c r="DB141" s="228">
        <v>18.71</v>
      </c>
      <c r="DC141" s="228">
        <v>-0.08</v>
      </c>
      <c r="DD141" s="228">
        <v>-0.08</v>
      </c>
      <c r="DE141" s="228">
        <v>22.99</v>
      </c>
      <c r="DF141" s="228">
        <v>23.04</v>
      </c>
      <c r="DG141" s="228">
        <v>-4.3600000000000003</v>
      </c>
      <c r="DH141" s="228">
        <v>-0.05</v>
      </c>
      <c r="DI141" s="228">
        <v>19.09</v>
      </c>
      <c r="DJ141" s="228">
        <v>19.02</v>
      </c>
      <c r="DK141" s="228">
        <v>7.0000000000000007E-2</v>
      </c>
      <c r="DL141" s="228">
        <v>7.0000000000000007E-2</v>
      </c>
      <c r="DM141" s="228">
        <v>17.350000000000001</v>
      </c>
      <c r="DN141" s="228">
        <v>17.34</v>
      </c>
      <c r="DO141" s="228">
        <v>0.01</v>
      </c>
      <c r="DP141" s="228">
        <v>0.01</v>
      </c>
      <c r="DQ141" s="228">
        <v>0.31</v>
      </c>
      <c r="DR141" s="228">
        <v>0.33</v>
      </c>
      <c r="DS141" s="228">
        <v>-0.02</v>
      </c>
      <c r="DT141" s="229">
        <v>-6.0600000000000001E-2</v>
      </c>
      <c r="DU141" s="231">
        <v>1320</v>
      </c>
      <c r="DV141" s="231">
        <v>1180</v>
      </c>
      <c r="DW141" s="228">
        <v>0.36</v>
      </c>
      <c r="DX141" s="228">
        <v>0.22</v>
      </c>
      <c r="DY141" s="228">
        <v>0.14000000000000001</v>
      </c>
      <c r="DZ141" s="229">
        <v>0.63639999999999997</v>
      </c>
      <c r="EA141" s="229">
        <v>0.11799999999999999</v>
      </c>
      <c r="EB141" s="230">
        <v>1123500</v>
      </c>
      <c r="EC141" s="229">
        <v>6.1000000000000004E-3</v>
      </c>
      <c r="ED141" s="229">
        <v>0.11799999999999999</v>
      </c>
      <c r="EE141" s="228">
        <v>8.1300000000000008</v>
      </c>
      <c r="EF141" s="229">
        <v>6.6E-3</v>
      </c>
      <c r="EG141" s="230">
        <v>294244</v>
      </c>
      <c r="EH141" s="230">
        <v>576258</v>
      </c>
      <c r="EI141" s="229">
        <v>-0.4894</v>
      </c>
      <c r="EJ141" s="229">
        <v>0.54659999999999997</v>
      </c>
      <c r="EK141" s="228">
        <v>549.66</v>
      </c>
      <c r="EL141" s="228">
        <v>191.26</v>
      </c>
      <c r="EM141" s="228">
        <v>326.66000000000003</v>
      </c>
      <c r="EN141" s="228">
        <v>26.34</v>
      </c>
      <c r="EO141" s="231">
        <v>1067.58</v>
      </c>
      <c r="EP141" s="231">
        <v>1884.72</v>
      </c>
      <c r="EQ141" s="228">
        <v>-817.14</v>
      </c>
      <c r="ER141" s="229">
        <v>-0.43359999999999999</v>
      </c>
      <c r="ES141" s="228">
        <v>949.7</v>
      </c>
      <c r="ET141" s="228">
        <v>278.66000000000003</v>
      </c>
      <c r="EU141" s="231">
        <v>2039.99</v>
      </c>
      <c r="EV141" s="231">
        <v>71801274</v>
      </c>
      <c r="EW141" s="231">
        <v>3268.35</v>
      </c>
      <c r="EX141" s="231">
        <v>3231.77</v>
      </c>
      <c r="EY141" s="228">
        <v>36.58</v>
      </c>
      <c r="EZ141" s="229">
        <v>1.1299999999999999E-2</v>
      </c>
      <c r="FA141" s="229">
        <v>0.36309999999999998</v>
      </c>
      <c r="FB141" s="227" t="s">
        <v>567</v>
      </c>
      <c r="FC141">
        <f t="shared" si="2"/>
        <v>240</v>
      </c>
    </row>
    <row r="142" spans="1:159" ht="17.25" thickBot="1" x14ac:dyDescent="0.3">
      <c r="A142" s="226">
        <v>46008</v>
      </c>
      <c r="B142" s="227" t="s">
        <v>161</v>
      </c>
      <c r="C142" s="227" t="s">
        <v>585</v>
      </c>
      <c r="D142" s="228">
        <v>6400</v>
      </c>
      <c r="E142" s="228">
        <v>13</v>
      </c>
      <c r="F142" s="228">
        <v>75.569999999999993</v>
      </c>
      <c r="G142" s="228">
        <v>75.97</v>
      </c>
      <c r="H142" s="228">
        <v>-0.4</v>
      </c>
      <c r="I142" s="229">
        <v>-5.3E-3</v>
      </c>
      <c r="J142" s="228">
        <v>75.39</v>
      </c>
      <c r="K142" s="228">
        <v>76.010000000000005</v>
      </c>
      <c r="L142" s="228">
        <v>-0.62</v>
      </c>
      <c r="M142" s="229">
        <v>-8.2000000000000007E-3</v>
      </c>
      <c r="N142" s="228">
        <v>75.569999999999993</v>
      </c>
      <c r="O142" s="228">
        <v>75.97</v>
      </c>
      <c r="P142" s="228">
        <v>-0.4</v>
      </c>
      <c r="Q142" s="229">
        <v>-5.3E-3</v>
      </c>
      <c r="R142" s="228">
        <v>76.03</v>
      </c>
      <c r="S142" s="228">
        <v>76.42</v>
      </c>
      <c r="T142" s="228">
        <v>-0.39</v>
      </c>
      <c r="U142" s="229">
        <v>-5.1000000000000004E-3</v>
      </c>
      <c r="V142" s="228">
        <v>75.760000000000005</v>
      </c>
      <c r="W142" s="228">
        <v>76.08</v>
      </c>
      <c r="X142" s="228">
        <v>-0.32</v>
      </c>
      <c r="Y142" s="229">
        <v>-4.1999999999999997E-3</v>
      </c>
      <c r="Z142" s="228">
        <v>0.18</v>
      </c>
      <c r="AA142" s="228">
        <v>-0.04</v>
      </c>
      <c r="AB142" s="228">
        <v>0.22</v>
      </c>
      <c r="AC142" s="229">
        <v>2.3999999999999998E-3</v>
      </c>
      <c r="AD142" s="228">
        <v>0.18</v>
      </c>
      <c r="AE142" s="228">
        <v>-0.04</v>
      </c>
      <c r="AF142" s="228">
        <v>0.22</v>
      </c>
      <c r="AG142" s="229">
        <v>2.3999999999999998E-3</v>
      </c>
      <c r="AH142" s="228">
        <v>0.64</v>
      </c>
      <c r="AI142" s="228">
        <v>0.41</v>
      </c>
      <c r="AJ142" s="228">
        <v>0.23</v>
      </c>
      <c r="AK142" s="229">
        <v>8.5000000000000006E-3</v>
      </c>
      <c r="AL142" s="228">
        <v>0.37</v>
      </c>
      <c r="AM142" s="228">
        <v>7.0000000000000007E-2</v>
      </c>
      <c r="AN142" s="228">
        <v>0.3</v>
      </c>
      <c r="AO142" s="229">
        <v>4.8999999999999998E-3</v>
      </c>
      <c r="AP142" s="228">
        <v>75.599999999999994</v>
      </c>
      <c r="AQ142" s="228">
        <v>76.13</v>
      </c>
      <c r="AR142" s="228">
        <v>0</v>
      </c>
      <c r="AS142" s="228">
        <v>76</v>
      </c>
      <c r="AT142" s="228">
        <v>58</v>
      </c>
      <c r="AU142" s="228">
        <v>18</v>
      </c>
      <c r="AV142" s="229">
        <v>0.29970000000000002</v>
      </c>
      <c r="AW142" s="228">
        <v>57</v>
      </c>
      <c r="AX142" s="228">
        <v>43</v>
      </c>
      <c r="AY142" s="228">
        <v>14</v>
      </c>
      <c r="AZ142" s="229">
        <v>0.32040000000000002</v>
      </c>
      <c r="BA142" s="228">
        <v>15</v>
      </c>
      <c r="BB142" s="228">
        <v>13</v>
      </c>
      <c r="BC142" s="228">
        <v>2</v>
      </c>
      <c r="BD142" s="229">
        <v>0.14019999999999999</v>
      </c>
      <c r="BE142" s="228">
        <v>4</v>
      </c>
      <c r="BF142" s="228">
        <v>2</v>
      </c>
      <c r="BG142" s="228">
        <v>2</v>
      </c>
      <c r="BH142" s="229">
        <v>0.82220000000000004</v>
      </c>
      <c r="BI142" s="228">
        <v>164</v>
      </c>
      <c r="BJ142" s="228">
        <v>149</v>
      </c>
      <c r="BK142" s="228">
        <v>15</v>
      </c>
      <c r="BL142" s="229">
        <v>0.1017</v>
      </c>
      <c r="BM142" s="228">
        <v>49</v>
      </c>
      <c r="BN142" s="228">
        <v>31</v>
      </c>
      <c r="BO142" s="228">
        <v>18</v>
      </c>
      <c r="BP142" s="229">
        <v>0.56530000000000002</v>
      </c>
      <c r="BQ142" s="228">
        <v>290</v>
      </c>
      <c r="BR142" s="228">
        <v>239</v>
      </c>
      <c r="BS142" s="228">
        <v>50</v>
      </c>
      <c r="BT142" s="229">
        <v>0.21110000000000001</v>
      </c>
      <c r="BU142" s="230">
        <v>5980681</v>
      </c>
      <c r="BV142" s="230">
        <v>6412788</v>
      </c>
      <c r="BW142" s="230">
        <v>-432107</v>
      </c>
      <c r="BX142" s="229">
        <v>-6.7400000000000002E-2</v>
      </c>
      <c r="BY142" s="228">
        <v>560</v>
      </c>
      <c r="BZ142" s="228">
        <v>562</v>
      </c>
      <c r="CA142" s="228">
        <v>-1</v>
      </c>
      <c r="CB142" s="229">
        <v>-2.5999999999999999E-3</v>
      </c>
      <c r="CC142" s="228">
        <v>503</v>
      </c>
      <c r="CD142" s="228">
        <v>509</v>
      </c>
      <c r="CE142" s="228">
        <v>-6</v>
      </c>
      <c r="CF142" s="229">
        <v>-1.26E-2</v>
      </c>
      <c r="CG142" s="228">
        <v>45</v>
      </c>
      <c r="CH142" s="228">
        <v>41</v>
      </c>
      <c r="CI142" s="228">
        <v>4</v>
      </c>
      <c r="CJ142" s="229">
        <v>9.06E-2</v>
      </c>
      <c r="CK142" s="228">
        <v>13</v>
      </c>
      <c r="CL142" s="228">
        <v>12</v>
      </c>
      <c r="CM142" s="228">
        <v>1</v>
      </c>
      <c r="CN142" s="229">
        <v>0.10879999999999999</v>
      </c>
      <c r="CO142" s="228">
        <v>355</v>
      </c>
      <c r="CP142" s="228">
        <v>354</v>
      </c>
      <c r="CQ142" s="228">
        <v>1</v>
      </c>
      <c r="CR142" s="229">
        <v>2.3E-3</v>
      </c>
      <c r="CS142" s="228">
        <v>158</v>
      </c>
      <c r="CT142" s="228">
        <v>159</v>
      </c>
      <c r="CU142" s="228">
        <v>-1</v>
      </c>
      <c r="CV142" s="229">
        <v>-8.8000000000000005E-3</v>
      </c>
      <c r="CW142" s="230">
        <v>1073</v>
      </c>
      <c r="CX142" s="230">
        <v>1075</v>
      </c>
      <c r="CY142" s="228">
        <v>-2</v>
      </c>
      <c r="CZ142" s="229">
        <v>-1.9E-3</v>
      </c>
      <c r="DA142" s="228">
        <v>24.71</v>
      </c>
      <c r="DB142" s="228">
        <v>25.85</v>
      </c>
      <c r="DC142" s="228">
        <v>-1.1399999999999999</v>
      </c>
      <c r="DD142" s="228">
        <v>-1.1399999999999999</v>
      </c>
      <c r="DE142" s="228">
        <v>36.72</v>
      </c>
      <c r="DF142" s="228">
        <v>36.799999999999997</v>
      </c>
      <c r="DG142" s="228">
        <v>-12.01</v>
      </c>
      <c r="DH142" s="228">
        <v>-0.08</v>
      </c>
      <c r="DI142" s="228">
        <v>25.2</v>
      </c>
      <c r="DJ142" s="228">
        <v>26.32</v>
      </c>
      <c r="DK142" s="228">
        <v>-1.1200000000000001</v>
      </c>
      <c r="DL142" s="228">
        <v>-1.1200000000000001</v>
      </c>
      <c r="DM142" s="228">
        <v>23.06</v>
      </c>
      <c r="DN142" s="228">
        <v>23.6</v>
      </c>
      <c r="DO142" s="228">
        <v>-0.54</v>
      </c>
      <c r="DP142" s="228">
        <v>-0.54</v>
      </c>
      <c r="DQ142" s="228">
        <v>0.45</v>
      </c>
      <c r="DR142" s="228">
        <v>0.45</v>
      </c>
      <c r="DS142" s="228">
        <v>0</v>
      </c>
      <c r="DT142" s="229">
        <v>0</v>
      </c>
      <c r="DU142" s="228">
        <v>80</v>
      </c>
      <c r="DV142" s="228">
        <v>72</v>
      </c>
      <c r="DW142" s="228">
        <v>0.3</v>
      </c>
      <c r="DX142" s="228">
        <v>0.21</v>
      </c>
      <c r="DY142" s="228">
        <v>0.09</v>
      </c>
      <c r="DZ142" s="229">
        <v>0.42859999999999998</v>
      </c>
      <c r="EA142" s="229">
        <v>0.10290000000000001</v>
      </c>
      <c r="EB142" s="230">
        <v>6969600</v>
      </c>
      <c r="EC142" s="229">
        <v>6.1000000000000004E-3</v>
      </c>
      <c r="ED142" s="229">
        <v>0.10290000000000001</v>
      </c>
      <c r="EE142" s="228">
        <v>0.53</v>
      </c>
      <c r="EF142" s="229">
        <v>7.0000000000000001E-3</v>
      </c>
      <c r="EG142" s="230">
        <v>2290076</v>
      </c>
      <c r="EH142" s="230">
        <v>4112566</v>
      </c>
      <c r="EI142" s="229">
        <v>-0.44319999999999998</v>
      </c>
      <c r="EJ142" s="229">
        <v>0.38290000000000002</v>
      </c>
      <c r="EK142" s="228">
        <v>173.33</v>
      </c>
      <c r="EL142" s="228">
        <v>49.31</v>
      </c>
      <c r="EM142" s="228">
        <v>76.069999999999993</v>
      </c>
      <c r="EN142" s="228">
        <v>14.84</v>
      </c>
      <c r="EO142" s="228">
        <v>298.72000000000003</v>
      </c>
      <c r="EP142" s="228">
        <v>249.9</v>
      </c>
      <c r="EQ142" s="228">
        <v>48.81</v>
      </c>
      <c r="ER142" s="229">
        <v>0.1953</v>
      </c>
      <c r="ES142" s="228">
        <v>381.23</v>
      </c>
      <c r="ET142" s="228">
        <v>158.07</v>
      </c>
      <c r="EU142" s="228">
        <v>560.55999999999995</v>
      </c>
      <c r="EV142" s="231">
        <v>398201603</v>
      </c>
      <c r="EW142" s="231">
        <v>1099.8699999999999</v>
      </c>
      <c r="EX142" s="231">
        <v>1105.54</v>
      </c>
      <c r="EY142" s="228">
        <v>-5.67</v>
      </c>
      <c r="EZ142" s="229">
        <v>-5.1000000000000004E-3</v>
      </c>
      <c r="FA142" s="229">
        <v>0.35639999999999999</v>
      </c>
      <c r="FB142" s="227" t="s">
        <v>568</v>
      </c>
      <c r="FC142">
        <f t="shared" si="2"/>
        <v>57</v>
      </c>
    </row>
    <row r="143" spans="1:159" ht="17.25" thickBot="1" x14ac:dyDescent="0.3">
      <c r="A143" s="226">
        <v>46008</v>
      </c>
      <c r="B143" s="227" t="s">
        <v>181</v>
      </c>
      <c r="C143" s="227" t="s">
        <v>266</v>
      </c>
      <c r="D143" s="228">
        <v>75</v>
      </c>
      <c r="E143" s="228">
        <v>13</v>
      </c>
      <c r="F143" s="231">
        <v>25897.8</v>
      </c>
      <c r="G143" s="231">
        <v>25940.7</v>
      </c>
      <c r="H143" s="228">
        <v>-42.9</v>
      </c>
      <c r="I143" s="229">
        <v>-1.6999999999999999E-3</v>
      </c>
      <c r="J143" s="231">
        <v>25818.55</v>
      </c>
      <c r="K143" s="231">
        <v>25860.1</v>
      </c>
      <c r="L143" s="228">
        <v>-41.55</v>
      </c>
      <c r="M143" s="229">
        <v>-1.6000000000000001E-3</v>
      </c>
      <c r="N143" s="231">
        <v>25897.8</v>
      </c>
      <c r="O143" s="231">
        <v>25940.7</v>
      </c>
      <c r="P143" s="228">
        <v>-42.9</v>
      </c>
      <c r="Q143" s="229">
        <v>-1.6999999999999999E-3</v>
      </c>
      <c r="R143" s="231">
        <v>26061.8</v>
      </c>
      <c r="S143" s="231">
        <v>26112.9</v>
      </c>
      <c r="T143" s="228">
        <v>-51.1</v>
      </c>
      <c r="U143" s="229">
        <v>-2E-3</v>
      </c>
      <c r="V143" s="231">
        <v>26212.400000000001</v>
      </c>
      <c r="W143" s="231">
        <v>26257.4</v>
      </c>
      <c r="X143" s="228">
        <v>-45</v>
      </c>
      <c r="Y143" s="229">
        <v>-1.6999999999999999E-3</v>
      </c>
      <c r="Z143" s="228">
        <v>79.25</v>
      </c>
      <c r="AA143" s="228">
        <v>80.599999999999994</v>
      </c>
      <c r="AB143" s="228">
        <v>-1.35</v>
      </c>
      <c r="AC143" s="229">
        <v>3.0999999999999999E-3</v>
      </c>
      <c r="AD143" s="228">
        <v>79.25</v>
      </c>
      <c r="AE143" s="228">
        <v>80.599999999999994</v>
      </c>
      <c r="AF143" s="228">
        <v>-1.35</v>
      </c>
      <c r="AG143" s="229">
        <v>3.0999999999999999E-3</v>
      </c>
      <c r="AH143" s="228">
        <v>243.25</v>
      </c>
      <c r="AI143" s="228">
        <v>252.8</v>
      </c>
      <c r="AJ143" s="228">
        <v>-9.5500000000000007</v>
      </c>
      <c r="AK143" s="229">
        <v>9.4000000000000004E-3</v>
      </c>
      <c r="AL143" s="228">
        <v>393.85</v>
      </c>
      <c r="AM143" s="228">
        <v>397.3</v>
      </c>
      <c r="AN143" s="228">
        <v>-3.45</v>
      </c>
      <c r="AO143" s="229">
        <v>1.5299999999999999E-2</v>
      </c>
      <c r="AP143" s="231">
        <v>25912.74</v>
      </c>
      <c r="AQ143" s="231">
        <v>26073.18</v>
      </c>
      <c r="AR143" s="228">
        <v>0</v>
      </c>
      <c r="AS143" s="230">
        <v>10655</v>
      </c>
      <c r="AT143" s="230">
        <v>14118</v>
      </c>
      <c r="AU143" s="230">
        <v>-3463</v>
      </c>
      <c r="AV143" s="229">
        <v>-0.24529999999999999</v>
      </c>
      <c r="AW143" s="230">
        <v>9347</v>
      </c>
      <c r="AX143" s="230">
        <v>12584</v>
      </c>
      <c r="AY143" s="230">
        <v>-3237</v>
      </c>
      <c r="AZ143" s="229">
        <v>-0.25719999999999998</v>
      </c>
      <c r="BA143" s="228">
        <v>987</v>
      </c>
      <c r="BB143" s="230">
        <v>1181</v>
      </c>
      <c r="BC143" s="228">
        <v>-193</v>
      </c>
      <c r="BD143" s="229">
        <v>-0.16370000000000001</v>
      </c>
      <c r="BE143" s="228">
        <v>320</v>
      </c>
      <c r="BF143" s="228">
        <v>353</v>
      </c>
      <c r="BG143" s="228">
        <v>-33</v>
      </c>
      <c r="BH143" s="229">
        <v>-9.2399999999999996E-2</v>
      </c>
      <c r="BI143" s="230">
        <v>4621760</v>
      </c>
      <c r="BJ143" s="230">
        <v>25371490</v>
      </c>
      <c r="BK143" s="230">
        <v>-20749731</v>
      </c>
      <c r="BL143" s="229">
        <v>-0.81779999999999997</v>
      </c>
      <c r="BM143" s="230">
        <v>4545047</v>
      </c>
      <c r="BN143" s="230">
        <v>26091642</v>
      </c>
      <c r="BO143" s="230">
        <v>-21546595</v>
      </c>
      <c r="BP143" s="229">
        <v>-0.82579999999999998</v>
      </c>
      <c r="BQ143" s="230">
        <v>9177462</v>
      </c>
      <c r="BR143" s="230">
        <v>51477251</v>
      </c>
      <c r="BS143" s="230">
        <v>-42299789</v>
      </c>
      <c r="BT143" s="229">
        <v>-0.82169999999999999</v>
      </c>
      <c r="BU143" s="228">
        <v>0</v>
      </c>
      <c r="BV143" s="228">
        <v>0</v>
      </c>
      <c r="BW143" s="228">
        <v>0</v>
      </c>
      <c r="BX143" s="229">
        <v>0</v>
      </c>
      <c r="BY143" s="230">
        <v>48090</v>
      </c>
      <c r="BZ143" s="230">
        <v>47105</v>
      </c>
      <c r="CA143" s="228">
        <v>985</v>
      </c>
      <c r="CB143" s="229">
        <v>2.0899999999999998E-2</v>
      </c>
      <c r="CC143" s="230">
        <v>42511</v>
      </c>
      <c r="CD143" s="230">
        <v>41806</v>
      </c>
      <c r="CE143" s="228">
        <v>705</v>
      </c>
      <c r="CF143" s="229">
        <v>1.6899999999999998E-2</v>
      </c>
      <c r="CG143" s="230">
        <v>4107</v>
      </c>
      <c r="CH143" s="230">
        <v>3889</v>
      </c>
      <c r="CI143" s="228">
        <v>218</v>
      </c>
      <c r="CJ143" s="229">
        <v>5.6000000000000001E-2</v>
      </c>
      <c r="CK143" s="230">
        <v>1472</v>
      </c>
      <c r="CL143" s="230">
        <v>1410</v>
      </c>
      <c r="CM143" s="228">
        <v>62</v>
      </c>
      <c r="CN143" s="229">
        <v>4.4299999999999999E-2</v>
      </c>
      <c r="CO143" s="230">
        <v>636345</v>
      </c>
      <c r="CP143" s="230">
        <v>446262</v>
      </c>
      <c r="CQ143" s="230">
        <v>190082</v>
      </c>
      <c r="CR143" s="229">
        <v>0.4259</v>
      </c>
      <c r="CS143" s="230">
        <v>488873</v>
      </c>
      <c r="CT143" s="230">
        <v>401828</v>
      </c>
      <c r="CU143" s="230">
        <v>87045</v>
      </c>
      <c r="CV143" s="229">
        <v>0.21659999999999999</v>
      </c>
      <c r="CW143" s="230">
        <v>1173308</v>
      </c>
      <c r="CX143" s="230">
        <v>1671454</v>
      </c>
      <c r="CY143" s="230">
        <v>-498147</v>
      </c>
      <c r="CZ143" s="229">
        <v>-0.29799999999999999</v>
      </c>
      <c r="DA143" s="228">
        <v>9.8000000000000007</v>
      </c>
      <c r="DB143" s="228">
        <v>10.42</v>
      </c>
      <c r="DC143" s="228">
        <v>-0.62</v>
      </c>
      <c r="DD143" s="228">
        <v>-0.62</v>
      </c>
      <c r="DE143" s="228">
        <v>14.13</v>
      </c>
      <c r="DF143" s="228">
        <v>14.17</v>
      </c>
      <c r="DG143" s="228">
        <v>-4.33</v>
      </c>
      <c r="DH143" s="228">
        <v>-0.04</v>
      </c>
      <c r="DI143" s="228">
        <v>9.86</v>
      </c>
      <c r="DJ143" s="228">
        <v>10.36</v>
      </c>
      <c r="DK143" s="228">
        <v>-0.5</v>
      </c>
      <c r="DL143" s="228">
        <v>-0.5</v>
      </c>
      <c r="DM143" s="228">
        <v>9.74</v>
      </c>
      <c r="DN143" s="228">
        <v>10.5</v>
      </c>
      <c r="DO143" s="228">
        <v>-0.76</v>
      </c>
      <c r="DP143" s="228">
        <v>-0.76</v>
      </c>
      <c r="DQ143" s="228">
        <v>0.77</v>
      </c>
      <c r="DR143" s="228">
        <v>0.9</v>
      </c>
      <c r="DS143" s="228">
        <v>-0.13</v>
      </c>
      <c r="DT143" s="229">
        <v>-0.1444</v>
      </c>
      <c r="DU143" s="231">
        <v>26000</v>
      </c>
      <c r="DV143" s="231">
        <v>26000</v>
      </c>
      <c r="DW143" s="228">
        <v>0.98</v>
      </c>
      <c r="DX143" s="228">
        <v>1.03</v>
      </c>
      <c r="DY143" s="228">
        <v>-0.05</v>
      </c>
      <c r="DZ143" s="229">
        <v>-4.8500000000000001E-2</v>
      </c>
      <c r="EA143" s="229">
        <v>0.11600000000000001</v>
      </c>
      <c r="EB143" s="230">
        <v>2046135</v>
      </c>
      <c r="EC143" s="229">
        <v>6.3E-3</v>
      </c>
      <c r="ED143" s="229">
        <v>0.11600000000000001</v>
      </c>
      <c r="EE143" s="228">
        <v>160.44</v>
      </c>
      <c r="EF143" s="229">
        <v>6.1999999999999998E-3</v>
      </c>
      <c r="EG143" s="228">
        <v>0</v>
      </c>
      <c r="EH143" s="228">
        <v>0</v>
      </c>
      <c r="EI143" s="229">
        <v>0</v>
      </c>
      <c r="EJ143" s="229">
        <v>0</v>
      </c>
      <c r="EK143" s="231">
        <v>4681582.58</v>
      </c>
      <c r="EL143" s="231">
        <v>4507662.42</v>
      </c>
      <c r="EM143" s="231">
        <v>10495.31</v>
      </c>
      <c r="EN143" s="228">
        <v>732.32</v>
      </c>
      <c r="EO143" s="231">
        <v>9199740.3200000003</v>
      </c>
      <c r="EP143" s="231">
        <v>51569966.890000001</v>
      </c>
      <c r="EQ143" s="231">
        <v>-42370226.57</v>
      </c>
      <c r="ER143" s="229">
        <v>-0.8216</v>
      </c>
      <c r="ES143" s="231">
        <v>651163.93000000005</v>
      </c>
      <c r="ET143" s="231">
        <v>476251.82</v>
      </c>
      <c r="EU143" s="231">
        <v>48133.74</v>
      </c>
      <c r="EV143" s="228">
        <v>0</v>
      </c>
      <c r="EW143" s="231">
        <v>1175549.49</v>
      </c>
      <c r="EX143" s="231">
        <v>895907.45</v>
      </c>
      <c r="EY143" s="231">
        <v>279642.03999999998</v>
      </c>
      <c r="EZ143" s="229">
        <v>0.31209999999999999</v>
      </c>
      <c r="FA143" s="229">
        <v>0</v>
      </c>
      <c r="FB143" s="227" t="s">
        <v>567</v>
      </c>
      <c r="FC143">
        <f t="shared" si="2"/>
        <v>5579</v>
      </c>
    </row>
    <row r="144" spans="1:159" ht="17.25" thickBot="1" x14ac:dyDescent="0.3">
      <c r="A144" s="226">
        <v>46008</v>
      </c>
      <c r="B144" s="227" t="s">
        <v>181</v>
      </c>
      <c r="C144" s="227" t="s">
        <v>566</v>
      </c>
      <c r="D144" s="228">
        <v>25</v>
      </c>
      <c r="E144" s="228">
        <v>13</v>
      </c>
      <c r="F144" s="231">
        <v>68220</v>
      </c>
      <c r="G144" s="231">
        <v>68492</v>
      </c>
      <c r="H144" s="228">
        <v>-272</v>
      </c>
      <c r="I144" s="229">
        <v>-4.0000000000000001E-3</v>
      </c>
      <c r="J144" s="231">
        <v>68076.850000000006</v>
      </c>
      <c r="K144" s="231">
        <v>68337.2</v>
      </c>
      <c r="L144" s="228">
        <v>-260.35000000000002</v>
      </c>
      <c r="M144" s="229">
        <v>-3.8E-3</v>
      </c>
      <c r="N144" s="231">
        <v>68220</v>
      </c>
      <c r="O144" s="231">
        <v>68492</v>
      </c>
      <c r="P144" s="228">
        <v>-272</v>
      </c>
      <c r="Q144" s="229">
        <v>-4.0000000000000001E-3</v>
      </c>
      <c r="R144" s="231">
        <v>68597</v>
      </c>
      <c r="S144" s="231">
        <v>68929.399999999994</v>
      </c>
      <c r="T144" s="228">
        <v>-332.4</v>
      </c>
      <c r="U144" s="229">
        <v>-4.7999999999999996E-3</v>
      </c>
      <c r="V144" s="228">
        <v>0</v>
      </c>
      <c r="W144" s="228">
        <v>0</v>
      </c>
      <c r="X144" s="228">
        <v>0</v>
      </c>
      <c r="Y144" s="229">
        <v>0</v>
      </c>
      <c r="Z144" s="228">
        <v>143.15</v>
      </c>
      <c r="AA144" s="228">
        <v>154.80000000000001</v>
      </c>
      <c r="AB144" s="228">
        <v>-11.65</v>
      </c>
      <c r="AC144" s="229">
        <v>2.0999999999999999E-3</v>
      </c>
      <c r="AD144" s="228">
        <v>143.15</v>
      </c>
      <c r="AE144" s="228">
        <v>154.80000000000001</v>
      </c>
      <c r="AF144" s="228">
        <v>-11.65</v>
      </c>
      <c r="AG144" s="229">
        <v>2.0999999999999999E-3</v>
      </c>
      <c r="AH144" s="228">
        <v>520.15</v>
      </c>
      <c r="AI144" s="228">
        <v>592.20000000000005</v>
      </c>
      <c r="AJ144" s="228">
        <v>-72.05</v>
      </c>
      <c r="AK144" s="229">
        <v>7.6E-3</v>
      </c>
      <c r="AL144" s="228">
        <v>0</v>
      </c>
      <c r="AM144" s="228">
        <v>0</v>
      </c>
      <c r="AN144" s="228">
        <v>0</v>
      </c>
      <c r="AO144" s="229">
        <v>0</v>
      </c>
      <c r="AP144" s="231">
        <v>68366.05</v>
      </c>
      <c r="AQ144" s="231">
        <v>68757.84</v>
      </c>
      <c r="AR144" s="228">
        <v>0</v>
      </c>
      <c r="AS144" s="228">
        <v>38</v>
      </c>
      <c r="AT144" s="228">
        <v>32</v>
      </c>
      <c r="AU144" s="228">
        <v>6</v>
      </c>
      <c r="AV144" s="229">
        <v>0.2</v>
      </c>
      <c r="AW144" s="228">
        <v>32</v>
      </c>
      <c r="AX144" s="228">
        <v>28</v>
      </c>
      <c r="AY144" s="228">
        <v>4</v>
      </c>
      <c r="AZ144" s="229">
        <v>0.13500000000000001</v>
      </c>
      <c r="BA144" s="228">
        <v>6</v>
      </c>
      <c r="BB144" s="228">
        <v>4</v>
      </c>
      <c r="BC144" s="228">
        <v>3</v>
      </c>
      <c r="BD144" s="229">
        <v>0.68179999999999996</v>
      </c>
      <c r="BE144" s="228">
        <v>0</v>
      </c>
      <c r="BF144" s="228">
        <v>0</v>
      </c>
      <c r="BG144" s="228">
        <v>0</v>
      </c>
      <c r="BH144" s="229">
        <v>0</v>
      </c>
      <c r="BI144" s="228">
        <v>61</v>
      </c>
      <c r="BJ144" s="228">
        <v>62</v>
      </c>
      <c r="BK144" s="228">
        <v>0</v>
      </c>
      <c r="BL144" s="229">
        <v>-5.4999999999999997E-3</v>
      </c>
      <c r="BM144" s="228">
        <v>83</v>
      </c>
      <c r="BN144" s="228">
        <v>42</v>
      </c>
      <c r="BO144" s="228">
        <v>42</v>
      </c>
      <c r="BP144" s="229">
        <v>0.99590000000000001</v>
      </c>
      <c r="BQ144" s="228">
        <v>183</v>
      </c>
      <c r="BR144" s="228">
        <v>135</v>
      </c>
      <c r="BS144" s="228">
        <v>48</v>
      </c>
      <c r="BT144" s="229">
        <v>0.3523</v>
      </c>
      <c r="BU144" s="228">
        <v>0</v>
      </c>
      <c r="BV144" s="228">
        <v>0</v>
      </c>
      <c r="BW144" s="228">
        <v>0</v>
      </c>
      <c r="BX144" s="229">
        <v>0</v>
      </c>
      <c r="BY144" s="228">
        <v>202</v>
      </c>
      <c r="BZ144" s="228">
        <v>201</v>
      </c>
      <c r="CA144" s="228">
        <v>1</v>
      </c>
      <c r="CB144" s="229">
        <v>5.8999999999999999E-3</v>
      </c>
      <c r="CC144" s="228">
        <v>179</v>
      </c>
      <c r="CD144" s="228">
        <v>179</v>
      </c>
      <c r="CE144" s="228">
        <v>0</v>
      </c>
      <c r="CF144" s="229">
        <v>0</v>
      </c>
      <c r="CG144" s="228">
        <v>23</v>
      </c>
      <c r="CH144" s="228">
        <v>22</v>
      </c>
      <c r="CI144" s="228">
        <v>1</v>
      </c>
      <c r="CJ144" s="229">
        <v>5.5100000000000003E-2</v>
      </c>
      <c r="CK144" s="228">
        <v>0</v>
      </c>
      <c r="CL144" s="228">
        <v>0</v>
      </c>
      <c r="CM144" s="228">
        <v>0</v>
      </c>
      <c r="CN144" s="229">
        <v>0</v>
      </c>
      <c r="CO144" s="228">
        <v>110</v>
      </c>
      <c r="CP144" s="228">
        <v>101</v>
      </c>
      <c r="CQ144" s="228">
        <v>10</v>
      </c>
      <c r="CR144" s="229">
        <v>9.4899999999999998E-2</v>
      </c>
      <c r="CS144" s="228">
        <v>102</v>
      </c>
      <c r="CT144" s="228">
        <v>96</v>
      </c>
      <c r="CU144" s="228">
        <v>6</v>
      </c>
      <c r="CV144" s="229">
        <v>6.0299999999999999E-2</v>
      </c>
      <c r="CW144" s="228">
        <v>414</v>
      </c>
      <c r="CX144" s="228">
        <v>398</v>
      </c>
      <c r="CY144" s="228">
        <v>17</v>
      </c>
      <c r="CZ144" s="229">
        <v>4.1599999999999998E-2</v>
      </c>
      <c r="DA144" s="228">
        <v>14.41</v>
      </c>
      <c r="DB144" s="228">
        <v>14.11</v>
      </c>
      <c r="DC144" s="228">
        <v>0.3</v>
      </c>
      <c r="DD144" s="228">
        <v>0.3</v>
      </c>
      <c r="DE144" s="228">
        <v>19.940000000000001</v>
      </c>
      <c r="DF144" s="228">
        <v>19.98</v>
      </c>
      <c r="DG144" s="228">
        <v>-5.53</v>
      </c>
      <c r="DH144" s="228">
        <v>-0.04</v>
      </c>
      <c r="DI144" s="228">
        <v>13.51</v>
      </c>
      <c r="DJ144" s="228">
        <v>13.14</v>
      </c>
      <c r="DK144" s="228">
        <v>0.37</v>
      </c>
      <c r="DL144" s="228">
        <v>0.37</v>
      </c>
      <c r="DM144" s="228">
        <v>15.06</v>
      </c>
      <c r="DN144" s="228">
        <v>15.53</v>
      </c>
      <c r="DO144" s="228">
        <v>-0.47</v>
      </c>
      <c r="DP144" s="228">
        <v>-0.47</v>
      </c>
      <c r="DQ144" s="228">
        <v>0.93</v>
      </c>
      <c r="DR144" s="228">
        <v>0.96</v>
      </c>
      <c r="DS144" s="228">
        <v>-0.03</v>
      </c>
      <c r="DT144" s="229">
        <v>-3.1199999999999999E-2</v>
      </c>
      <c r="DU144" s="231">
        <v>70500</v>
      </c>
      <c r="DV144" s="231">
        <v>66000</v>
      </c>
      <c r="DW144" s="228">
        <v>1.36</v>
      </c>
      <c r="DX144" s="228">
        <v>0.68</v>
      </c>
      <c r="DY144" s="228">
        <v>0.68</v>
      </c>
      <c r="DZ144" s="229">
        <v>1</v>
      </c>
      <c r="EA144" s="229">
        <v>0.1132</v>
      </c>
      <c r="EB144" s="230">
        <v>3175</v>
      </c>
      <c r="EC144" s="229">
        <v>5.4999999999999997E-3</v>
      </c>
      <c r="ED144" s="229">
        <v>0.1132</v>
      </c>
      <c r="EE144" s="228">
        <v>391.79</v>
      </c>
      <c r="EF144" s="229">
        <v>5.7000000000000002E-3</v>
      </c>
      <c r="EG144" s="228">
        <v>0</v>
      </c>
      <c r="EH144" s="228">
        <v>0</v>
      </c>
      <c r="EI144" s="229">
        <v>0</v>
      </c>
      <c r="EJ144" s="229">
        <v>0</v>
      </c>
      <c r="EK144" s="228">
        <v>62.74</v>
      </c>
      <c r="EL144" s="228">
        <v>83.04</v>
      </c>
      <c r="EM144" s="228">
        <v>37.979999999999997</v>
      </c>
      <c r="EN144" s="228">
        <v>0</v>
      </c>
      <c r="EO144" s="228">
        <v>183.77</v>
      </c>
      <c r="EP144" s="228">
        <v>135.9</v>
      </c>
      <c r="EQ144" s="228">
        <v>47.87</v>
      </c>
      <c r="ER144" s="229">
        <v>0.35220000000000001</v>
      </c>
      <c r="ES144" s="228">
        <v>111.9</v>
      </c>
      <c r="ET144" s="228">
        <v>100.12</v>
      </c>
      <c r="EU144" s="228">
        <v>202.06</v>
      </c>
      <c r="EV144" s="228">
        <v>0</v>
      </c>
      <c r="EW144" s="228">
        <v>414.08</v>
      </c>
      <c r="EX144" s="228">
        <v>398.35</v>
      </c>
      <c r="EY144" s="228">
        <v>15.73</v>
      </c>
      <c r="EZ144" s="229">
        <v>3.95E-2</v>
      </c>
      <c r="FA144" s="229">
        <v>0</v>
      </c>
      <c r="FB144" s="227" t="s">
        <v>567</v>
      </c>
      <c r="FC144">
        <f t="shared" si="2"/>
        <v>23</v>
      </c>
    </row>
    <row r="145" spans="1:159" ht="17.25" thickBot="1" x14ac:dyDescent="0.3">
      <c r="A145" s="226">
        <v>46008</v>
      </c>
      <c r="B145" s="227" t="s">
        <v>227</v>
      </c>
      <c r="C145" s="227" t="s">
        <v>267</v>
      </c>
      <c r="D145" s="228">
        <v>6750</v>
      </c>
      <c r="E145" s="228">
        <v>13</v>
      </c>
      <c r="F145" s="228">
        <v>77.349999999999994</v>
      </c>
      <c r="G145" s="228">
        <v>77.31</v>
      </c>
      <c r="H145" s="228">
        <v>0.04</v>
      </c>
      <c r="I145" s="229">
        <v>5.0000000000000001E-4</v>
      </c>
      <c r="J145" s="228">
        <v>77.28</v>
      </c>
      <c r="K145" s="228">
        <v>77.150000000000006</v>
      </c>
      <c r="L145" s="228">
        <v>0.13</v>
      </c>
      <c r="M145" s="229">
        <v>1.6999999999999999E-3</v>
      </c>
      <c r="N145" s="228">
        <v>77.349999999999994</v>
      </c>
      <c r="O145" s="228">
        <v>77.31</v>
      </c>
      <c r="P145" s="228">
        <v>0.04</v>
      </c>
      <c r="Q145" s="229">
        <v>5.0000000000000001E-4</v>
      </c>
      <c r="R145" s="228">
        <v>77.66</v>
      </c>
      <c r="S145" s="228">
        <v>77.61</v>
      </c>
      <c r="T145" s="228">
        <v>0.05</v>
      </c>
      <c r="U145" s="229">
        <v>5.9999999999999995E-4</v>
      </c>
      <c r="V145" s="228">
        <v>78.06</v>
      </c>
      <c r="W145" s="228">
        <v>77.77</v>
      </c>
      <c r="X145" s="228">
        <v>0.28999999999999998</v>
      </c>
      <c r="Y145" s="229">
        <v>3.7000000000000002E-3</v>
      </c>
      <c r="Z145" s="228">
        <v>7.0000000000000007E-2</v>
      </c>
      <c r="AA145" s="228">
        <v>0.16</v>
      </c>
      <c r="AB145" s="228">
        <v>-0.09</v>
      </c>
      <c r="AC145" s="229">
        <v>8.9999999999999998E-4</v>
      </c>
      <c r="AD145" s="228">
        <v>7.0000000000000007E-2</v>
      </c>
      <c r="AE145" s="228">
        <v>0.16</v>
      </c>
      <c r="AF145" s="228">
        <v>-0.09</v>
      </c>
      <c r="AG145" s="229">
        <v>8.9999999999999998E-4</v>
      </c>
      <c r="AH145" s="228">
        <v>0.38</v>
      </c>
      <c r="AI145" s="228">
        <v>0.46</v>
      </c>
      <c r="AJ145" s="228">
        <v>-0.08</v>
      </c>
      <c r="AK145" s="229">
        <v>4.8999999999999998E-3</v>
      </c>
      <c r="AL145" s="228">
        <v>0.78</v>
      </c>
      <c r="AM145" s="228">
        <v>0.62</v>
      </c>
      <c r="AN145" s="228">
        <v>0.16</v>
      </c>
      <c r="AO145" s="229">
        <v>1.01E-2</v>
      </c>
      <c r="AP145" s="228">
        <v>77.52</v>
      </c>
      <c r="AQ145" s="228">
        <v>77.84</v>
      </c>
      <c r="AR145" s="228">
        <v>0</v>
      </c>
      <c r="AS145" s="228">
        <v>224</v>
      </c>
      <c r="AT145" s="228">
        <v>237</v>
      </c>
      <c r="AU145" s="228">
        <v>-14</v>
      </c>
      <c r="AV145" s="229">
        <v>-5.74E-2</v>
      </c>
      <c r="AW145" s="228">
        <v>172</v>
      </c>
      <c r="AX145" s="228">
        <v>193</v>
      </c>
      <c r="AY145" s="228">
        <v>-21</v>
      </c>
      <c r="AZ145" s="229">
        <v>-0.11070000000000001</v>
      </c>
      <c r="BA145" s="228">
        <v>47</v>
      </c>
      <c r="BB145" s="228">
        <v>40</v>
      </c>
      <c r="BC145" s="228">
        <v>8</v>
      </c>
      <c r="BD145" s="229">
        <v>0.1895</v>
      </c>
      <c r="BE145" s="228">
        <v>5</v>
      </c>
      <c r="BF145" s="228">
        <v>4</v>
      </c>
      <c r="BG145" s="228">
        <v>0</v>
      </c>
      <c r="BH145" s="229">
        <v>5.9499999999999997E-2</v>
      </c>
      <c r="BI145" s="228">
        <v>548</v>
      </c>
      <c r="BJ145" s="228">
        <v>559</v>
      </c>
      <c r="BK145" s="228">
        <v>-11</v>
      </c>
      <c r="BL145" s="229">
        <v>-1.9800000000000002E-2</v>
      </c>
      <c r="BM145" s="228">
        <v>177</v>
      </c>
      <c r="BN145" s="228">
        <v>270</v>
      </c>
      <c r="BO145" s="228">
        <v>-93</v>
      </c>
      <c r="BP145" s="229">
        <v>-0.34510000000000002</v>
      </c>
      <c r="BQ145" s="228">
        <v>949</v>
      </c>
      <c r="BR145" s="230">
        <v>1067</v>
      </c>
      <c r="BS145" s="228">
        <v>-118</v>
      </c>
      <c r="BT145" s="229">
        <v>-0.1105</v>
      </c>
      <c r="BU145" s="230">
        <v>8935807</v>
      </c>
      <c r="BV145" s="230">
        <v>11974534</v>
      </c>
      <c r="BW145" s="230">
        <v>-3038727</v>
      </c>
      <c r="BX145" s="229">
        <v>-0.25380000000000003</v>
      </c>
      <c r="BY145" s="230">
        <v>2622</v>
      </c>
      <c r="BZ145" s="230">
        <v>2582</v>
      </c>
      <c r="CA145" s="228">
        <v>40</v>
      </c>
      <c r="CB145" s="229">
        <v>1.54E-2</v>
      </c>
      <c r="CC145" s="230">
        <v>2495</v>
      </c>
      <c r="CD145" s="230">
        <v>2474</v>
      </c>
      <c r="CE145" s="228">
        <v>20</v>
      </c>
      <c r="CF145" s="229">
        <v>8.3000000000000001E-3</v>
      </c>
      <c r="CG145" s="228">
        <v>115</v>
      </c>
      <c r="CH145" s="228">
        <v>98</v>
      </c>
      <c r="CI145" s="228">
        <v>18</v>
      </c>
      <c r="CJ145" s="229">
        <v>0.1802</v>
      </c>
      <c r="CK145" s="228">
        <v>12</v>
      </c>
      <c r="CL145" s="228">
        <v>10</v>
      </c>
      <c r="CM145" s="228">
        <v>2</v>
      </c>
      <c r="CN145" s="229">
        <v>0.1799</v>
      </c>
      <c r="CO145" s="228">
        <v>824</v>
      </c>
      <c r="CP145" s="228">
        <v>789</v>
      </c>
      <c r="CQ145" s="228">
        <v>36</v>
      </c>
      <c r="CR145" s="229">
        <v>4.53E-2</v>
      </c>
      <c r="CS145" s="228">
        <v>560</v>
      </c>
      <c r="CT145" s="228">
        <v>546</v>
      </c>
      <c r="CU145" s="228">
        <v>14</v>
      </c>
      <c r="CV145" s="229">
        <v>2.5700000000000001E-2</v>
      </c>
      <c r="CW145" s="230">
        <v>4006</v>
      </c>
      <c r="CX145" s="230">
        <v>3916</v>
      </c>
      <c r="CY145" s="228">
        <v>90</v>
      </c>
      <c r="CZ145" s="229">
        <v>2.29E-2</v>
      </c>
      <c r="DA145" s="228">
        <v>23.65</v>
      </c>
      <c r="DB145" s="228">
        <v>24.38</v>
      </c>
      <c r="DC145" s="228">
        <v>-0.73</v>
      </c>
      <c r="DD145" s="228">
        <v>-0.73</v>
      </c>
      <c r="DE145" s="228">
        <v>37.229999999999997</v>
      </c>
      <c r="DF145" s="228">
        <v>37.32</v>
      </c>
      <c r="DG145" s="228">
        <v>-13.58</v>
      </c>
      <c r="DH145" s="228">
        <v>-0.09</v>
      </c>
      <c r="DI145" s="228">
        <v>23.55</v>
      </c>
      <c r="DJ145" s="228">
        <v>24.62</v>
      </c>
      <c r="DK145" s="228">
        <v>-1.07</v>
      </c>
      <c r="DL145" s="228">
        <v>-1.07</v>
      </c>
      <c r="DM145" s="228">
        <v>23.98</v>
      </c>
      <c r="DN145" s="228">
        <v>23.89</v>
      </c>
      <c r="DO145" s="228">
        <v>0.09</v>
      </c>
      <c r="DP145" s="228">
        <v>0.09</v>
      </c>
      <c r="DQ145" s="228">
        <v>0.68</v>
      </c>
      <c r="DR145" s="228">
        <v>0.69</v>
      </c>
      <c r="DS145" s="228">
        <v>-0.01</v>
      </c>
      <c r="DT145" s="229">
        <v>-1.4500000000000001E-2</v>
      </c>
      <c r="DU145" s="228">
        <v>80</v>
      </c>
      <c r="DV145" s="228">
        <v>85</v>
      </c>
      <c r="DW145" s="228">
        <v>0.32</v>
      </c>
      <c r="DX145" s="228">
        <v>0.48</v>
      </c>
      <c r="DY145" s="228">
        <v>-0.16</v>
      </c>
      <c r="DZ145" s="229">
        <v>-0.33329999999999999</v>
      </c>
      <c r="EA145" s="229">
        <v>4.8399999999999999E-2</v>
      </c>
      <c r="EB145" s="230">
        <v>13898250</v>
      </c>
      <c r="EC145" s="229">
        <v>4.0000000000000001E-3</v>
      </c>
      <c r="ED145" s="229">
        <v>4.8399999999999999E-2</v>
      </c>
      <c r="EE145" s="228">
        <v>0.32</v>
      </c>
      <c r="EF145" s="229">
        <v>4.1000000000000003E-3</v>
      </c>
      <c r="EG145" s="230">
        <v>3938182</v>
      </c>
      <c r="EH145" s="230">
        <v>5367914</v>
      </c>
      <c r="EI145" s="229">
        <v>-0.26629999999999998</v>
      </c>
      <c r="EJ145" s="229">
        <v>0.44069999999999998</v>
      </c>
      <c r="EK145" s="228">
        <v>566.49</v>
      </c>
      <c r="EL145" s="228">
        <v>174.49</v>
      </c>
      <c r="EM145" s="228">
        <v>224.5</v>
      </c>
      <c r="EN145" s="228">
        <v>45.95</v>
      </c>
      <c r="EO145" s="228">
        <v>965.48</v>
      </c>
      <c r="EP145" s="231">
        <v>1085.17</v>
      </c>
      <c r="EQ145" s="228">
        <v>-119.69</v>
      </c>
      <c r="ER145" s="229">
        <v>-0.1103</v>
      </c>
      <c r="ES145" s="228">
        <v>846.48</v>
      </c>
      <c r="ET145" s="228">
        <v>537.34</v>
      </c>
      <c r="EU145" s="231">
        <v>2622.1</v>
      </c>
      <c r="EV145" s="231">
        <v>517037525</v>
      </c>
      <c r="EW145" s="231">
        <v>4005.92</v>
      </c>
      <c r="EX145" s="231">
        <v>3913.42</v>
      </c>
      <c r="EY145" s="228">
        <v>92.5</v>
      </c>
      <c r="EZ145" s="229">
        <v>2.3599999999999999E-2</v>
      </c>
      <c r="FA145" s="229">
        <v>1.0016</v>
      </c>
      <c r="FB145" s="227" t="s">
        <v>555</v>
      </c>
      <c r="FC145">
        <f t="shared" si="2"/>
        <v>127</v>
      </c>
    </row>
    <row r="146" spans="1:159" ht="17.25" thickBot="1" x14ac:dyDescent="0.3">
      <c r="A146" s="226">
        <v>46008</v>
      </c>
      <c r="B146" s="227" t="s">
        <v>161</v>
      </c>
      <c r="C146" s="227" t="s">
        <v>268</v>
      </c>
      <c r="D146" s="228">
        <v>1500</v>
      </c>
      <c r="E146" s="228">
        <v>13</v>
      </c>
      <c r="F146" s="228">
        <v>321.5</v>
      </c>
      <c r="G146" s="228">
        <v>321.3</v>
      </c>
      <c r="H146" s="228">
        <v>0.2</v>
      </c>
      <c r="I146" s="229">
        <v>5.9999999999999995E-4</v>
      </c>
      <c r="J146" s="228">
        <v>321.25</v>
      </c>
      <c r="K146" s="228">
        <v>321</v>
      </c>
      <c r="L146" s="228">
        <v>0.25</v>
      </c>
      <c r="M146" s="229">
        <v>8.0000000000000004E-4</v>
      </c>
      <c r="N146" s="228">
        <v>321.5</v>
      </c>
      <c r="O146" s="228">
        <v>321.3</v>
      </c>
      <c r="P146" s="228">
        <v>0.2</v>
      </c>
      <c r="Q146" s="229">
        <v>5.9999999999999995E-4</v>
      </c>
      <c r="R146" s="228">
        <v>323.5</v>
      </c>
      <c r="S146" s="228">
        <v>323.25</v>
      </c>
      <c r="T146" s="228">
        <v>0.25</v>
      </c>
      <c r="U146" s="229">
        <v>8.0000000000000004E-4</v>
      </c>
      <c r="V146" s="228">
        <v>323</v>
      </c>
      <c r="W146" s="228">
        <v>323.10000000000002</v>
      </c>
      <c r="X146" s="228">
        <v>-0.1</v>
      </c>
      <c r="Y146" s="229">
        <v>-2.9999999999999997E-4</v>
      </c>
      <c r="Z146" s="228">
        <v>0.25</v>
      </c>
      <c r="AA146" s="228">
        <v>0.3</v>
      </c>
      <c r="AB146" s="228">
        <v>-0.05</v>
      </c>
      <c r="AC146" s="229">
        <v>8.0000000000000004E-4</v>
      </c>
      <c r="AD146" s="228">
        <v>0.25</v>
      </c>
      <c r="AE146" s="228">
        <v>0.3</v>
      </c>
      <c r="AF146" s="228">
        <v>-0.05</v>
      </c>
      <c r="AG146" s="229">
        <v>8.0000000000000004E-4</v>
      </c>
      <c r="AH146" s="228">
        <v>2.25</v>
      </c>
      <c r="AI146" s="228">
        <v>2.25</v>
      </c>
      <c r="AJ146" s="228">
        <v>0</v>
      </c>
      <c r="AK146" s="229">
        <v>7.0000000000000001E-3</v>
      </c>
      <c r="AL146" s="228">
        <v>1.75</v>
      </c>
      <c r="AM146" s="228">
        <v>2.1</v>
      </c>
      <c r="AN146" s="228">
        <v>-0.35</v>
      </c>
      <c r="AO146" s="229">
        <v>5.4000000000000003E-3</v>
      </c>
      <c r="AP146" s="228">
        <v>321.58</v>
      </c>
      <c r="AQ146" s="228">
        <v>323.52999999999997</v>
      </c>
      <c r="AR146" s="228">
        <v>0</v>
      </c>
      <c r="AS146" s="228">
        <v>178</v>
      </c>
      <c r="AT146" s="228">
        <v>232</v>
      </c>
      <c r="AU146" s="228">
        <v>-54</v>
      </c>
      <c r="AV146" s="229">
        <v>-0.2339</v>
      </c>
      <c r="AW146" s="228">
        <v>156</v>
      </c>
      <c r="AX146" s="228">
        <v>204</v>
      </c>
      <c r="AY146" s="228">
        <v>-48</v>
      </c>
      <c r="AZ146" s="229">
        <v>-0.23710000000000001</v>
      </c>
      <c r="BA146" s="228">
        <v>20</v>
      </c>
      <c r="BB146" s="228">
        <v>25</v>
      </c>
      <c r="BC146" s="228">
        <v>-5</v>
      </c>
      <c r="BD146" s="229">
        <v>-0.1893</v>
      </c>
      <c r="BE146" s="228">
        <v>2</v>
      </c>
      <c r="BF146" s="228">
        <v>3</v>
      </c>
      <c r="BG146" s="228">
        <v>-1</v>
      </c>
      <c r="BH146" s="229">
        <v>-0.39340000000000003</v>
      </c>
      <c r="BI146" s="228">
        <v>467</v>
      </c>
      <c r="BJ146" s="228">
        <v>644</v>
      </c>
      <c r="BK146" s="228">
        <v>-177</v>
      </c>
      <c r="BL146" s="229">
        <v>-0.27529999999999999</v>
      </c>
      <c r="BM146" s="228">
        <v>241</v>
      </c>
      <c r="BN146" s="228">
        <v>341</v>
      </c>
      <c r="BO146" s="228">
        <v>-100</v>
      </c>
      <c r="BP146" s="229">
        <v>-0.29420000000000002</v>
      </c>
      <c r="BQ146" s="228">
        <v>885</v>
      </c>
      <c r="BR146" s="230">
        <v>1217</v>
      </c>
      <c r="BS146" s="228">
        <v>-332</v>
      </c>
      <c r="BT146" s="229">
        <v>-0.2727</v>
      </c>
      <c r="BU146" s="230">
        <v>5153393</v>
      </c>
      <c r="BV146" s="230">
        <v>6195217</v>
      </c>
      <c r="BW146" s="230">
        <v>-1041824</v>
      </c>
      <c r="BX146" s="229">
        <v>-0.16819999999999999</v>
      </c>
      <c r="BY146" s="230">
        <v>2942</v>
      </c>
      <c r="BZ146" s="230">
        <v>2956</v>
      </c>
      <c r="CA146" s="228">
        <v>-14</v>
      </c>
      <c r="CB146" s="229">
        <v>-4.7999999999999996E-3</v>
      </c>
      <c r="CC146" s="230">
        <v>2684</v>
      </c>
      <c r="CD146" s="230">
        <v>2712</v>
      </c>
      <c r="CE146" s="228">
        <v>-28</v>
      </c>
      <c r="CF146" s="229">
        <v>-1.03E-2</v>
      </c>
      <c r="CG146" s="228">
        <v>238</v>
      </c>
      <c r="CH146" s="228">
        <v>225</v>
      </c>
      <c r="CI146" s="228">
        <v>13</v>
      </c>
      <c r="CJ146" s="229">
        <v>5.7799999999999997E-2</v>
      </c>
      <c r="CK146" s="228">
        <v>19</v>
      </c>
      <c r="CL146" s="228">
        <v>18</v>
      </c>
      <c r="CM146" s="228">
        <v>1</v>
      </c>
      <c r="CN146" s="229">
        <v>3.4099999999999998E-2</v>
      </c>
      <c r="CO146" s="230">
        <v>1132</v>
      </c>
      <c r="CP146" s="230">
        <v>1143</v>
      </c>
      <c r="CQ146" s="228">
        <v>-11</v>
      </c>
      <c r="CR146" s="229">
        <v>-9.9000000000000008E-3</v>
      </c>
      <c r="CS146" s="228">
        <v>700</v>
      </c>
      <c r="CT146" s="228">
        <v>686</v>
      </c>
      <c r="CU146" s="228">
        <v>14</v>
      </c>
      <c r="CV146" s="229">
        <v>1.9900000000000001E-2</v>
      </c>
      <c r="CW146" s="230">
        <v>4774</v>
      </c>
      <c r="CX146" s="230">
        <v>4785</v>
      </c>
      <c r="CY146" s="228">
        <v>-12</v>
      </c>
      <c r="CZ146" s="229">
        <v>-2.5000000000000001E-3</v>
      </c>
      <c r="DA146" s="228">
        <v>14.38</v>
      </c>
      <c r="DB146" s="228">
        <v>14.69</v>
      </c>
      <c r="DC146" s="228">
        <v>-0.31</v>
      </c>
      <c r="DD146" s="228">
        <v>-0.31</v>
      </c>
      <c r="DE146" s="228">
        <v>26.7</v>
      </c>
      <c r="DF146" s="228">
        <v>26.76</v>
      </c>
      <c r="DG146" s="228">
        <v>-12.32</v>
      </c>
      <c r="DH146" s="228">
        <v>-0.06</v>
      </c>
      <c r="DI146" s="228">
        <v>14.53</v>
      </c>
      <c r="DJ146" s="228">
        <v>14.72</v>
      </c>
      <c r="DK146" s="228">
        <v>-0.19</v>
      </c>
      <c r="DL146" s="228">
        <v>-0.19</v>
      </c>
      <c r="DM146" s="228">
        <v>14.1</v>
      </c>
      <c r="DN146" s="228">
        <v>14.62</v>
      </c>
      <c r="DO146" s="228">
        <v>-0.52</v>
      </c>
      <c r="DP146" s="228">
        <v>-0.52</v>
      </c>
      <c r="DQ146" s="228">
        <v>0.62</v>
      </c>
      <c r="DR146" s="228">
        <v>0.6</v>
      </c>
      <c r="DS146" s="228">
        <v>0.02</v>
      </c>
      <c r="DT146" s="229">
        <v>3.3300000000000003E-2</v>
      </c>
      <c r="DU146" s="228">
        <v>325</v>
      </c>
      <c r="DV146" s="228">
        <v>300</v>
      </c>
      <c r="DW146" s="228">
        <v>0.52</v>
      </c>
      <c r="DX146" s="228">
        <v>0.53</v>
      </c>
      <c r="DY146" s="228">
        <v>-0.01</v>
      </c>
      <c r="DZ146" s="229">
        <v>-1.89E-2</v>
      </c>
      <c r="EA146" s="229">
        <v>8.7499999999999994E-2</v>
      </c>
      <c r="EB146" s="230">
        <v>7582500</v>
      </c>
      <c r="EC146" s="229">
        <v>6.1999999999999998E-3</v>
      </c>
      <c r="ED146" s="229">
        <v>8.7499999999999994E-2</v>
      </c>
      <c r="EE146" s="228">
        <v>1.95</v>
      </c>
      <c r="EF146" s="229">
        <v>6.1000000000000004E-3</v>
      </c>
      <c r="EG146" s="230">
        <v>3813774</v>
      </c>
      <c r="EH146" s="230">
        <v>4392902</v>
      </c>
      <c r="EI146" s="229">
        <v>-0.1318</v>
      </c>
      <c r="EJ146" s="229">
        <v>0.74009999999999998</v>
      </c>
      <c r="EK146" s="228">
        <v>477.52</v>
      </c>
      <c r="EL146" s="228">
        <v>241.09</v>
      </c>
      <c r="EM146" s="228">
        <v>178.03</v>
      </c>
      <c r="EN146" s="228">
        <v>42.94</v>
      </c>
      <c r="EO146" s="228">
        <v>896.64</v>
      </c>
      <c r="EP146" s="231">
        <v>1234.42</v>
      </c>
      <c r="EQ146" s="228">
        <v>-337.78</v>
      </c>
      <c r="ER146" s="229">
        <v>-0.27360000000000001</v>
      </c>
      <c r="ES146" s="231">
        <v>1180.79</v>
      </c>
      <c r="ET146" s="228">
        <v>702.98</v>
      </c>
      <c r="EU146" s="231">
        <v>2943.2</v>
      </c>
      <c r="EV146" s="231">
        <v>572782298</v>
      </c>
      <c r="EW146" s="231">
        <v>4826.96</v>
      </c>
      <c r="EX146" s="231">
        <v>4837.6499999999996</v>
      </c>
      <c r="EY146" s="228">
        <v>-10.69</v>
      </c>
      <c r="EZ146" s="229">
        <v>-2.2000000000000001E-3</v>
      </c>
      <c r="FA146" s="229">
        <v>0.25919999999999999</v>
      </c>
      <c r="FB146" s="227" t="s">
        <v>556</v>
      </c>
      <c r="FC146">
        <f t="shared" si="2"/>
        <v>258</v>
      </c>
    </row>
    <row r="147" spans="1:159" ht="17.25" thickBot="1" x14ac:dyDescent="0.3">
      <c r="A147" s="226">
        <v>46008</v>
      </c>
      <c r="B147" s="227" t="s">
        <v>175</v>
      </c>
      <c r="C147" s="227" t="s">
        <v>686</v>
      </c>
      <c r="D147" s="228">
        <v>75</v>
      </c>
      <c r="E147" s="228">
        <v>13</v>
      </c>
      <c r="F147" s="231">
        <v>7201.5</v>
      </c>
      <c r="G147" s="231">
        <v>7214</v>
      </c>
      <c r="H147" s="228">
        <v>-12.5</v>
      </c>
      <c r="I147" s="229">
        <v>-1.6999999999999999E-3</v>
      </c>
      <c r="J147" s="231">
        <v>7171</v>
      </c>
      <c r="K147" s="231">
        <v>7190</v>
      </c>
      <c r="L147" s="228">
        <v>-19</v>
      </c>
      <c r="M147" s="229">
        <v>-2.5999999999999999E-3</v>
      </c>
      <c r="N147" s="231">
        <v>7201.5</v>
      </c>
      <c r="O147" s="231">
        <v>7214</v>
      </c>
      <c r="P147" s="228">
        <v>-12.5</v>
      </c>
      <c r="Q147" s="229">
        <v>-1.6999999999999999E-3</v>
      </c>
      <c r="R147" s="231">
        <v>7239.5</v>
      </c>
      <c r="S147" s="231">
        <v>7264</v>
      </c>
      <c r="T147" s="228">
        <v>-24.5</v>
      </c>
      <c r="U147" s="229">
        <v>-3.3999999999999998E-3</v>
      </c>
      <c r="V147" s="231">
        <v>7252</v>
      </c>
      <c r="W147" s="231">
        <v>7252</v>
      </c>
      <c r="X147" s="228">
        <v>0</v>
      </c>
      <c r="Y147" s="229">
        <v>0</v>
      </c>
      <c r="Z147" s="228">
        <v>30.5</v>
      </c>
      <c r="AA147" s="228">
        <v>24</v>
      </c>
      <c r="AB147" s="228">
        <v>6.5</v>
      </c>
      <c r="AC147" s="229">
        <v>4.3E-3</v>
      </c>
      <c r="AD147" s="228">
        <v>30.5</v>
      </c>
      <c r="AE147" s="228">
        <v>24</v>
      </c>
      <c r="AF147" s="228">
        <v>6.5</v>
      </c>
      <c r="AG147" s="229">
        <v>4.3E-3</v>
      </c>
      <c r="AH147" s="228">
        <v>68.5</v>
      </c>
      <c r="AI147" s="228">
        <v>74</v>
      </c>
      <c r="AJ147" s="228">
        <v>-5.5</v>
      </c>
      <c r="AK147" s="229">
        <v>9.5999999999999992E-3</v>
      </c>
      <c r="AL147" s="228">
        <v>81</v>
      </c>
      <c r="AM147" s="228">
        <v>62</v>
      </c>
      <c r="AN147" s="228">
        <v>19</v>
      </c>
      <c r="AO147" s="229">
        <v>1.1299999999999999E-2</v>
      </c>
      <c r="AP147" s="231">
        <v>7241.37</v>
      </c>
      <c r="AQ147" s="231">
        <v>7271.36</v>
      </c>
      <c r="AR147" s="228">
        <v>0</v>
      </c>
      <c r="AS147" s="228">
        <v>54</v>
      </c>
      <c r="AT147" s="228">
        <v>54</v>
      </c>
      <c r="AU147" s="228">
        <v>0</v>
      </c>
      <c r="AV147" s="229">
        <v>-3.0000000000000001E-3</v>
      </c>
      <c r="AW147" s="228">
        <v>47</v>
      </c>
      <c r="AX147" s="228">
        <v>47</v>
      </c>
      <c r="AY147" s="228">
        <v>-1</v>
      </c>
      <c r="AZ147" s="229">
        <v>-1.37E-2</v>
      </c>
      <c r="BA147" s="228">
        <v>7</v>
      </c>
      <c r="BB147" s="228">
        <v>7</v>
      </c>
      <c r="BC147" s="228">
        <v>1</v>
      </c>
      <c r="BD147" s="229">
        <v>8.2000000000000003E-2</v>
      </c>
      <c r="BE147" s="228">
        <v>0</v>
      </c>
      <c r="BF147" s="228">
        <v>0</v>
      </c>
      <c r="BG147" s="228">
        <v>0</v>
      </c>
      <c r="BH147" s="229">
        <v>-1</v>
      </c>
      <c r="BI147" s="228">
        <v>178</v>
      </c>
      <c r="BJ147" s="228">
        <v>128</v>
      </c>
      <c r="BK147" s="228">
        <v>50</v>
      </c>
      <c r="BL147" s="229">
        <v>0.39019999999999999</v>
      </c>
      <c r="BM147" s="228">
        <v>166</v>
      </c>
      <c r="BN147" s="228">
        <v>139</v>
      </c>
      <c r="BO147" s="228">
        <v>28</v>
      </c>
      <c r="BP147" s="229">
        <v>0.1988</v>
      </c>
      <c r="BQ147" s="228">
        <v>399</v>
      </c>
      <c r="BR147" s="228">
        <v>321</v>
      </c>
      <c r="BS147" s="228">
        <v>78</v>
      </c>
      <c r="BT147" s="229">
        <v>0.24129999999999999</v>
      </c>
      <c r="BU147" s="230">
        <v>42147</v>
      </c>
      <c r="BV147" s="230">
        <v>55086</v>
      </c>
      <c r="BW147" s="230">
        <v>-12939</v>
      </c>
      <c r="BX147" s="229">
        <v>-0.2349</v>
      </c>
      <c r="BY147" s="228">
        <v>271</v>
      </c>
      <c r="BZ147" s="228">
        <v>262</v>
      </c>
      <c r="CA147" s="228">
        <v>10</v>
      </c>
      <c r="CB147" s="229">
        <v>3.7499999999999999E-2</v>
      </c>
      <c r="CC147" s="228">
        <v>259</v>
      </c>
      <c r="CD147" s="228">
        <v>252</v>
      </c>
      <c r="CE147" s="228">
        <v>6</v>
      </c>
      <c r="CF147" s="229">
        <v>2.5499999999999998E-2</v>
      </c>
      <c r="CG147" s="228">
        <v>12</v>
      </c>
      <c r="CH147" s="228">
        <v>8</v>
      </c>
      <c r="CI147" s="228">
        <v>3</v>
      </c>
      <c r="CJ147" s="229">
        <v>0.4123</v>
      </c>
      <c r="CK147" s="228">
        <v>1</v>
      </c>
      <c r="CL147" s="228">
        <v>1</v>
      </c>
      <c r="CM147" s="228">
        <v>0</v>
      </c>
      <c r="CN147" s="229">
        <v>0</v>
      </c>
      <c r="CO147" s="228">
        <v>224</v>
      </c>
      <c r="CP147" s="228">
        <v>225</v>
      </c>
      <c r="CQ147" s="228">
        <v>-1</v>
      </c>
      <c r="CR147" s="229">
        <v>-5.7000000000000002E-3</v>
      </c>
      <c r="CS147" s="228">
        <v>140</v>
      </c>
      <c r="CT147" s="228">
        <v>120</v>
      </c>
      <c r="CU147" s="228">
        <v>20</v>
      </c>
      <c r="CV147" s="229">
        <v>0.1704</v>
      </c>
      <c r="CW147" s="228">
        <v>636</v>
      </c>
      <c r="CX147" s="228">
        <v>607</v>
      </c>
      <c r="CY147" s="228">
        <v>29</v>
      </c>
      <c r="CZ147" s="229">
        <v>4.7600000000000003E-2</v>
      </c>
      <c r="DA147" s="228">
        <v>30.96</v>
      </c>
      <c r="DB147" s="228">
        <v>27.88</v>
      </c>
      <c r="DC147" s="228">
        <v>3.08</v>
      </c>
      <c r="DD147" s="228">
        <v>3.08</v>
      </c>
      <c r="DE147" s="228">
        <v>48.95</v>
      </c>
      <c r="DF147" s="228">
        <v>49.07</v>
      </c>
      <c r="DG147" s="228">
        <v>-17.989999999999998</v>
      </c>
      <c r="DH147" s="228">
        <v>-0.12</v>
      </c>
      <c r="DI147" s="228">
        <v>29.27</v>
      </c>
      <c r="DJ147" s="228">
        <v>27.8</v>
      </c>
      <c r="DK147" s="228">
        <v>1.47</v>
      </c>
      <c r="DL147" s="228">
        <v>1.47</v>
      </c>
      <c r="DM147" s="228">
        <v>32.76</v>
      </c>
      <c r="DN147" s="228">
        <v>27.96</v>
      </c>
      <c r="DO147" s="228">
        <v>4.8</v>
      </c>
      <c r="DP147" s="228">
        <v>4.8</v>
      </c>
      <c r="DQ147" s="228">
        <v>0.62</v>
      </c>
      <c r="DR147" s="228">
        <v>0.53</v>
      </c>
      <c r="DS147" s="228">
        <v>0.09</v>
      </c>
      <c r="DT147" s="229">
        <v>0.16980000000000001</v>
      </c>
      <c r="DU147" s="231">
        <v>7600</v>
      </c>
      <c r="DV147" s="231">
        <v>7000</v>
      </c>
      <c r="DW147" s="228">
        <v>0.93</v>
      </c>
      <c r="DX147" s="228">
        <v>1.08</v>
      </c>
      <c r="DY147" s="228">
        <v>-0.15</v>
      </c>
      <c r="DZ147" s="229">
        <v>-0.1389</v>
      </c>
      <c r="EA147" s="229">
        <v>4.7199999999999999E-2</v>
      </c>
      <c r="EB147" s="230">
        <v>13100</v>
      </c>
      <c r="EC147" s="229">
        <v>5.3E-3</v>
      </c>
      <c r="ED147" s="229">
        <v>4.7199999999999999E-2</v>
      </c>
      <c r="EE147" s="228">
        <v>29.99</v>
      </c>
      <c r="EF147" s="229">
        <v>4.1000000000000003E-3</v>
      </c>
      <c r="EG147" s="230">
        <v>17750</v>
      </c>
      <c r="EH147" s="230">
        <v>23018</v>
      </c>
      <c r="EI147" s="229">
        <v>-0.22889999999999999</v>
      </c>
      <c r="EJ147" s="229">
        <v>0.42109999999999997</v>
      </c>
      <c r="EK147" s="228">
        <v>188.55</v>
      </c>
      <c r="EL147" s="228">
        <v>163.85</v>
      </c>
      <c r="EM147" s="228">
        <v>56.69</v>
      </c>
      <c r="EN147" s="228">
        <v>12.8</v>
      </c>
      <c r="EO147" s="228">
        <v>409.08</v>
      </c>
      <c r="EP147" s="228">
        <v>330.23</v>
      </c>
      <c r="EQ147" s="228">
        <v>78.849999999999994</v>
      </c>
      <c r="ER147" s="229">
        <v>0.23880000000000001</v>
      </c>
      <c r="ES147" s="228">
        <v>235.49</v>
      </c>
      <c r="ET147" s="228">
        <v>135.43</v>
      </c>
      <c r="EU147" s="228">
        <v>271.49</v>
      </c>
      <c r="EV147" s="231">
        <v>2444664</v>
      </c>
      <c r="EW147" s="228">
        <v>642.41999999999996</v>
      </c>
      <c r="EX147" s="228">
        <v>614.39</v>
      </c>
      <c r="EY147" s="228">
        <v>28.03</v>
      </c>
      <c r="EZ147" s="229">
        <v>4.5600000000000002E-2</v>
      </c>
      <c r="FA147" s="229">
        <v>0.36099999999999999</v>
      </c>
      <c r="FB147" s="227" t="s">
        <v>567</v>
      </c>
      <c r="FC147">
        <f t="shared" si="2"/>
        <v>12</v>
      </c>
    </row>
    <row r="148" spans="1:159" ht="17.25" thickBot="1" x14ac:dyDescent="0.3">
      <c r="A148" s="226">
        <v>46008</v>
      </c>
      <c r="B148" s="227" t="s">
        <v>615</v>
      </c>
      <c r="C148" s="227" t="s">
        <v>613</v>
      </c>
      <c r="D148" s="228">
        <v>3125</v>
      </c>
      <c r="E148" s="228">
        <v>13</v>
      </c>
      <c r="F148" s="228">
        <v>246.05</v>
      </c>
      <c r="G148" s="228">
        <v>247.65</v>
      </c>
      <c r="H148" s="228">
        <v>-1.6</v>
      </c>
      <c r="I148" s="229">
        <v>-6.4999999999999997E-3</v>
      </c>
      <c r="J148" s="228">
        <v>245.1</v>
      </c>
      <c r="K148" s="228">
        <v>247.3</v>
      </c>
      <c r="L148" s="228">
        <v>-2.2000000000000002</v>
      </c>
      <c r="M148" s="229">
        <v>-8.8999999999999999E-3</v>
      </c>
      <c r="N148" s="228">
        <v>246.05</v>
      </c>
      <c r="O148" s="228">
        <v>247.65</v>
      </c>
      <c r="P148" s="228">
        <v>-1.6</v>
      </c>
      <c r="Q148" s="229">
        <v>-6.4999999999999997E-3</v>
      </c>
      <c r="R148" s="228">
        <v>246.2</v>
      </c>
      <c r="S148" s="228">
        <v>247.55</v>
      </c>
      <c r="T148" s="228">
        <v>-1.35</v>
      </c>
      <c r="U148" s="229">
        <v>-5.4999999999999997E-3</v>
      </c>
      <c r="V148" s="228">
        <v>244.8</v>
      </c>
      <c r="W148" s="228">
        <v>246.25</v>
      </c>
      <c r="X148" s="228">
        <v>-1.45</v>
      </c>
      <c r="Y148" s="229">
        <v>-5.8999999999999999E-3</v>
      </c>
      <c r="Z148" s="228">
        <v>0.95</v>
      </c>
      <c r="AA148" s="228">
        <v>0.35</v>
      </c>
      <c r="AB148" s="228">
        <v>0.6</v>
      </c>
      <c r="AC148" s="229">
        <v>3.8999999999999998E-3</v>
      </c>
      <c r="AD148" s="228">
        <v>0.95</v>
      </c>
      <c r="AE148" s="228">
        <v>0.35</v>
      </c>
      <c r="AF148" s="228">
        <v>0.6</v>
      </c>
      <c r="AG148" s="229">
        <v>3.8999999999999998E-3</v>
      </c>
      <c r="AH148" s="228">
        <v>1.1000000000000001</v>
      </c>
      <c r="AI148" s="228">
        <v>0.25</v>
      </c>
      <c r="AJ148" s="228">
        <v>0.85</v>
      </c>
      <c r="AK148" s="229">
        <v>4.4999999999999997E-3</v>
      </c>
      <c r="AL148" s="228">
        <v>-0.3</v>
      </c>
      <c r="AM148" s="228">
        <v>-1.05</v>
      </c>
      <c r="AN148" s="228">
        <v>0.75</v>
      </c>
      <c r="AO148" s="229">
        <v>-1.1999999999999999E-3</v>
      </c>
      <c r="AP148" s="228">
        <v>246.03</v>
      </c>
      <c r="AQ148" s="228">
        <v>246.08</v>
      </c>
      <c r="AR148" s="228">
        <v>0</v>
      </c>
      <c r="AS148" s="228">
        <v>126</v>
      </c>
      <c r="AT148" s="228">
        <v>166</v>
      </c>
      <c r="AU148" s="228">
        <v>-40</v>
      </c>
      <c r="AV148" s="229">
        <v>-0.24329999999999999</v>
      </c>
      <c r="AW148" s="228">
        <v>104</v>
      </c>
      <c r="AX148" s="228">
        <v>153</v>
      </c>
      <c r="AY148" s="228">
        <v>-49</v>
      </c>
      <c r="AZ148" s="229">
        <v>-0.31909999999999999</v>
      </c>
      <c r="BA148" s="228">
        <v>20</v>
      </c>
      <c r="BB148" s="228">
        <v>12</v>
      </c>
      <c r="BC148" s="228">
        <v>8</v>
      </c>
      <c r="BD148" s="229">
        <v>0.65380000000000005</v>
      </c>
      <c r="BE148" s="228">
        <v>2</v>
      </c>
      <c r="BF148" s="228">
        <v>1</v>
      </c>
      <c r="BG148" s="228">
        <v>1</v>
      </c>
      <c r="BH148" s="229">
        <v>0.4375</v>
      </c>
      <c r="BI148" s="228">
        <v>270</v>
      </c>
      <c r="BJ148" s="228">
        <v>466</v>
      </c>
      <c r="BK148" s="228">
        <v>-196</v>
      </c>
      <c r="BL148" s="229">
        <v>-0.42070000000000002</v>
      </c>
      <c r="BM148" s="228">
        <v>126</v>
      </c>
      <c r="BN148" s="228">
        <v>100</v>
      </c>
      <c r="BO148" s="228">
        <v>26</v>
      </c>
      <c r="BP148" s="229">
        <v>0.26269999999999999</v>
      </c>
      <c r="BQ148" s="228">
        <v>522</v>
      </c>
      <c r="BR148" s="228">
        <v>732</v>
      </c>
      <c r="BS148" s="228">
        <v>-210</v>
      </c>
      <c r="BT148" s="229">
        <v>-0.28720000000000001</v>
      </c>
      <c r="BU148" s="230">
        <v>4219679</v>
      </c>
      <c r="BV148" s="230">
        <v>5749983</v>
      </c>
      <c r="BW148" s="230">
        <v>-1530304</v>
      </c>
      <c r="BX148" s="229">
        <v>-0.2661</v>
      </c>
      <c r="BY148" s="230">
        <v>1392</v>
      </c>
      <c r="BZ148" s="230">
        <v>1407</v>
      </c>
      <c r="CA148" s="228">
        <v>-15</v>
      </c>
      <c r="CB148" s="229">
        <v>-1.06E-2</v>
      </c>
      <c r="CC148" s="230">
        <v>1327</v>
      </c>
      <c r="CD148" s="230">
        <v>1347</v>
      </c>
      <c r="CE148" s="228">
        <v>-20</v>
      </c>
      <c r="CF148" s="229">
        <v>-1.47E-2</v>
      </c>
      <c r="CG148" s="228">
        <v>62</v>
      </c>
      <c r="CH148" s="228">
        <v>56</v>
      </c>
      <c r="CI148" s="228">
        <v>5</v>
      </c>
      <c r="CJ148" s="229">
        <v>9.5799999999999996E-2</v>
      </c>
      <c r="CK148" s="228">
        <v>3</v>
      </c>
      <c r="CL148" s="228">
        <v>4</v>
      </c>
      <c r="CM148" s="228">
        <v>0</v>
      </c>
      <c r="CN148" s="229">
        <v>-0.13039999999999999</v>
      </c>
      <c r="CO148" s="228">
        <v>550</v>
      </c>
      <c r="CP148" s="228">
        <v>550</v>
      </c>
      <c r="CQ148" s="228">
        <v>-1</v>
      </c>
      <c r="CR148" s="229">
        <v>-1.5E-3</v>
      </c>
      <c r="CS148" s="228">
        <v>226</v>
      </c>
      <c r="CT148" s="228">
        <v>210</v>
      </c>
      <c r="CU148" s="228">
        <v>17</v>
      </c>
      <c r="CV148" s="229">
        <v>7.9600000000000004E-2</v>
      </c>
      <c r="CW148" s="230">
        <v>2168</v>
      </c>
      <c r="CX148" s="230">
        <v>2167</v>
      </c>
      <c r="CY148" s="228">
        <v>1</v>
      </c>
      <c r="CZ148" s="229">
        <v>4.0000000000000002E-4</v>
      </c>
      <c r="DA148" s="228">
        <v>26.65</v>
      </c>
      <c r="DB148" s="228">
        <v>27.11</v>
      </c>
      <c r="DC148" s="228">
        <v>-0.46</v>
      </c>
      <c r="DD148" s="228">
        <v>-0.46</v>
      </c>
      <c r="DE148" s="228">
        <v>36.08</v>
      </c>
      <c r="DF148" s="228">
        <v>36.15</v>
      </c>
      <c r="DG148" s="228">
        <v>-9.43</v>
      </c>
      <c r="DH148" s="228">
        <v>-7.0000000000000007E-2</v>
      </c>
      <c r="DI148" s="228">
        <v>27.16</v>
      </c>
      <c r="DJ148" s="228">
        <v>27.66</v>
      </c>
      <c r="DK148" s="228">
        <v>-0.5</v>
      </c>
      <c r="DL148" s="228">
        <v>-0.5</v>
      </c>
      <c r="DM148" s="228">
        <v>25.55</v>
      </c>
      <c r="DN148" s="228">
        <v>24.53</v>
      </c>
      <c r="DO148" s="228">
        <v>1.02</v>
      </c>
      <c r="DP148" s="228">
        <v>1.02</v>
      </c>
      <c r="DQ148" s="228">
        <v>0.41</v>
      </c>
      <c r="DR148" s="228">
        <v>0.38</v>
      </c>
      <c r="DS148" s="228">
        <v>0.03</v>
      </c>
      <c r="DT148" s="229">
        <v>7.8899999999999998E-2</v>
      </c>
      <c r="DU148" s="228">
        <v>270</v>
      </c>
      <c r="DV148" s="228">
        <v>240</v>
      </c>
      <c r="DW148" s="228">
        <v>0.47</v>
      </c>
      <c r="DX148" s="228">
        <v>0.21</v>
      </c>
      <c r="DY148" s="228">
        <v>0.26</v>
      </c>
      <c r="DZ148" s="229">
        <v>1.2381</v>
      </c>
      <c r="EA148" s="229">
        <v>4.65E-2</v>
      </c>
      <c r="EB148" s="230">
        <v>2428125</v>
      </c>
      <c r="EC148" s="229">
        <v>5.9999999999999995E-4</v>
      </c>
      <c r="ED148" s="229">
        <v>4.65E-2</v>
      </c>
      <c r="EE148" s="228">
        <v>0.05</v>
      </c>
      <c r="EF148" s="229">
        <v>2.0000000000000001E-4</v>
      </c>
      <c r="EG148" s="230">
        <v>2536163</v>
      </c>
      <c r="EH148" s="230">
        <v>3912732</v>
      </c>
      <c r="EI148" s="229">
        <v>-0.3518</v>
      </c>
      <c r="EJ148" s="229">
        <v>0.60099999999999998</v>
      </c>
      <c r="EK148" s="228">
        <v>285.68</v>
      </c>
      <c r="EL148" s="228">
        <v>125.87</v>
      </c>
      <c r="EM148" s="228">
        <v>125.78</v>
      </c>
      <c r="EN148" s="228">
        <v>23.07</v>
      </c>
      <c r="EO148" s="228">
        <v>537.34</v>
      </c>
      <c r="EP148" s="228">
        <v>767.62</v>
      </c>
      <c r="EQ148" s="228">
        <v>-230.28</v>
      </c>
      <c r="ER148" s="229">
        <v>-0.3</v>
      </c>
      <c r="ES148" s="228">
        <v>603.99</v>
      </c>
      <c r="ET148" s="228">
        <v>229.01</v>
      </c>
      <c r="EU148" s="231">
        <v>1391.9</v>
      </c>
      <c r="EV148" s="231">
        <v>205324177</v>
      </c>
      <c r="EW148" s="231">
        <v>2224.9</v>
      </c>
      <c r="EX148" s="231">
        <v>2235.2199999999998</v>
      </c>
      <c r="EY148" s="228">
        <v>-10.32</v>
      </c>
      <c r="EZ148" s="229">
        <v>-4.5999999999999999E-3</v>
      </c>
      <c r="FA148" s="229">
        <v>0.42909999999999998</v>
      </c>
      <c r="FB148" s="227" t="s">
        <v>568</v>
      </c>
      <c r="FC148">
        <f>BY216-CC216</f>
        <v>0</v>
      </c>
    </row>
    <row r="149" spans="1:159" ht="17.25" thickBot="1" x14ac:dyDescent="0.3">
      <c r="A149" s="226">
        <v>46008</v>
      </c>
      <c r="B149" s="227" t="s">
        <v>206</v>
      </c>
      <c r="C149" s="227" t="s">
        <v>528</v>
      </c>
      <c r="D149" s="228">
        <v>350</v>
      </c>
      <c r="E149" s="228">
        <v>13</v>
      </c>
      <c r="F149" s="231">
        <v>1609.6</v>
      </c>
      <c r="G149" s="231">
        <v>1628.3</v>
      </c>
      <c r="H149" s="228">
        <v>-18.7</v>
      </c>
      <c r="I149" s="229">
        <v>-1.15E-2</v>
      </c>
      <c r="J149" s="231">
        <v>1609.9</v>
      </c>
      <c r="K149" s="231">
        <v>1626.8</v>
      </c>
      <c r="L149" s="228">
        <v>-16.899999999999999</v>
      </c>
      <c r="M149" s="229">
        <v>-1.04E-2</v>
      </c>
      <c r="N149" s="231">
        <v>1609.6</v>
      </c>
      <c r="O149" s="231">
        <v>1628.3</v>
      </c>
      <c r="P149" s="228">
        <v>-18.7</v>
      </c>
      <c r="Q149" s="229">
        <v>-1.15E-2</v>
      </c>
      <c r="R149" s="231">
        <v>1602.4</v>
      </c>
      <c r="S149" s="231">
        <v>1620.2</v>
      </c>
      <c r="T149" s="228">
        <v>-17.8</v>
      </c>
      <c r="U149" s="229">
        <v>-1.0999999999999999E-2</v>
      </c>
      <c r="V149" s="231">
        <v>1595</v>
      </c>
      <c r="W149" s="231">
        <v>1615.1</v>
      </c>
      <c r="X149" s="228">
        <v>-20.100000000000001</v>
      </c>
      <c r="Y149" s="229">
        <v>-1.24E-2</v>
      </c>
      <c r="Z149" s="228">
        <v>-0.3</v>
      </c>
      <c r="AA149" s="228">
        <v>1.5</v>
      </c>
      <c r="AB149" s="228">
        <v>-1.8</v>
      </c>
      <c r="AC149" s="229">
        <v>-2.0000000000000001E-4</v>
      </c>
      <c r="AD149" s="228">
        <v>-0.3</v>
      </c>
      <c r="AE149" s="228">
        <v>1.5</v>
      </c>
      <c r="AF149" s="228">
        <v>-1.8</v>
      </c>
      <c r="AG149" s="229">
        <v>-2.0000000000000001E-4</v>
      </c>
      <c r="AH149" s="228">
        <v>-7.5</v>
      </c>
      <c r="AI149" s="228">
        <v>-6.6</v>
      </c>
      <c r="AJ149" s="228">
        <v>-0.9</v>
      </c>
      <c r="AK149" s="229">
        <v>-4.7000000000000002E-3</v>
      </c>
      <c r="AL149" s="228">
        <v>-14.9</v>
      </c>
      <c r="AM149" s="228">
        <v>-11.7</v>
      </c>
      <c r="AN149" s="228">
        <v>-3.2</v>
      </c>
      <c r="AO149" s="229">
        <v>-9.2999999999999992E-3</v>
      </c>
      <c r="AP149" s="231">
        <v>1619.07</v>
      </c>
      <c r="AQ149" s="231">
        <v>1613.36</v>
      </c>
      <c r="AR149" s="228">
        <v>0</v>
      </c>
      <c r="AS149" s="228">
        <v>83</v>
      </c>
      <c r="AT149" s="228">
        <v>90</v>
      </c>
      <c r="AU149" s="228">
        <v>-7</v>
      </c>
      <c r="AV149" s="229">
        <v>-8.3199999999999996E-2</v>
      </c>
      <c r="AW149" s="228">
        <v>73</v>
      </c>
      <c r="AX149" s="228">
        <v>81</v>
      </c>
      <c r="AY149" s="228">
        <v>-8</v>
      </c>
      <c r="AZ149" s="229">
        <v>-0.1024</v>
      </c>
      <c r="BA149" s="228">
        <v>9</v>
      </c>
      <c r="BB149" s="228">
        <v>8</v>
      </c>
      <c r="BC149" s="228">
        <v>1</v>
      </c>
      <c r="BD149" s="229">
        <v>0.11409999999999999</v>
      </c>
      <c r="BE149" s="228">
        <v>0</v>
      </c>
      <c r="BF149" s="228">
        <v>0</v>
      </c>
      <c r="BG149" s="228">
        <v>0</v>
      </c>
      <c r="BH149" s="229">
        <v>-0.5</v>
      </c>
      <c r="BI149" s="228">
        <v>186</v>
      </c>
      <c r="BJ149" s="228">
        <v>180</v>
      </c>
      <c r="BK149" s="228">
        <v>6</v>
      </c>
      <c r="BL149" s="229">
        <v>3.4500000000000003E-2</v>
      </c>
      <c r="BM149" s="228">
        <v>133</v>
      </c>
      <c r="BN149" s="228">
        <v>62</v>
      </c>
      <c r="BO149" s="228">
        <v>70</v>
      </c>
      <c r="BP149" s="229">
        <v>1.1303000000000001</v>
      </c>
      <c r="BQ149" s="228">
        <v>401</v>
      </c>
      <c r="BR149" s="228">
        <v>332</v>
      </c>
      <c r="BS149" s="228">
        <v>69</v>
      </c>
      <c r="BT149" s="229">
        <v>0.20810000000000001</v>
      </c>
      <c r="BU149" s="230">
        <v>360675</v>
      </c>
      <c r="BV149" s="230">
        <v>183371</v>
      </c>
      <c r="BW149" s="230">
        <v>177304</v>
      </c>
      <c r="BX149" s="229">
        <v>0.96689999999999998</v>
      </c>
      <c r="BY149" s="228">
        <v>769</v>
      </c>
      <c r="BZ149" s="228">
        <v>763</v>
      </c>
      <c r="CA149" s="228">
        <v>6</v>
      </c>
      <c r="CB149" s="229">
        <v>8.3000000000000001E-3</v>
      </c>
      <c r="CC149" s="228">
        <v>723</v>
      </c>
      <c r="CD149" s="228">
        <v>720</v>
      </c>
      <c r="CE149" s="228">
        <v>3</v>
      </c>
      <c r="CF149" s="229">
        <v>4.4000000000000003E-3</v>
      </c>
      <c r="CG149" s="228">
        <v>44</v>
      </c>
      <c r="CH149" s="228">
        <v>41</v>
      </c>
      <c r="CI149" s="228">
        <v>3</v>
      </c>
      <c r="CJ149" s="229">
        <v>7.3899999999999993E-2</v>
      </c>
      <c r="CK149" s="228">
        <v>2</v>
      </c>
      <c r="CL149" s="228">
        <v>2</v>
      </c>
      <c r="CM149" s="228">
        <v>0</v>
      </c>
      <c r="CN149" s="229">
        <v>5.7099999999999998E-2</v>
      </c>
      <c r="CO149" s="228">
        <v>341</v>
      </c>
      <c r="CP149" s="228">
        <v>337</v>
      </c>
      <c r="CQ149" s="228">
        <v>4</v>
      </c>
      <c r="CR149" s="229">
        <v>1.1900000000000001E-2</v>
      </c>
      <c r="CS149" s="228">
        <v>211</v>
      </c>
      <c r="CT149" s="228">
        <v>206</v>
      </c>
      <c r="CU149" s="228">
        <v>5</v>
      </c>
      <c r="CV149" s="229">
        <v>2.4400000000000002E-2</v>
      </c>
      <c r="CW149" s="230">
        <v>1321</v>
      </c>
      <c r="CX149" s="230">
        <v>1306</v>
      </c>
      <c r="CY149" s="228">
        <v>15</v>
      </c>
      <c r="CZ149" s="229">
        <v>1.17E-2</v>
      </c>
      <c r="DA149" s="228">
        <v>24.35</v>
      </c>
      <c r="DB149" s="228">
        <v>23.87</v>
      </c>
      <c r="DC149" s="228">
        <v>0.48</v>
      </c>
      <c r="DD149" s="228">
        <v>0.48</v>
      </c>
      <c r="DE149" s="228">
        <v>36.799999999999997</v>
      </c>
      <c r="DF149" s="228">
        <v>36.86</v>
      </c>
      <c r="DG149" s="228">
        <v>-12.45</v>
      </c>
      <c r="DH149" s="228">
        <v>-0.06</v>
      </c>
      <c r="DI149" s="228">
        <v>24.67</v>
      </c>
      <c r="DJ149" s="228">
        <v>24.09</v>
      </c>
      <c r="DK149" s="228">
        <v>0.57999999999999996</v>
      </c>
      <c r="DL149" s="228">
        <v>0.57999999999999996</v>
      </c>
      <c r="DM149" s="228">
        <v>23.9</v>
      </c>
      <c r="DN149" s="228">
        <v>23.26</v>
      </c>
      <c r="DO149" s="228">
        <v>0.64</v>
      </c>
      <c r="DP149" s="228">
        <v>0.64</v>
      </c>
      <c r="DQ149" s="228">
        <v>0.62</v>
      </c>
      <c r="DR149" s="228">
        <v>0.61</v>
      </c>
      <c r="DS149" s="228">
        <v>0.01</v>
      </c>
      <c r="DT149" s="229">
        <v>1.6400000000000001E-2</v>
      </c>
      <c r="DU149" s="231">
        <v>1700</v>
      </c>
      <c r="DV149" s="231">
        <v>1700</v>
      </c>
      <c r="DW149" s="228">
        <v>0.71</v>
      </c>
      <c r="DX149" s="228">
        <v>0.35</v>
      </c>
      <c r="DY149" s="228">
        <v>0.36</v>
      </c>
      <c r="DZ149" s="229">
        <v>1.0286</v>
      </c>
      <c r="EA149" s="229">
        <v>6.0199999999999997E-2</v>
      </c>
      <c r="EB149" s="230">
        <v>268100</v>
      </c>
      <c r="EC149" s="229">
        <v>-4.4999999999999997E-3</v>
      </c>
      <c r="ED149" s="229">
        <v>6.0199999999999997E-2</v>
      </c>
      <c r="EE149" s="228">
        <v>-5.71</v>
      </c>
      <c r="EF149" s="229">
        <v>-3.5000000000000001E-3</v>
      </c>
      <c r="EG149" s="230">
        <v>223347</v>
      </c>
      <c r="EH149" s="230">
        <v>94765</v>
      </c>
      <c r="EI149" s="229">
        <v>1.3569</v>
      </c>
      <c r="EJ149" s="229">
        <v>0.61919999999999997</v>
      </c>
      <c r="EK149" s="228">
        <v>195.35</v>
      </c>
      <c r="EL149" s="228">
        <v>131.96</v>
      </c>
      <c r="EM149" s="228">
        <v>82.98</v>
      </c>
      <c r="EN149" s="228">
        <v>22.64</v>
      </c>
      <c r="EO149" s="228">
        <v>410.29</v>
      </c>
      <c r="EP149" s="228">
        <v>343.76</v>
      </c>
      <c r="EQ149" s="228">
        <v>66.53</v>
      </c>
      <c r="ER149" s="229">
        <v>0.19350000000000001</v>
      </c>
      <c r="ES149" s="228">
        <v>362.01</v>
      </c>
      <c r="ET149" s="228">
        <v>209.18</v>
      </c>
      <c r="EU149" s="228">
        <v>769.11</v>
      </c>
      <c r="EV149" s="231">
        <v>17614093</v>
      </c>
      <c r="EW149" s="231">
        <v>1340.3</v>
      </c>
      <c r="EX149" s="231">
        <v>1334.71</v>
      </c>
      <c r="EY149" s="228">
        <v>5.59</v>
      </c>
      <c r="EZ149" s="229">
        <v>4.1999999999999997E-3</v>
      </c>
      <c r="FA149" s="229">
        <v>0.46589999999999998</v>
      </c>
      <c r="FB149" s="227" t="s">
        <v>567</v>
      </c>
      <c r="FC149">
        <f t="shared" ref="FC149:FC194" si="3">BY215-CC215</f>
        <v>69</v>
      </c>
    </row>
    <row r="150" spans="1:159" ht="17.25" thickBot="1" x14ac:dyDescent="0.3">
      <c r="A150" s="226">
        <v>46008</v>
      </c>
      <c r="B150" s="227" t="s">
        <v>221</v>
      </c>
      <c r="C150" s="227" t="s">
        <v>518</v>
      </c>
      <c r="D150" s="228">
        <v>75</v>
      </c>
      <c r="E150" s="228">
        <v>13</v>
      </c>
      <c r="F150" s="231">
        <v>7727.5</v>
      </c>
      <c r="G150" s="231">
        <v>7842.5</v>
      </c>
      <c r="H150" s="228">
        <v>-115</v>
      </c>
      <c r="I150" s="229">
        <v>-1.47E-2</v>
      </c>
      <c r="J150" s="231">
        <v>7712.5</v>
      </c>
      <c r="K150" s="231">
        <v>7828.5</v>
      </c>
      <c r="L150" s="228">
        <v>-116</v>
      </c>
      <c r="M150" s="229">
        <v>-1.4800000000000001E-2</v>
      </c>
      <c r="N150" s="231">
        <v>7727.5</v>
      </c>
      <c r="O150" s="231">
        <v>7842.5</v>
      </c>
      <c r="P150" s="228">
        <v>-115</v>
      </c>
      <c r="Q150" s="229">
        <v>-1.47E-2</v>
      </c>
      <c r="R150" s="231">
        <v>7762.5</v>
      </c>
      <c r="S150" s="231">
        <v>7875</v>
      </c>
      <c r="T150" s="228">
        <v>-112.5</v>
      </c>
      <c r="U150" s="229">
        <v>-1.43E-2</v>
      </c>
      <c r="V150" s="231">
        <v>7805</v>
      </c>
      <c r="W150" s="231">
        <v>7918</v>
      </c>
      <c r="X150" s="228">
        <v>-113</v>
      </c>
      <c r="Y150" s="229">
        <v>-1.43E-2</v>
      </c>
      <c r="Z150" s="228">
        <v>15</v>
      </c>
      <c r="AA150" s="228">
        <v>14</v>
      </c>
      <c r="AB150" s="228">
        <v>1</v>
      </c>
      <c r="AC150" s="229">
        <v>1.9E-3</v>
      </c>
      <c r="AD150" s="228">
        <v>15</v>
      </c>
      <c r="AE150" s="228">
        <v>14</v>
      </c>
      <c r="AF150" s="228">
        <v>1</v>
      </c>
      <c r="AG150" s="229">
        <v>1.9E-3</v>
      </c>
      <c r="AH150" s="228">
        <v>50</v>
      </c>
      <c r="AI150" s="228">
        <v>46.5</v>
      </c>
      <c r="AJ150" s="228">
        <v>3.5</v>
      </c>
      <c r="AK150" s="229">
        <v>6.4999999999999997E-3</v>
      </c>
      <c r="AL150" s="228">
        <v>92.5</v>
      </c>
      <c r="AM150" s="228">
        <v>89.5</v>
      </c>
      <c r="AN150" s="228">
        <v>3</v>
      </c>
      <c r="AO150" s="229">
        <v>1.2E-2</v>
      </c>
      <c r="AP150" s="231">
        <v>7783.42</v>
      </c>
      <c r="AQ150" s="231">
        <v>7809.68</v>
      </c>
      <c r="AR150" s="228">
        <v>0</v>
      </c>
      <c r="AS150" s="228">
        <v>174</v>
      </c>
      <c r="AT150" s="228">
        <v>167</v>
      </c>
      <c r="AU150" s="228">
        <v>7</v>
      </c>
      <c r="AV150" s="229">
        <v>4.3700000000000003E-2</v>
      </c>
      <c r="AW150" s="228">
        <v>139</v>
      </c>
      <c r="AX150" s="228">
        <v>143</v>
      </c>
      <c r="AY150" s="228">
        <v>-4</v>
      </c>
      <c r="AZ150" s="229">
        <v>-3.0800000000000001E-2</v>
      </c>
      <c r="BA150" s="228">
        <v>33</v>
      </c>
      <c r="BB150" s="228">
        <v>22</v>
      </c>
      <c r="BC150" s="228">
        <v>11</v>
      </c>
      <c r="BD150" s="229">
        <v>0.51739999999999997</v>
      </c>
      <c r="BE150" s="228">
        <v>3</v>
      </c>
      <c r="BF150" s="228">
        <v>2</v>
      </c>
      <c r="BG150" s="228">
        <v>1</v>
      </c>
      <c r="BH150" s="229">
        <v>0.21429999999999999</v>
      </c>
      <c r="BI150" s="228">
        <v>581</v>
      </c>
      <c r="BJ150" s="228">
        <v>497</v>
      </c>
      <c r="BK150" s="228">
        <v>84</v>
      </c>
      <c r="BL150" s="229">
        <v>0.16880000000000001</v>
      </c>
      <c r="BM150" s="228">
        <v>325</v>
      </c>
      <c r="BN150" s="228">
        <v>518</v>
      </c>
      <c r="BO150" s="228">
        <v>-193</v>
      </c>
      <c r="BP150" s="229">
        <v>-0.3725</v>
      </c>
      <c r="BQ150" s="230">
        <v>1080</v>
      </c>
      <c r="BR150" s="230">
        <v>1182</v>
      </c>
      <c r="BS150" s="228">
        <v>-102</v>
      </c>
      <c r="BT150" s="229">
        <v>-8.6199999999999999E-2</v>
      </c>
      <c r="BU150" s="230">
        <v>84584</v>
      </c>
      <c r="BV150" s="230">
        <v>111921</v>
      </c>
      <c r="BW150" s="230">
        <v>-27337</v>
      </c>
      <c r="BX150" s="229">
        <v>-0.24429999999999999</v>
      </c>
      <c r="BY150" s="230">
        <v>1126</v>
      </c>
      <c r="BZ150" s="230">
        <v>1112</v>
      </c>
      <c r="CA150" s="228">
        <v>14</v>
      </c>
      <c r="CB150" s="229">
        <v>1.21E-2</v>
      </c>
      <c r="CC150" s="230">
        <v>1053</v>
      </c>
      <c r="CD150" s="230">
        <v>1055</v>
      </c>
      <c r="CE150" s="228">
        <v>-2</v>
      </c>
      <c r="CF150" s="229">
        <v>-2.2000000000000001E-3</v>
      </c>
      <c r="CG150" s="228">
        <v>67</v>
      </c>
      <c r="CH150" s="228">
        <v>52</v>
      </c>
      <c r="CI150" s="228">
        <v>15</v>
      </c>
      <c r="CJ150" s="229">
        <v>0.2843</v>
      </c>
      <c r="CK150" s="228">
        <v>6</v>
      </c>
      <c r="CL150" s="228">
        <v>5</v>
      </c>
      <c r="CM150" s="228">
        <v>1</v>
      </c>
      <c r="CN150" s="229">
        <v>0.20930000000000001</v>
      </c>
      <c r="CO150" s="228">
        <v>611</v>
      </c>
      <c r="CP150" s="228">
        <v>558</v>
      </c>
      <c r="CQ150" s="228">
        <v>53</v>
      </c>
      <c r="CR150" s="229">
        <v>9.5000000000000001E-2</v>
      </c>
      <c r="CS150" s="228">
        <v>392</v>
      </c>
      <c r="CT150" s="228">
        <v>425</v>
      </c>
      <c r="CU150" s="228">
        <v>-33</v>
      </c>
      <c r="CV150" s="229">
        <v>-7.7799999999999994E-2</v>
      </c>
      <c r="CW150" s="230">
        <v>2128</v>
      </c>
      <c r="CX150" s="230">
        <v>2095</v>
      </c>
      <c r="CY150" s="228">
        <v>33</v>
      </c>
      <c r="CZ150" s="229">
        <v>1.6E-2</v>
      </c>
      <c r="DA150" s="228">
        <v>27.76</v>
      </c>
      <c r="DB150" s="228">
        <v>27.35</v>
      </c>
      <c r="DC150" s="228">
        <v>0.41</v>
      </c>
      <c r="DD150" s="228">
        <v>0.41</v>
      </c>
      <c r="DE150" s="228">
        <v>39.01</v>
      </c>
      <c r="DF150" s="228">
        <v>39.06</v>
      </c>
      <c r="DG150" s="228">
        <v>-11.25</v>
      </c>
      <c r="DH150" s="228">
        <v>-0.05</v>
      </c>
      <c r="DI150" s="228">
        <v>28.25</v>
      </c>
      <c r="DJ150" s="228">
        <v>28.27</v>
      </c>
      <c r="DK150" s="228">
        <v>-0.02</v>
      </c>
      <c r="DL150" s="228">
        <v>-0.02</v>
      </c>
      <c r="DM150" s="228">
        <v>26.89</v>
      </c>
      <c r="DN150" s="228">
        <v>26.47</v>
      </c>
      <c r="DO150" s="228">
        <v>0.42</v>
      </c>
      <c r="DP150" s="228">
        <v>0.42</v>
      </c>
      <c r="DQ150" s="228">
        <v>0.64</v>
      </c>
      <c r="DR150" s="228">
        <v>0.76</v>
      </c>
      <c r="DS150" s="228">
        <v>-0.12</v>
      </c>
      <c r="DT150" s="229">
        <v>-0.15790000000000001</v>
      </c>
      <c r="DU150" s="231">
        <v>8000</v>
      </c>
      <c r="DV150" s="231">
        <v>7500</v>
      </c>
      <c r="DW150" s="228">
        <v>0.56000000000000005</v>
      </c>
      <c r="DX150" s="228">
        <v>1.04</v>
      </c>
      <c r="DY150" s="228">
        <v>-0.48</v>
      </c>
      <c r="DZ150" s="229">
        <v>-0.46150000000000002</v>
      </c>
      <c r="EA150" s="229">
        <v>6.4699999999999994E-2</v>
      </c>
      <c r="EB150" s="230">
        <v>73725</v>
      </c>
      <c r="EC150" s="229">
        <v>4.4999999999999997E-3</v>
      </c>
      <c r="ED150" s="229">
        <v>6.4699999999999994E-2</v>
      </c>
      <c r="EE150" s="228">
        <v>26.26</v>
      </c>
      <c r="EF150" s="229">
        <v>3.3999999999999998E-3</v>
      </c>
      <c r="EG150" s="230">
        <v>32615</v>
      </c>
      <c r="EH150" s="230">
        <v>44297</v>
      </c>
      <c r="EI150" s="229">
        <v>-0.26369999999999999</v>
      </c>
      <c r="EJ150" s="229">
        <v>0.3856</v>
      </c>
      <c r="EK150" s="228">
        <v>616.07000000000005</v>
      </c>
      <c r="EL150" s="228">
        <v>320.23</v>
      </c>
      <c r="EM150" s="228">
        <v>175.73</v>
      </c>
      <c r="EN150" s="228">
        <v>36.07</v>
      </c>
      <c r="EO150" s="231">
        <v>1112.02</v>
      </c>
      <c r="EP150" s="231">
        <v>1226.8699999999999</v>
      </c>
      <c r="EQ150" s="228">
        <v>-114.85</v>
      </c>
      <c r="ER150" s="229">
        <v>-9.3600000000000003E-2</v>
      </c>
      <c r="ES150" s="228">
        <v>658.01</v>
      </c>
      <c r="ET150" s="228">
        <v>393.05</v>
      </c>
      <c r="EU150" s="231">
        <v>1125.8699999999999</v>
      </c>
      <c r="EV150" s="231">
        <v>3401732</v>
      </c>
      <c r="EW150" s="231">
        <v>2176.94</v>
      </c>
      <c r="EX150" s="231">
        <v>2159.39</v>
      </c>
      <c r="EY150" s="228">
        <v>17.55</v>
      </c>
      <c r="EZ150" s="229">
        <v>8.0999999999999996E-3</v>
      </c>
      <c r="FA150" s="229">
        <v>0.80959999999999999</v>
      </c>
      <c r="FB150" s="227" t="s">
        <v>567</v>
      </c>
      <c r="FC150">
        <f t="shared" si="3"/>
        <v>0</v>
      </c>
    </row>
    <row r="151" spans="1:159" ht="17.25" thickBot="1" x14ac:dyDescent="0.3">
      <c r="A151" s="226">
        <v>46008</v>
      </c>
      <c r="B151" s="227" t="s">
        <v>193</v>
      </c>
      <c r="C151" s="227" t="s">
        <v>587</v>
      </c>
      <c r="D151" s="228">
        <v>1400</v>
      </c>
      <c r="E151" s="228">
        <v>13</v>
      </c>
      <c r="F151" s="228">
        <v>398.25</v>
      </c>
      <c r="G151" s="228">
        <v>402.05</v>
      </c>
      <c r="H151" s="228">
        <v>-3.8</v>
      </c>
      <c r="I151" s="229">
        <v>-9.4999999999999998E-3</v>
      </c>
      <c r="J151" s="228">
        <v>398.15</v>
      </c>
      <c r="K151" s="228">
        <v>401.7</v>
      </c>
      <c r="L151" s="228">
        <v>-3.55</v>
      </c>
      <c r="M151" s="229">
        <v>-8.8000000000000005E-3</v>
      </c>
      <c r="N151" s="228">
        <v>398.25</v>
      </c>
      <c r="O151" s="228">
        <v>402.05</v>
      </c>
      <c r="P151" s="228">
        <v>-3.8</v>
      </c>
      <c r="Q151" s="229">
        <v>-9.4999999999999998E-3</v>
      </c>
      <c r="R151" s="228">
        <v>400.05</v>
      </c>
      <c r="S151" s="228">
        <v>403.55</v>
      </c>
      <c r="T151" s="228">
        <v>-3.5</v>
      </c>
      <c r="U151" s="229">
        <v>-8.6999999999999994E-3</v>
      </c>
      <c r="V151" s="228">
        <v>399.5</v>
      </c>
      <c r="W151" s="228">
        <v>402.9</v>
      </c>
      <c r="X151" s="228">
        <v>-3.4</v>
      </c>
      <c r="Y151" s="229">
        <v>-8.3999999999999995E-3</v>
      </c>
      <c r="Z151" s="228">
        <v>0.1</v>
      </c>
      <c r="AA151" s="228">
        <v>0.35</v>
      </c>
      <c r="AB151" s="228">
        <v>-0.25</v>
      </c>
      <c r="AC151" s="229">
        <v>2.9999999999999997E-4</v>
      </c>
      <c r="AD151" s="228">
        <v>0.1</v>
      </c>
      <c r="AE151" s="228">
        <v>0.35</v>
      </c>
      <c r="AF151" s="228">
        <v>-0.25</v>
      </c>
      <c r="AG151" s="229">
        <v>2.9999999999999997E-4</v>
      </c>
      <c r="AH151" s="228">
        <v>1.9</v>
      </c>
      <c r="AI151" s="228">
        <v>1.85</v>
      </c>
      <c r="AJ151" s="228">
        <v>0.05</v>
      </c>
      <c r="AK151" s="229">
        <v>4.7999999999999996E-3</v>
      </c>
      <c r="AL151" s="228">
        <v>1.35</v>
      </c>
      <c r="AM151" s="228">
        <v>1.2</v>
      </c>
      <c r="AN151" s="228">
        <v>0.15</v>
      </c>
      <c r="AO151" s="229">
        <v>3.3999999999999998E-3</v>
      </c>
      <c r="AP151" s="228">
        <v>400.27</v>
      </c>
      <c r="AQ151" s="228">
        <v>402</v>
      </c>
      <c r="AR151" s="228">
        <v>0</v>
      </c>
      <c r="AS151" s="228">
        <v>43</v>
      </c>
      <c r="AT151" s="228">
        <v>38</v>
      </c>
      <c r="AU151" s="228">
        <v>4</v>
      </c>
      <c r="AV151" s="229">
        <v>0.1106</v>
      </c>
      <c r="AW151" s="228">
        <v>37</v>
      </c>
      <c r="AX151" s="228">
        <v>34</v>
      </c>
      <c r="AY151" s="228">
        <v>3</v>
      </c>
      <c r="AZ151" s="229">
        <v>8.5800000000000001E-2</v>
      </c>
      <c r="BA151" s="228">
        <v>4</v>
      </c>
      <c r="BB151" s="228">
        <v>3</v>
      </c>
      <c r="BC151" s="228">
        <v>1</v>
      </c>
      <c r="BD151" s="229">
        <v>0.41820000000000002</v>
      </c>
      <c r="BE151" s="228">
        <v>1</v>
      </c>
      <c r="BF151" s="228">
        <v>1</v>
      </c>
      <c r="BG151" s="228">
        <v>0</v>
      </c>
      <c r="BH151" s="229">
        <v>0</v>
      </c>
      <c r="BI151" s="228">
        <v>154</v>
      </c>
      <c r="BJ151" s="228">
        <v>84</v>
      </c>
      <c r="BK151" s="228">
        <v>70</v>
      </c>
      <c r="BL151" s="229">
        <v>0.82640000000000002</v>
      </c>
      <c r="BM151" s="228">
        <v>52</v>
      </c>
      <c r="BN151" s="228">
        <v>34</v>
      </c>
      <c r="BO151" s="228">
        <v>18</v>
      </c>
      <c r="BP151" s="229">
        <v>0.52690000000000003</v>
      </c>
      <c r="BQ151" s="228">
        <v>248</v>
      </c>
      <c r="BR151" s="228">
        <v>157</v>
      </c>
      <c r="BS151" s="228">
        <v>92</v>
      </c>
      <c r="BT151" s="229">
        <v>0.58599999999999997</v>
      </c>
      <c r="BU151" s="230">
        <v>917406</v>
      </c>
      <c r="BV151" s="230">
        <v>616947</v>
      </c>
      <c r="BW151" s="230">
        <v>300459</v>
      </c>
      <c r="BX151" s="229">
        <v>0.48699999999999999</v>
      </c>
      <c r="BY151" s="228">
        <v>447</v>
      </c>
      <c r="BZ151" s="228">
        <v>445</v>
      </c>
      <c r="CA151" s="228">
        <v>3</v>
      </c>
      <c r="CB151" s="229">
        <v>6.0000000000000001E-3</v>
      </c>
      <c r="CC151" s="228">
        <v>421</v>
      </c>
      <c r="CD151" s="228">
        <v>421</v>
      </c>
      <c r="CE151" s="228">
        <v>0</v>
      </c>
      <c r="CF151" s="229">
        <v>8.9999999999999998E-4</v>
      </c>
      <c r="CG151" s="228">
        <v>20</v>
      </c>
      <c r="CH151" s="228">
        <v>18</v>
      </c>
      <c r="CI151" s="228">
        <v>2</v>
      </c>
      <c r="CJ151" s="229">
        <v>8.9200000000000002E-2</v>
      </c>
      <c r="CK151" s="228">
        <v>6</v>
      </c>
      <c r="CL151" s="228">
        <v>6</v>
      </c>
      <c r="CM151" s="228">
        <v>1</v>
      </c>
      <c r="CN151" s="229">
        <v>0.1176</v>
      </c>
      <c r="CO151" s="228">
        <v>289</v>
      </c>
      <c r="CP151" s="228">
        <v>264</v>
      </c>
      <c r="CQ151" s="228">
        <v>25</v>
      </c>
      <c r="CR151" s="229">
        <v>9.4399999999999998E-2</v>
      </c>
      <c r="CS151" s="228">
        <v>152</v>
      </c>
      <c r="CT151" s="228">
        <v>147</v>
      </c>
      <c r="CU151" s="228">
        <v>5</v>
      </c>
      <c r="CV151" s="229">
        <v>3.5700000000000003E-2</v>
      </c>
      <c r="CW151" s="228">
        <v>888</v>
      </c>
      <c r="CX151" s="228">
        <v>855</v>
      </c>
      <c r="CY151" s="228">
        <v>33</v>
      </c>
      <c r="CZ151" s="229">
        <v>3.8399999999999997E-2</v>
      </c>
      <c r="DA151" s="228">
        <v>23.28</v>
      </c>
      <c r="DB151" s="228">
        <v>25.29</v>
      </c>
      <c r="DC151" s="228">
        <v>-2.0099999999999998</v>
      </c>
      <c r="DD151" s="228">
        <v>-2.0099999999999998</v>
      </c>
      <c r="DE151" s="228">
        <v>41.31</v>
      </c>
      <c r="DF151" s="228">
        <v>41.39</v>
      </c>
      <c r="DG151" s="228">
        <v>-18.03</v>
      </c>
      <c r="DH151" s="228">
        <v>-0.08</v>
      </c>
      <c r="DI151" s="228">
        <v>23.89</v>
      </c>
      <c r="DJ151" s="228">
        <v>25.66</v>
      </c>
      <c r="DK151" s="228">
        <v>-1.77</v>
      </c>
      <c r="DL151" s="228">
        <v>-1.77</v>
      </c>
      <c r="DM151" s="228">
        <v>21.48</v>
      </c>
      <c r="DN151" s="228">
        <v>24.37</v>
      </c>
      <c r="DO151" s="228">
        <v>-2.89</v>
      </c>
      <c r="DP151" s="228">
        <v>-2.89</v>
      </c>
      <c r="DQ151" s="228">
        <v>0.53</v>
      </c>
      <c r="DR151" s="228">
        <v>0.56000000000000005</v>
      </c>
      <c r="DS151" s="228">
        <v>-0.03</v>
      </c>
      <c r="DT151" s="229">
        <v>-5.3600000000000002E-2</v>
      </c>
      <c r="DU151" s="228">
        <v>450</v>
      </c>
      <c r="DV151" s="228">
        <v>400</v>
      </c>
      <c r="DW151" s="228">
        <v>0.34</v>
      </c>
      <c r="DX151" s="228">
        <v>0.41</v>
      </c>
      <c r="DY151" s="228">
        <v>-7.0000000000000007E-2</v>
      </c>
      <c r="DZ151" s="229">
        <v>-0.17069999999999999</v>
      </c>
      <c r="EA151" s="229">
        <v>5.8299999999999998E-2</v>
      </c>
      <c r="EB151" s="230">
        <v>597800</v>
      </c>
      <c r="EC151" s="229">
        <v>4.4999999999999997E-3</v>
      </c>
      <c r="ED151" s="229">
        <v>5.8299999999999998E-2</v>
      </c>
      <c r="EE151" s="228">
        <v>1.73</v>
      </c>
      <c r="EF151" s="229">
        <v>4.3E-3</v>
      </c>
      <c r="EG151" s="230">
        <v>422378</v>
      </c>
      <c r="EH151" s="230">
        <v>361450</v>
      </c>
      <c r="EI151" s="229">
        <v>0.1686</v>
      </c>
      <c r="EJ151" s="229">
        <v>0.46039999999999998</v>
      </c>
      <c r="EK151" s="228">
        <v>162.47</v>
      </c>
      <c r="EL151" s="228">
        <v>52.27</v>
      </c>
      <c r="EM151" s="228">
        <v>42.78</v>
      </c>
      <c r="EN151" s="228">
        <v>8.93</v>
      </c>
      <c r="EO151" s="228">
        <v>257.52</v>
      </c>
      <c r="EP151" s="228">
        <v>163.95</v>
      </c>
      <c r="EQ151" s="228">
        <v>93.57</v>
      </c>
      <c r="ER151" s="229">
        <v>0.57069999999999999</v>
      </c>
      <c r="ES151" s="228">
        <v>313.02999999999997</v>
      </c>
      <c r="ET151" s="228">
        <v>154.82</v>
      </c>
      <c r="EU151" s="228">
        <v>447.32</v>
      </c>
      <c r="EV151" s="231">
        <v>94123587</v>
      </c>
      <c r="EW151" s="228">
        <v>915.17</v>
      </c>
      <c r="EX151" s="228">
        <v>885.31</v>
      </c>
      <c r="EY151" s="228">
        <v>29.86</v>
      </c>
      <c r="EZ151" s="229">
        <v>3.3700000000000001E-2</v>
      </c>
      <c r="FA151" s="229">
        <v>0.23699999999999999</v>
      </c>
      <c r="FB151" s="227" t="s">
        <v>567</v>
      </c>
      <c r="FC151">
        <f t="shared" si="3"/>
        <v>0</v>
      </c>
    </row>
    <row r="152" spans="1:159" ht="17.25" thickBot="1" x14ac:dyDescent="0.3">
      <c r="A152" s="226">
        <v>46008</v>
      </c>
      <c r="B152" s="227" t="s">
        <v>193</v>
      </c>
      <c r="C152" s="227" t="s">
        <v>269</v>
      </c>
      <c r="D152" s="228">
        <v>2250</v>
      </c>
      <c r="E152" s="228">
        <v>13</v>
      </c>
      <c r="F152" s="228">
        <v>233.14</v>
      </c>
      <c r="G152" s="228">
        <v>232.75</v>
      </c>
      <c r="H152" s="228">
        <v>0.39</v>
      </c>
      <c r="I152" s="229">
        <v>1.6999999999999999E-3</v>
      </c>
      <c r="J152" s="228">
        <v>232.91</v>
      </c>
      <c r="K152" s="228">
        <v>232.21</v>
      </c>
      <c r="L152" s="228">
        <v>0.7</v>
      </c>
      <c r="M152" s="229">
        <v>3.0000000000000001E-3</v>
      </c>
      <c r="N152" s="228">
        <v>233.14</v>
      </c>
      <c r="O152" s="228">
        <v>232.75</v>
      </c>
      <c r="P152" s="228">
        <v>0.39</v>
      </c>
      <c r="Q152" s="229">
        <v>1.6999999999999999E-3</v>
      </c>
      <c r="R152" s="228">
        <v>234.61</v>
      </c>
      <c r="S152" s="228">
        <v>234.09</v>
      </c>
      <c r="T152" s="228">
        <v>0.52</v>
      </c>
      <c r="U152" s="229">
        <v>2.2000000000000001E-3</v>
      </c>
      <c r="V152" s="228">
        <v>234.3</v>
      </c>
      <c r="W152" s="228">
        <v>233.7</v>
      </c>
      <c r="X152" s="228">
        <v>0.6</v>
      </c>
      <c r="Y152" s="229">
        <v>2.5999999999999999E-3</v>
      </c>
      <c r="Z152" s="228">
        <v>0.23</v>
      </c>
      <c r="AA152" s="228">
        <v>0.54</v>
      </c>
      <c r="AB152" s="228">
        <v>-0.31</v>
      </c>
      <c r="AC152" s="229">
        <v>1E-3</v>
      </c>
      <c r="AD152" s="228">
        <v>0.23</v>
      </c>
      <c r="AE152" s="228">
        <v>0.54</v>
      </c>
      <c r="AF152" s="228">
        <v>-0.31</v>
      </c>
      <c r="AG152" s="229">
        <v>1E-3</v>
      </c>
      <c r="AH152" s="228">
        <v>1.7</v>
      </c>
      <c r="AI152" s="228">
        <v>1.88</v>
      </c>
      <c r="AJ152" s="228">
        <v>-0.18</v>
      </c>
      <c r="AK152" s="229">
        <v>7.3000000000000001E-3</v>
      </c>
      <c r="AL152" s="228">
        <v>1.39</v>
      </c>
      <c r="AM152" s="228">
        <v>1.49</v>
      </c>
      <c r="AN152" s="228">
        <v>-0.1</v>
      </c>
      <c r="AO152" s="229">
        <v>6.0000000000000001E-3</v>
      </c>
      <c r="AP152" s="228">
        <v>232.48</v>
      </c>
      <c r="AQ152" s="228">
        <v>233.96</v>
      </c>
      <c r="AR152" s="228">
        <v>0</v>
      </c>
      <c r="AS152" s="228">
        <v>252</v>
      </c>
      <c r="AT152" s="228">
        <v>237</v>
      </c>
      <c r="AU152" s="228">
        <v>14</v>
      </c>
      <c r="AV152" s="229">
        <v>6.0600000000000001E-2</v>
      </c>
      <c r="AW152" s="228">
        <v>207</v>
      </c>
      <c r="AX152" s="228">
        <v>183</v>
      </c>
      <c r="AY152" s="228">
        <v>24</v>
      </c>
      <c r="AZ152" s="229">
        <v>0.1298</v>
      </c>
      <c r="BA152" s="228">
        <v>42</v>
      </c>
      <c r="BB152" s="228">
        <v>50</v>
      </c>
      <c r="BC152" s="228">
        <v>-8</v>
      </c>
      <c r="BD152" s="229">
        <v>-0.15629999999999999</v>
      </c>
      <c r="BE152" s="228">
        <v>3</v>
      </c>
      <c r="BF152" s="228">
        <v>4</v>
      </c>
      <c r="BG152" s="228">
        <v>-2</v>
      </c>
      <c r="BH152" s="229">
        <v>-0.36899999999999999</v>
      </c>
      <c r="BI152" s="228">
        <v>811</v>
      </c>
      <c r="BJ152" s="228">
        <v>746</v>
      </c>
      <c r="BK152" s="228">
        <v>66</v>
      </c>
      <c r="BL152" s="229">
        <v>8.8200000000000001E-2</v>
      </c>
      <c r="BM152" s="228">
        <v>543</v>
      </c>
      <c r="BN152" s="228">
        <v>469</v>
      </c>
      <c r="BO152" s="228">
        <v>74</v>
      </c>
      <c r="BP152" s="229">
        <v>0.157</v>
      </c>
      <c r="BQ152" s="230">
        <v>1606</v>
      </c>
      <c r="BR152" s="230">
        <v>1452</v>
      </c>
      <c r="BS152" s="228">
        <v>154</v>
      </c>
      <c r="BT152" s="229">
        <v>0.10589999999999999</v>
      </c>
      <c r="BU152" s="230">
        <v>6080475</v>
      </c>
      <c r="BV152" s="230">
        <v>7802227</v>
      </c>
      <c r="BW152" s="230">
        <v>-1721752</v>
      </c>
      <c r="BX152" s="229">
        <v>-0.22070000000000001</v>
      </c>
      <c r="BY152" s="230">
        <v>2345</v>
      </c>
      <c r="BZ152" s="230">
        <v>2315</v>
      </c>
      <c r="CA152" s="228">
        <v>30</v>
      </c>
      <c r="CB152" s="229">
        <v>1.29E-2</v>
      </c>
      <c r="CC152" s="230">
        <v>2163</v>
      </c>
      <c r="CD152" s="230">
        <v>2146</v>
      </c>
      <c r="CE152" s="228">
        <v>17</v>
      </c>
      <c r="CF152" s="229">
        <v>8.0000000000000002E-3</v>
      </c>
      <c r="CG152" s="228">
        <v>157</v>
      </c>
      <c r="CH152" s="228">
        <v>145</v>
      </c>
      <c r="CI152" s="228">
        <v>12</v>
      </c>
      <c r="CJ152" s="229">
        <v>8.5199999999999998E-2</v>
      </c>
      <c r="CK152" s="228">
        <v>25</v>
      </c>
      <c r="CL152" s="228">
        <v>24</v>
      </c>
      <c r="CM152" s="228">
        <v>0</v>
      </c>
      <c r="CN152" s="229">
        <v>1.52E-2</v>
      </c>
      <c r="CO152" s="230">
        <v>1493</v>
      </c>
      <c r="CP152" s="230">
        <v>1443</v>
      </c>
      <c r="CQ152" s="228">
        <v>50</v>
      </c>
      <c r="CR152" s="229">
        <v>3.44E-2</v>
      </c>
      <c r="CS152" s="228">
        <v>619</v>
      </c>
      <c r="CT152" s="228">
        <v>604</v>
      </c>
      <c r="CU152" s="228">
        <v>15</v>
      </c>
      <c r="CV152" s="229">
        <v>2.4899999999999999E-2</v>
      </c>
      <c r="CW152" s="230">
        <v>4457</v>
      </c>
      <c r="CX152" s="230">
        <v>4362</v>
      </c>
      <c r="CY152" s="228">
        <v>95</v>
      </c>
      <c r="CZ152" s="229">
        <v>2.1700000000000001E-2</v>
      </c>
      <c r="DA152" s="228">
        <v>17.78</v>
      </c>
      <c r="DB152" s="228">
        <v>18.73</v>
      </c>
      <c r="DC152" s="228">
        <v>-0.95</v>
      </c>
      <c r="DD152" s="228">
        <v>-0.95</v>
      </c>
      <c r="DE152" s="228">
        <v>30</v>
      </c>
      <c r="DF152" s="228">
        <v>30.07</v>
      </c>
      <c r="DG152" s="228">
        <v>-12.22</v>
      </c>
      <c r="DH152" s="228">
        <v>-7.0000000000000007E-2</v>
      </c>
      <c r="DI152" s="228">
        <v>17.18</v>
      </c>
      <c r="DJ152" s="228">
        <v>18.72</v>
      </c>
      <c r="DK152" s="228">
        <v>-1.54</v>
      </c>
      <c r="DL152" s="228">
        <v>-1.54</v>
      </c>
      <c r="DM152" s="228">
        <v>18.68</v>
      </c>
      <c r="DN152" s="228">
        <v>18.739999999999998</v>
      </c>
      <c r="DO152" s="228">
        <v>-0.06</v>
      </c>
      <c r="DP152" s="228">
        <v>-0.06</v>
      </c>
      <c r="DQ152" s="228">
        <v>0.41</v>
      </c>
      <c r="DR152" s="228">
        <v>0.42</v>
      </c>
      <c r="DS152" s="228">
        <v>-0.01</v>
      </c>
      <c r="DT152" s="229">
        <v>-2.3800000000000002E-2</v>
      </c>
      <c r="DU152" s="228">
        <v>250</v>
      </c>
      <c r="DV152" s="228">
        <v>230</v>
      </c>
      <c r="DW152" s="228">
        <v>0.67</v>
      </c>
      <c r="DX152" s="228">
        <v>0.63</v>
      </c>
      <c r="DY152" s="228">
        <v>0.04</v>
      </c>
      <c r="DZ152" s="229">
        <v>6.3500000000000001E-2</v>
      </c>
      <c r="EA152" s="229">
        <v>7.7399999999999997E-2</v>
      </c>
      <c r="EB152" s="230">
        <v>7245000</v>
      </c>
      <c r="EC152" s="229">
        <v>6.3E-3</v>
      </c>
      <c r="ED152" s="229">
        <v>7.7399999999999997E-2</v>
      </c>
      <c r="EE152" s="228">
        <v>1.48</v>
      </c>
      <c r="EF152" s="229">
        <v>6.4000000000000003E-3</v>
      </c>
      <c r="EG152" s="230">
        <v>3166644</v>
      </c>
      <c r="EH152" s="230">
        <v>4789307</v>
      </c>
      <c r="EI152" s="229">
        <v>-0.33879999999999999</v>
      </c>
      <c r="EJ152" s="229">
        <v>0.52080000000000004</v>
      </c>
      <c r="EK152" s="228">
        <v>835.22</v>
      </c>
      <c r="EL152" s="228">
        <v>536.62</v>
      </c>
      <c r="EM152" s="228">
        <v>251.09</v>
      </c>
      <c r="EN152" s="228">
        <v>41.96</v>
      </c>
      <c r="EO152" s="231">
        <v>1622.92</v>
      </c>
      <c r="EP152" s="231">
        <v>1478.9</v>
      </c>
      <c r="EQ152" s="228">
        <v>144.02000000000001</v>
      </c>
      <c r="ER152" s="229">
        <v>9.74E-2</v>
      </c>
      <c r="ES152" s="231">
        <v>1576.62</v>
      </c>
      <c r="ET152" s="228">
        <v>625.09</v>
      </c>
      <c r="EU152" s="231">
        <v>2346.13</v>
      </c>
      <c r="EV152" s="231">
        <v>517141211</v>
      </c>
      <c r="EW152" s="231">
        <v>4547.83</v>
      </c>
      <c r="EX152" s="231">
        <v>4450.99</v>
      </c>
      <c r="EY152" s="228">
        <v>96.84</v>
      </c>
      <c r="EZ152" s="229">
        <v>2.18E-2</v>
      </c>
      <c r="FA152" s="229">
        <v>0.36959999999999998</v>
      </c>
      <c r="FB152" s="227" t="s">
        <v>555</v>
      </c>
      <c r="FC152">
        <f t="shared" si="3"/>
        <v>0</v>
      </c>
    </row>
    <row r="153" spans="1:159" ht="17.25" thickBot="1" x14ac:dyDescent="0.3">
      <c r="A153" s="226">
        <v>46008</v>
      </c>
      <c r="B153" s="227" t="s">
        <v>197</v>
      </c>
      <c r="C153" s="227" t="s">
        <v>270</v>
      </c>
      <c r="D153" s="228">
        <v>15</v>
      </c>
      <c r="E153" s="228">
        <v>13</v>
      </c>
      <c r="F153" s="231">
        <v>36085</v>
      </c>
      <c r="G153" s="231">
        <v>36495</v>
      </c>
      <c r="H153" s="228">
        <v>-410</v>
      </c>
      <c r="I153" s="229">
        <v>-1.12E-2</v>
      </c>
      <c r="J153" s="231">
        <v>36055</v>
      </c>
      <c r="K153" s="231">
        <v>36355</v>
      </c>
      <c r="L153" s="228">
        <v>-300</v>
      </c>
      <c r="M153" s="229">
        <v>-8.3000000000000001E-3</v>
      </c>
      <c r="N153" s="231">
        <v>36085</v>
      </c>
      <c r="O153" s="231">
        <v>36495</v>
      </c>
      <c r="P153" s="228">
        <v>-410</v>
      </c>
      <c r="Q153" s="229">
        <v>-1.12E-2</v>
      </c>
      <c r="R153" s="231">
        <v>36020</v>
      </c>
      <c r="S153" s="231">
        <v>36475</v>
      </c>
      <c r="T153" s="228">
        <v>-455</v>
      </c>
      <c r="U153" s="229">
        <v>-1.2500000000000001E-2</v>
      </c>
      <c r="V153" s="231">
        <v>36000</v>
      </c>
      <c r="W153" s="231">
        <v>36450</v>
      </c>
      <c r="X153" s="228">
        <v>-450</v>
      </c>
      <c r="Y153" s="229">
        <v>-1.23E-2</v>
      </c>
      <c r="Z153" s="228">
        <v>30</v>
      </c>
      <c r="AA153" s="228">
        <v>140</v>
      </c>
      <c r="AB153" s="228">
        <v>-110</v>
      </c>
      <c r="AC153" s="229">
        <v>8.0000000000000004E-4</v>
      </c>
      <c r="AD153" s="228">
        <v>30</v>
      </c>
      <c r="AE153" s="228">
        <v>140</v>
      </c>
      <c r="AF153" s="228">
        <v>-110</v>
      </c>
      <c r="AG153" s="229">
        <v>8.0000000000000004E-4</v>
      </c>
      <c r="AH153" s="228">
        <v>-35</v>
      </c>
      <c r="AI153" s="228">
        <v>120</v>
      </c>
      <c r="AJ153" s="228">
        <v>-155</v>
      </c>
      <c r="AK153" s="229">
        <v>-1E-3</v>
      </c>
      <c r="AL153" s="228">
        <v>-55</v>
      </c>
      <c r="AM153" s="228">
        <v>95</v>
      </c>
      <c r="AN153" s="228">
        <v>-150</v>
      </c>
      <c r="AO153" s="229">
        <v>-1.5E-3</v>
      </c>
      <c r="AP153" s="231">
        <v>36256.870000000003</v>
      </c>
      <c r="AQ153" s="231">
        <v>36166.67</v>
      </c>
      <c r="AR153" s="228">
        <v>0</v>
      </c>
      <c r="AS153" s="228">
        <v>120</v>
      </c>
      <c r="AT153" s="228">
        <v>75</v>
      </c>
      <c r="AU153" s="228">
        <v>45</v>
      </c>
      <c r="AV153" s="229">
        <v>0.59209999999999996</v>
      </c>
      <c r="AW153" s="228">
        <v>102</v>
      </c>
      <c r="AX153" s="228">
        <v>65</v>
      </c>
      <c r="AY153" s="228">
        <v>37</v>
      </c>
      <c r="AZ153" s="229">
        <v>0.55910000000000004</v>
      </c>
      <c r="BA153" s="228">
        <v>16</v>
      </c>
      <c r="BB153" s="228">
        <v>9</v>
      </c>
      <c r="BC153" s="228">
        <v>8</v>
      </c>
      <c r="BD153" s="229">
        <v>0.8861</v>
      </c>
      <c r="BE153" s="228">
        <v>2</v>
      </c>
      <c r="BF153" s="228">
        <v>1</v>
      </c>
      <c r="BG153" s="228">
        <v>0</v>
      </c>
      <c r="BH153" s="229">
        <v>0.30430000000000001</v>
      </c>
      <c r="BI153" s="228">
        <v>532</v>
      </c>
      <c r="BJ153" s="228">
        <v>369</v>
      </c>
      <c r="BK153" s="228">
        <v>163</v>
      </c>
      <c r="BL153" s="229">
        <v>0.44169999999999998</v>
      </c>
      <c r="BM153" s="228">
        <v>128</v>
      </c>
      <c r="BN153" s="228">
        <v>93</v>
      </c>
      <c r="BO153" s="228">
        <v>36</v>
      </c>
      <c r="BP153" s="229">
        <v>0.3856</v>
      </c>
      <c r="BQ153" s="228">
        <v>780</v>
      </c>
      <c r="BR153" s="228">
        <v>537</v>
      </c>
      <c r="BS153" s="228">
        <v>243</v>
      </c>
      <c r="BT153" s="229">
        <v>0.4531</v>
      </c>
      <c r="BU153" s="230">
        <v>16548</v>
      </c>
      <c r="BV153" s="230">
        <v>26230</v>
      </c>
      <c r="BW153" s="230">
        <v>-9682</v>
      </c>
      <c r="BX153" s="229">
        <v>-0.36909999999999998</v>
      </c>
      <c r="BY153" s="228">
        <v>981</v>
      </c>
      <c r="BZ153" s="228">
        <v>959</v>
      </c>
      <c r="CA153" s="228">
        <v>21</v>
      </c>
      <c r="CB153" s="229">
        <v>2.24E-2</v>
      </c>
      <c r="CC153" s="228">
        <v>914</v>
      </c>
      <c r="CD153" s="228">
        <v>898</v>
      </c>
      <c r="CE153" s="228">
        <v>16</v>
      </c>
      <c r="CF153" s="229">
        <v>1.7500000000000002E-2</v>
      </c>
      <c r="CG153" s="228">
        <v>55</v>
      </c>
      <c r="CH153" s="228">
        <v>51</v>
      </c>
      <c r="CI153" s="228">
        <v>5</v>
      </c>
      <c r="CJ153" s="229">
        <v>9.7500000000000003E-2</v>
      </c>
      <c r="CK153" s="228">
        <v>11</v>
      </c>
      <c r="CL153" s="228">
        <v>11</v>
      </c>
      <c r="CM153" s="228">
        <v>1</v>
      </c>
      <c r="CN153" s="229">
        <v>8.2500000000000004E-2</v>
      </c>
      <c r="CO153" s="228">
        <v>469</v>
      </c>
      <c r="CP153" s="228">
        <v>431</v>
      </c>
      <c r="CQ153" s="228">
        <v>38</v>
      </c>
      <c r="CR153" s="229">
        <v>8.8499999999999995E-2</v>
      </c>
      <c r="CS153" s="228">
        <v>193</v>
      </c>
      <c r="CT153" s="228">
        <v>186</v>
      </c>
      <c r="CU153" s="228">
        <v>8</v>
      </c>
      <c r="CV153" s="229">
        <v>4.0800000000000003E-2</v>
      </c>
      <c r="CW153" s="230">
        <v>1643</v>
      </c>
      <c r="CX153" s="230">
        <v>1576</v>
      </c>
      <c r="CY153" s="228">
        <v>67</v>
      </c>
      <c r="CZ153" s="229">
        <v>4.2700000000000002E-2</v>
      </c>
      <c r="DA153" s="228">
        <v>25.1</v>
      </c>
      <c r="DB153" s="228">
        <v>24.88</v>
      </c>
      <c r="DC153" s="228">
        <v>0.22</v>
      </c>
      <c r="DD153" s="228">
        <v>0.22</v>
      </c>
      <c r="DE153" s="228">
        <v>27.84</v>
      </c>
      <c r="DF153" s="228">
        <v>27.88</v>
      </c>
      <c r="DG153" s="228">
        <v>-2.74</v>
      </c>
      <c r="DH153" s="228">
        <v>-0.04</v>
      </c>
      <c r="DI153" s="228">
        <v>26.14</v>
      </c>
      <c r="DJ153" s="228">
        <v>26.06</v>
      </c>
      <c r="DK153" s="228">
        <v>0.08</v>
      </c>
      <c r="DL153" s="228">
        <v>0.08</v>
      </c>
      <c r="DM153" s="228">
        <v>20.8</v>
      </c>
      <c r="DN153" s="228">
        <v>20.14</v>
      </c>
      <c r="DO153" s="228">
        <v>0.66</v>
      </c>
      <c r="DP153" s="228">
        <v>0.66</v>
      </c>
      <c r="DQ153" s="228">
        <v>0.41</v>
      </c>
      <c r="DR153" s="228">
        <v>0.43</v>
      </c>
      <c r="DS153" s="228">
        <v>-0.02</v>
      </c>
      <c r="DT153" s="229">
        <v>-4.65E-2</v>
      </c>
      <c r="DU153" s="231">
        <v>40000</v>
      </c>
      <c r="DV153" s="231">
        <v>37000</v>
      </c>
      <c r="DW153" s="228">
        <v>0.24</v>
      </c>
      <c r="DX153" s="228">
        <v>0.25</v>
      </c>
      <c r="DY153" s="228">
        <v>-0.01</v>
      </c>
      <c r="DZ153" s="229">
        <v>-0.04</v>
      </c>
      <c r="EA153" s="229">
        <v>6.8099999999999994E-2</v>
      </c>
      <c r="EB153" s="230">
        <v>16905</v>
      </c>
      <c r="EC153" s="229">
        <v>-1.8E-3</v>
      </c>
      <c r="ED153" s="229">
        <v>6.8099999999999994E-2</v>
      </c>
      <c r="EE153" s="228">
        <v>-90.2</v>
      </c>
      <c r="EF153" s="229">
        <v>-2.5000000000000001E-3</v>
      </c>
      <c r="EG153" s="230">
        <v>8522</v>
      </c>
      <c r="EH153" s="230">
        <v>16888</v>
      </c>
      <c r="EI153" s="229">
        <v>-0.49540000000000001</v>
      </c>
      <c r="EJ153" s="229">
        <v>0.51500000000000001</v>
      </c>
      <c r="EK153" s="228">
        <v>572.72</v>
      </c>
      <c r="EL153" s="228">
        <v>126.41</v>
      </c>
      <c r="EM153" s="228">
        <v>120.31</v>
      </c>
      <c r="EN153" s="228">
        <v>12.63</v>
      </c>
      <c r="EO153" s="228">
        <v>819.45</v>
      </c>
      <c r="EP153" s="228">
        <v>572.77</v>
      </c>
      <c r="EQ153" s="228">
        <v>246.68</v>
      </c>
      <c r="ER153" s="229">
        <v>0.43070000000000003</v>
      </c>
      <c r="ES153" s="228">
        <v>511.05</v>
      </c>
      <c r="ET153" s="228">
        <v>196.63</v>
      </c>
      <c r="EU153" s="228">
        <v>980.66</v>
      </c>
      <c r="EV153" s="231">
        <v>955549</v>
      </c>
      <c r="EW153" s="231">
        <v>1688.34</v>
      </c>
      <c r="EX153" s="231">
        <v>1631.83</v>
      </c>
      <c r="EY153" s="228">
        <v>56.51</v>
      </c>
      <c r="EZ153" s="229">
        <v>3.4599999999999999E-2</v>
      </c>
      <c r="FA153" s="229">
        <v>0.47660000000000002</v>
      </c>
      <c r="FB153" s="227" t="s">
        <v>567</v>
      </c>
      <c r="FC153">
        <f t="shared" si="3"/>
        <v>0</v>
      </c>
    </row>
    <row r="154" spans="1:159" ht="17.25" thickBot="1" x14ac:dyDescent="0.3">
      <c r="A154" s="226">
        <v>46008</v>
      </c>
      <c r="B154" s="227" t="s">
        <v>168</v>
      </c>
      <c r="C154" s="227" t="s">
        <v>666</v>
      </c>
      <c r="D154" s="228">
        <v>900</v>
      </c>
      <c r="E154" s="228">
        <v>13</v>
      </c>
      <c r="F154" s="228">
        <v>544.6</v>
      </c>
      <c r="G154" s="228">
        <v>539.5</v>
      </c>
      <c r="H154" s="228">
        <v>5.0999999999999996</v>
      </c>
      <c r="I154" s="229">
        <v>9.4999999999999998E-3</v>
      </c>
      <c r="J154" s="228">
        <v>543.9</v>
      </c>
      <c r="K154" s="228">
        <v>537.85</v>
      </c>
      <c r="L154" s="228">
        <v>6.05</v>
      </c>
      <c r="M154" s="229">
        <v>1.12E-2</v>
      </c>
      <c r="N154" s="228">
        <v>544.6</v>
      </c>
      <c r="O154" s="228">
        <v>539.5</v>
      </c>
      <c r="P154" s="228">
        <v>5.0999999999999996</v>
      </c>
      <c r="Q154" s="229">
        <v>9.4999999999999998E-3</v>
      </c>
      <c r="R154" s="228">
        <v>547.70000000000005</v>
      </c>
      <c r="S154" s="228">
        <v>542.5</v>
      </c>
      <c r="T154" s="228">
        <v>5.2</v>
      </c>
      <c r="U154" s="229">
        <v>9.5999999999999992E-3</v>
      </c>
      <c r="V154" s="228">
        <v>551.9</v>
      </c>
      <c r="W154" s="228">
        <v>545</v>
      </c>
      <c r="X154" s="228">
        <v>6.9</v>
      </c>
      <c r="Y154" s="229">
        <v>1.2699999999999999E-2</v>
      </c>
      <c r="Z154" s="228">
        <v>0.7</v>
      </c>
      <c r="AA154" s="228">
        <v>1.65</v>
      </c>
      <c r="AB154" s="228">
        <v>-0.95</v>
      </c>
      <c r="AC154" s="229">
        <v>1.2999999999999999E-3</v>
      </c>
      <c r="AD154" s="228">
        <v>0.7</v>
      </c>
      <c r="AE154" s="228">
        <v>1.65</v>
      </c>
      <c r="AF154" s="228">
        <v>-0.95</v>
      </c>
      <c r="AG154" s="229">
        <v>1.2999999999999999E-3</v>
      </c>
      <c r="AH154" s="228">
        <v>3.8</v>
      </c>
      <c r="AI154" s="228">
        <v>4.6500000000000004</v>
      </c>
      <c r="AJ154" s="228">
        <v>-0.85</v>
      </c>
      <c r="AK154" s="229">
        <v>7.0000000000000001E-3</v>
      </c>
      <c r="AL154" s="228">
        <v>8</v>
      </c>
      <c r="AM154" s="228">
        <v>7.15</v>
      </c>
      <c r="AN154" s="228">
        <v>0.85</v>
      </c>
      <c r="AO154" s="229">
        <v>1.47E-2</v>
      </c>
      <c r="AP154" s="228">
        <v>538.96</v>
      </c>
      <c r="AQ154" s="228">
        <v>541.88</v>
      </c>
      <c r="AR154" s="228">
        <v>0</v>
      </c>
      <c r="AS154" s="228">
        <v>511</v>
      </c>
      <c r="AT154" s="228">
        <v>402</v>
      </c>
      <c r="AU154" s="228">
        <v>109</v>
      </c>
      <c r="AV154" s="229">
        <v>0.2702</v>
      </c>
      <c r="AW154" s="228">
        <v>461</v>
      </c>
      <c r="AX154" s="228">
        <v>386</v>
      </c>
      <c r="AY154" s="228">
        <v>75</v>
      </c>
      <c r="AZ154" s="229">
        <v>0.19439999999999999</v>
      </c>
      <c r="BA154" s="228">
        <v>49</v>
      </c>
      <c r="BB154" s="228">
        <v>15</v>
      </c>
      <c r="BC154" s="228">
        <v>34</v>
      </c>
      <c r="BD154" s="229">
        <v>2.2136</v>
      </c>
      <c r="BE154" s="228">
        <v>1</v>
      </c>
      <c r="BF154" s="228">
        <v>1</v>
      </c>
      <c r="BG154" s="228">
        <v>0</v>
      </c>
      <c r="BH154" s="229">
        <v>5.5599999999999997E-2</v>
      </c>
      <c r="BI154" s="228">
        <v>622</v>
      </c>
      <c r="BJ154" s="228">
        <v>375</v>
      </c>
      <c r="BK154" s="228">
        <v>248</v>
      </c>
      <c r="BL154" s="229">
        <v>0.66190000000000004</v>
      </c>
      <c r="BM154" s="228">
        <v>200</v>
      </c>
      <c r="BN154" s="228">
        <v>123</v>
      </c>
      <c r="BO154" s="228">
        <v>77</v>
      </c>
      <c r="BP154" s="229">
        <v>0.62370000000000003</v>
      </c>
      <c r="BQ154" s="230">
        <v>1333</v>
      </c>
      <c r="BR154" s="228">
        <v>900</v>
      </c>
      <c r="BS154" s="228">
        <v>433</v>
      </c>
      <c r="BT154" s="229">
        <v>0.48170000000000002</v>
      </c>
      <c r="BU154" s="230">
        <v>8417884</v>
      </c>
      <c r="BV154" s="230">
        <v>7667309</v>
      </c>
      <c r="BW154" s="230">
        <v>750575</v>
      </c>
      <c r="BX154" s="229">
        <v>9.7900000000000001E-2</v>
      </c>
      <c r="BY154" s="230">
        <v>2017</v>
      </c>
      <c r="BZ154" s="230">
        <v>1956</v>
      </c>
      <c r="CA154" s="228">
        <v>61</v>
      </c>
      <c r="CB154" s="229">
        <v>3.1199999999999999E-2</v>
      </c>
      <c r="CC154" s="230">
        <v>1967</v>
      </c>
      <c r="CD154" s="230">
        <v>1925</v>
      </c>
      <c r="CE154" s="228">
        <v>42</v>
      </c>
      <c r="CF154" s="229">
        <v>2.1899999999999999E-2</v>
      </c>
      <c r="CG154" s="228">
        <v>47</v>
      </c>
      <c r="CH154" s="228">
        <v>28</v>
      </c>
      <c r="CI154" s="228">
        <v>18</v>
      </c>
      <c r="CJ154" s="229">
        <v>0.64829999999999999</v>
      </c>
      <c r="CK154" s="228">
        <v>3</v>
      </c>
      <c r="CL154" s="228">
        <v>2</v>
      </c>
      <c r="CM154" s="228">
        <v>0</v>
      </c>
      <c r="CN154" s="229">
        <v>0.1429</v>
      </c>
      <c r="CO154" s="228">
        <v>441</v>
      </c>
      <c r="CP154" s="228">
        <v>431</v>
      </c>
      <c r="CQ154" s="228">
        <v>10</v>
      </c>
      <c r="CR154" s="229">
        <v>2.3300000000000001E-2</v>
      </c>
      <c r="CS154" s="228">
        <v>212</v>
      </c>
      <c r="CT154" s="228">
        <v>196</v>
      </c>
      <c r="CU154" s="228">
        <v>17</v>
      </c>
      <c r="CV154" s="229">
        <v>8.5000000000000006E-2</v>
      </c>
      <c r="CW154" s="230">
        <v>2671</v>
      </c>
      <c r="CX154" s="230">
        <v>2583</v>
      </c>
      <c r="CY154" s="228">
        <v>88</v>
      </c>
      <c r="CZ154" s="229">
        <v>3.39E-2</v>
      </c>
      <c r="DA154" s="228">
        <v>25.73</v>
      </c>
      <c r="DB154" s="228">
        <v>24.35</v>
      </c>
      <c r="DC154" s="228">
        <v>1.38</v>
      </c>
      <c r="DD154" s="228">
        <v>1.38</v>
      </c>
      <c r="DE154" s="228">
        <v>33.49</v>
      </c>
      <c r="DF154" s="228">
        <v>33.549999999999997</v>
      </c>
      <c r="DG154" s="228">
        <v>-7.76</v>
      </c>
      <c r="DH154" s="228">
        <v>-0.06</v>
      </c>
      <c r="DI154" s="228">
        <v>25.47</v>
      </c>
      <c r="DJ154" s="228">
        <v>24.55</v>
      </c>
      <c r="DK154" s="228">
        <v>0.92</v>
      </c>
      <c r="DL154" s="228">
        <v>0.92</v>
      </c>
      <c r="DM154" s="228">
        <v>26.53</v>
      </c>
      <c r="DN154" s="228">
        <v>23.74</v>
      </c>
      <c r="DO154" s="228">
        <v>2.79</v>
      </c>
      <c r="DP154" s="228">
        <v>2.79</v>
      </c>
      <c r="DQ154" s="228">
        <v>0.48</v>
      </c>
      <c r="DR154" s="228">
        <v>0.45</v>
      </c>
      <c r="DS154" s="228">
        <v>0.03</v>
      </c>
      <c r="DT154" s="229">
        <v>6.6699999999999995E-2</v>
      </c>
      <c r="DU154" s="228">
        <v>550</v>
      </c>
      <c r="DV154" s="228">
        <v>540</v>
      </c>
      <c r="DW154" s="228">
        <v>0.32</v>
      </c>
      <c r="DX154" s="228">
        <v>0.33</v>
      </c>
      <c r="DY154" s="228">
        <v>-0.01</v>
      </c>
      <c r="DZ154" s="229">
        <v>-3.0300000000000001E-2</v>
      </c>
      <c r="EA154" s="229">
        <v>2.46E-2</v>
      </c>
      <c r="EB154" s="230">
        <v>566100</v>
      </c>
      <c r="EC154" s="229">
        <v>5.7000000000000002E-3</v>
      </c>
      <c r="ED154" s="229">
        <v>2.46E-2</v>
      </c>
      <c r="EE154" s="228">
        <v>2.92</v>
      </c>
      <c r="EF154" s="229">
        <v>5.4000000000000003E-3</v>
      </c>
      <c r="EG154" s="230">
        <v>3731531</v>
      </c>
      <c r="EH154" s="230">
        <v>3692349</v>
      </c>
      <c r="EI154" s="229">
        <v>1.06E-2</v>
      </c>
      <c r="EJ154" s="229">
        <v>0.44330000000000003</v>
      </c>
      <c r="EK154" s="228">
        <v>638.76</v>
      </c>
      <c r="EL154" s="228">
        <v>200.26</v>
      </c>
      <c r="EM154" s="228">
        <v>505.56</v>
      </c>
      <c r="EN154" s="228">
        <v>70.06</v>
      </c>
      <c r="EO154" s="231">
        <v>1344.58</v>
      </c>
      <c r="EP154" s="228">
        <v>900.32</v>
      </c>
      <c r="EQ154" s="228">
        <v>444.26</v>
      </c>
      <c r="ER154" s="229">
        <v>0.49340000000000001</v>
      </c>
      <c r="ES154" s="228">
        <v>460.83</v>
      </c>
      <c r="ET154" s="228">
        <v>212.13</v>
      </c>
      <c r="EU154" s="231">
        <v>2017.33</v>
      </c>
      <c r="EV154" s="231">
        <v>50840137</v>
      </c>
      <c r="EW154" s="231">
        <v>2690.29</v>
      </c>
      <c r="EX154" s="231">
        <v>2586.14</v>
      </c>
      <c r="EY154" s="228">
        <v>104.15</v>
      </c>
      <c r="EZ154" s="229">
        <v>4.0300000000000002E-2</v>
      </c>
      <c r="FA154" s="229">
        <v>0.96460000000000001</v>
      </c>
      <c r="FB154" s="227" t="s">
        <v>555</v>
      </c>
      <c r="FC154">
        <f t="shared" si="3"/>
        <v>0</v>
      </c>
    </row>
    <row r="155" spans="1:159" ht="17.25" thickBot="1" x14ac:dyDescent="0.3">
      <c r="A155" s="226">
        <v>46008</v>
      </c>
      <c r="B155" s="227" t="s">
        <v>615</v>
      </c>
      <c r="C155" s="227" t="s">
        <v>575</v>
      </c>
      <c r="D155" s="228">
        <v>725</v>
      </c>
      <c r="E155" s="228">
        <v>13</v>
      </c>
      <c r="F155" s="231">
        <v>1272.7</v>
      </c>
      <c r="G155" s="231">
        <v>1282.0999999999999</v>
      </c>
      <c r="H155" s="228">
        <v>-9.4</v>
      </c>
      <c r="I155" s="229">
        <v>-7.3000000000000001E-3</v>
      </c>
      <c r="J155" s="231">
        <v>1268.5999999999999</v>
      </c>
      <c r="K155" s="231">
        <v>1281.4000000000001</v>
      </c>
      <c r="L155" s="228">
        <v>-12.8</v>
      </c>
      <c r="M155" s="229">
        <v>-0.01</v>
      </c>
      <c r="N155" s="231">
        <v>1272.7</v>
      </c>
      <c r="O155" s="231">
        <v>1282.0999999999999</v>
      </c>
      <c r="P155" s="228">
        <v>-9.4</v>
      </c>
      <c r="Q155" s="229">
        <v>-7.3000000000000001E-3</v>
      </c>
      <c r="R155" s="231">
        <v>1279</v>
      </c>
      <c r="S155" s="231">
        <v>1289</v>
      </c>
      <c r="T155" s="228">
        <v>-10</v>
      </c>
      <c r="U155" s="229">
        <v>-7.7999999999999996E-3</v>
      </c>
      <c r="V155" s="231">
        <v>1284.8</v>
      </c>
      <c r="W155" s="231">
        <v>1297</v>
      </c>
      <c r="X155" s="228">
        <v>-12.2</v>
      </c>
      <c r="Y155" s="229">
        <v>-9.4000000000000004E-3</v>
      </c>
      <c r="Z155" s="228">
        <v>4.0999999999999996</v>
      </c>
      <c r="AA155" s="228">
        <v>0.7</v>
      </c>
      <c r="AB155" s="228">
        <v>3.4</v>
      </c>
      <c r="AC155" s="229">
        <v>3.2000000000000002E-3</v>
      </c>
      <c r="AD155" s="228">
        <v>4.0999999999999996</v>
      </c>
      <c r="AE155" s="228">
        <v>0.7</v>
      </c>
      <c r="AF155" s="228">
        <v>3.4</v>
      </c>
      <c r="AG155" s="229">
        <v>3.2000000000000002E-3</v>
      </c>
      <c r="AH155" s="228">
        <v>10.4</v>
      </c>
      <c r="AI155" s="228">
        <v>7.6</v>
      </c>
      <c r="AJ155" s="228">
        <v>2.8</v>
      </c>
      <c r="AK155" s="229">
        <v>8.2000000000000007E-3</v>
      </c>
      <c r="AL155" s="228">
        <v>16.2</v>
      </c>
      <c r="AM155" s="228">
        <v>15.6</v>
      </c>
      <c r="AN155" s="228">
        <v>0.6</v>
      </c>
      <c r="AO155" s="229">
        <v>1.2800000000000001E-2</v>
      </c>
      <c r="AP155" s="231">
        <v>1276.04</v>
      </c>
      <c r="AQ155" s="231">
        <v>1282</v>
      </c>
      <c r="AR155" s="228">
        <v>0</v>
      </c>
      <c r="AS155" s="228">
        <v>303</v>
      </c>
      <c r="AT155" s="228">
        <v>420</v>
      </c>
      <c r="AU155" s="228">
        <v>-117</v>
      </c>
      <c r="AV155" s="229">
        <v>-0.27850000000000003</v>
      </c>
      <c r="AW155" s="228">
        <v>239</v>
      </c>
      <c r="AX155" s="228">
        <v>366</v>
      </c>
      <c r="AY155" s="228">
        <v>-128</v>
      </c>
      <c r="AZ155" s="229">
        <v>-0.34849999999999998</v>
      </c>
      <c r="BA155" s="228">
        <v>61</v>
      </c>
      <c r="BB155" s="228">
        <v>50</v>
      </c>
      <c r="BC155" s="228">
        <v>11</v>
      </c>
      <c r="BD155" s="229">
        <v>0.22</v>
      </c>
      <c r="BE155" s="228">
        <v>3</v>
      </c>
      <c r="BF155" s="228">
        <v>4</v>
      </c>
      <c r="BG155" s="228">
        <v>0</v>
      </c>
      <c r="BH155" s="229">
        <v>-7.4999999999999997E-2</v>
      </c>
      <c r="BI155" s="230">
        <v>1168</v>
      </c>
      <c r="BJ155" s="230">
        <v>1150</v>
      </c>
      <c r="BK155" s="228">
        <v>18</v>
      </c>
      <c r="BL155" s="229">
        <v>1.6E-2</v>
      </c>
      <c r="BM155" s="228">
        <v>510</v>
      </c>
      <c r="BN155" s="228">
        <v>600</v>
      </c>
      <c r="BO155" s="228">
        <v>-90</v>
      </c>
      <c r="BP155" s="229">
        <v>-0.1502</v>
      </c>
      <c r="BQ155" s="230">
        <v>1981</v>
      </c>
      <c r="BR155" s="230">
        <v>2170</v>
      </c>
      <c r="BS155" s="228">
        <v>-189</v>
      </c>
      <c r="BT155" s="229">
        <v>-8.6900000000000005E-2</v>
      </c>
      <c r="BU155" s="230">
        <v>1621080</v>
      </c>
      <c r="BV155" s="230">
        <v>2682033</v>
      </c>
      <c r="BW155" s="230">
        <v>-1060953</v>
      </c>
      <c r="BX155" s="229">
        <v>-0.39560000000000001</v>
      </c>
      <c r="BY155" s="230">
        <v>2390</v>
      </c>
      <c r="BZ155" s="230">
        <v>2348</v>
      </c>
      <c r="CA155" s="228">
        <v>42</v>
      </c>
      <c r="CB155" s="229">
        <v>1.7899999999999999E-2</v>
      </c>
      <c r="CC155" s="230">
        <v>2258</v>
      </c>
      <c r="CD155" s="230">
        <v>2250</v>
      </c>
      <c r="CE155" s="228">
        <v>8</v>
      </c>
      <c r="CF155" s="229">
        <v>3.5999999999999999E-3</v>
      </c>
      <c r="CG155" s="228">
        <v>118</v>
      </c>
      <c r="CH155" s="228">
        <v>85</v>
      </c>
      <c r="CI155" s="228">
        <v>34</v>
      </c>
      <c r="CJ155" s="229">
        <v>0.39610000000000001</v>
      </c>
      <c r="CK155" s="228">
        <v>14</v>
      </c>
      <c r="CL155" s="228">
        <v>13</v>
      </c>
      <c r="CM155" s="228">
        <v>0</v>
      </c>
      <c r="CN155" s="229">
        <v>2.7400000000000001E-2</v>
      </c>
      <c r="CO155" s="230">
        <v>1386</v>
      </c>
      <c r="CP155" s="230">
        <v>1253</v>
      </c>
      <c r="CQ155" s="228">
        <v>133</v>
      </c>
      <c r="CR155" s="229">
        <v>0.106</v>
      </c>
      <c r="CS155" s="228">
        <v>751</v>
      </c>
      <c r="CT155" s="228">
        <v>735</v>
      </c>
      <c r="CU155" s="228">
        <v>16</v>
      </c>
      <c r="CV155" s="229">
        <v>2.1999999999999999E-2</v>
      </c>
      <c r="CW155" s="230">
        <v>4528</v>
      </c>
      <c r="CX155" s="230">
        <v>4337</v>
      </c>
      <c r="CY155" s="228">
        <v>191</v>
      </c>
      <c r="CZ155" s="229">
        <v>4.41E-2</v>
      </c>
      <c r="DA155" s="228">
        <v>29.56</v>
      </c>
      <c r="DB155" s="228">
        <v>30.36</v>
      </c>
      <c r="DC155" s="228">
        <v>-0.8</v>
      </c>
      <c r="DD155" s="228">
        <v>-0.8</v>
      </c>
      <c r="DE155" s="228">
        <v>52.36</v>
      </c>
      <c r="DF155" s="228">
        <v>52.49</v>
      </c>
      <c r="DG155" s="228">
        <v>-22.8</v>
      </c>
      <c r="DH155" s="228">
        <v>-0.13</v>
      </c>
      <c r="DI155" s="228">
        <v>29.97</v>
      </c>
      <c r="DJ155" s="228">
        <v>30.51</v>
      </c>
      <c r="DK155" s="228">
        <v>-0.54</v>
      </c>
      <c r="DL155" s="228">
        <v>-0.54</v>
      </c>
      <c r="DM155" s="228">
        <v>28.63</v>
      </c>
      <c r="DN155" s="228">
        <v>30.06</v>
      </c>
      <c r="DO155" s="228">
        <v>-1.43</v>
      </c>
      <c r="DP155" s="228">
        <v>-1.43</v>
      </c>
      <c r="DQ155" s="228">
        <v>0.54</v>
      </c>
      <c r="DR155" s="228">
        <v>0.59</v>
      </c>
      <c r="DS155" s="228">
        <v>-0.05</v>
      </c>
      <c r="DT155" s="229">
        <v>-8.4699999999999998E-2</v>
      </c>
      <c r="DU155" s="231">
        <v>1320</v>
      </c>
      <c r="DV155" s="231">
        <v>1200</v>
      </c>
      <c r="DW155" s="228">
        <v>0.44</v>
      </c>
      <c r="DX155" s="228">
        <v>0.52</v>
      </c>
      <c r="DY155" s="228">
        <v>-0.08</v>
      </c>
      <c r="DZ155" s="229">
        <v>-0.15379999999999999</v>
      </c>
      <c r="EA155" s="229">
        <v>5.5300000000000002E-2</v>
      </c>
      <c r="EB155" s="230">
        <v>772125</v>
      </c>
      <c r="EC155" s="229">
        <v>5.0000000000000001E-3</v>
      </c>
      <c r="ED155" s="229">
        <v>5.5300000000000002E-2</v>
      </c>
      <c r="EE155" s="228">
        <v>5.96</v>
      </c>
      <c r="EF155" s="229">
        <v>4.7000000000000002E-3</v>
      </c>
      <c r="EG155" s="230">
        <v>648564</v>
      </c>
      <c r="EH155" s="230">
        <v>1404728</v>
      </c>
      <c r="EI155" s="229">
        <v>-0.5383</v>
      </c>
      <c r="EJ155" s="229">
        <v>0.40010000000000001</v>
      </c>
      <c r="EK155" s="231">
        <v>1236.69</v>
      </c>
      <c r="EL155" s="228">
        <v>504.39</v>
      </c>
      <c r="EM155" s="228">
        <v>303.95</v>
      </c>
      <c r="EN155" s="228">
        <v>52.92</v>
      </c>
      <c r="EO155" s="231">
        <v>2045.03</v>
      </c>
      <c r="EP155" s="231">
        <v>2249.52</v>
      </c>
      <c r="EQ155" s="228">
        <v>-204.49</v>
      </c>
      <c r="ER155" s="229">
        <v>-9.0899999999999995E-2</v>
      </c>
      <c r="ES155" s="231">
        <v>1478.45</v>
      </c>
      <c r="ET155" s="228">
        <v>740.75</v>
      </c>
      <c r="EU155" s="231">
        <v>2391.1799999999998</v>
      </c>
      <c r="EV155" s="231">
        <v>95715382</v>
      </c>
      <c r="EW155" s="231">
        <v>4610.37</v>
      </c>
      <c r="EX155" s="231">
        <v>4434.1099999999997</v>
      </c>
      <c r="EY155" s="228">
        <v>176.26</v>
      </c>
      <c r="EZ155" s="229">
        <v>3.9800000000000002E-2</v>
      </c>
      <c r="FA155" s="229">
        <v>0.37169999999999997</v>
      </c>
      <c r="FB155" s="227" t="s">
        <v>567</v>
      </c>
      <c r="FC155">
        <f t="shared" si="3"/>
        <v>0</v>
      </c>
    </row>
    <row r="156" spans="1:159" ht="17.25" thickBot="1" x14ac:dyDescent="0.3">
      <c r="A156" s="226">
        <v>46008</v>
      </c>
      <c r="B156" s="227" t="s">
        <v>221</v>
      </c>
      <c r="C156" s="227" t="s">
        <v>529</v>
      </c>
      <c r="D156" s="228">
        <v>100</v>
      </c>
      <c r="E156" s="228">
        <v>13</v>
      </c>
      <c r="F156" s="231">
        <v>6289</v>
      </c>
      <c r="G156" s="231">
        <v>6266.5</v>
      </c>
      <c r="H156" s="228">
        <v>22.5</v>
      </c>
      <c r="I156" s="229">
        <v>3.5999999999999999E-3</v>
      </c>
      <c r="J156" s="231">
        <v>6282.5</v>
      </c>
      <c r="K156" s="231">
        <v>6263</v>
      </c>
      <c r="L156" s="228">
        <v>19.5</v>
      </c>
      <c r="M156" s="229">
        <v>3.0999999999999999E-3</v>
      </c>
      <c r="N156" s="231">
        <v>6289</v>
      </c>
      <c r="O156" s="231">
        <v>6266.5</v>
      </c>
      <c r="P156" s="228">
        <v>22.5</v>
      </c>
      <c r="Q156" s="229">
        <v>3.5999999999999999E-3</v>
      </c>
      <c r="R156" s="231">
        <v>6324.5</v>
      </c>
      <c r="S156" s="231">
        <v>6294</v>
      </c>
      <c r="T156" s="228">
        <v>30.5</v>
      </c>
      <c r="U156" s="229">
        <v>4.7999999999999996E-3</v>
      </c>
      <c r="V156" s="231">
        <v>6346</v>
      </c>
      <c r="W156" s="231">
        <v>6318</v>
      </c>
      <c r="X156" s="228">
        <v>28</v>
      </c>
      <c r="Y156" s="229">
        <v>4.4000000000000003E-3</v>
      </c>
      <c r="Z156" s="228">
        <v>6.5</v>
      </c>
      <c r="AA156" s="228">
        <v>3.5</v>
      </c>
      <c r="AB156" s="228">
        <v>3</v>
      </c>
      <c r="AC156" s="229">
        <v>1E-3</v>
      </c>
      <c r="AD156" s="228">
        <v>6.5</v>
      </c>
      <c r="AE156" s="228">
        <v>3.5</v>
      </c>
      <c r="AF156" s="228">
        <v>3</v>
      </c>
      <c r="AG156" s="229">
        <v>1E-3</v>
      </c>
      <c r="AH156" s="228">
        <v>42</v>
      </c>
      <c r="AI156" s="228">
        <v>31</v>
      </c>
      <c r="AJ156" s="228">
        <v>11</v>
      </c>
      <c r="AK156" s="229">
        <v>6.7000000000000002E-3</v>
      </c>
      <c r="AL156" s="228">
        <v>63.5</v>
      </c>
      <c r="AM156" s="228">
        <v>55</v>
      </c>
      <c r="AN156" s="228">
        <v>8.5</v>
      </c>
      <c r="AO156" s="229">
        <v>1.01E-2</v>
      </c>
      <c r="AP156" s="231">
        <v>6308.38</v>
      </c>
      <c r="AQ156" s="231">
        <v>6343.3</v>
      </c>
      <c r="AR156" s="228">
        <v>0</v>
      </c>
      <c r="AS156" s="228">
        <v>227</v>
      </c>
      <c r="AT156" s="228">
        <v>240</v>
      </c>
      <c r="AU156" s="228">
        <v>-13</v>
      </c>
      <c r="AV156" s="229">
        <v>-5.2900000000000003E-2</v>
      </c>
      <c r="AW156" s="228">
        <v>187</v>
      </c>
      <c r="AX156" s="228">
        <v>212</v>
      </c>
      <c r="AY156" s="228">
        <v>-25</v>
      </c>
      <c r="AZ156" s="229">
        <v>-0.1159</v>
      </c>
      <c r="BA156" s="228">
        <v>39</v>
      </c>
      <c r="BB156" s="228">
        <v>26</v>
      </c>
      <c r="BC156" s="228">
        <v>13</v>
      </c>
      <c r="BD156" s="229">
        <v>0.47720000000000001</v>
      </c>
      <c r="BE156" s="228">
        <v>2</v>
      </c>
      <c r="BF156" s="228">
        <v>2</v>
      </c>
      <c r="BG156" s="228">
        <v>-1</v>
      </c>
      <c r="BH156" s="229">
        <v>-0.30559999999999998</v>
      </c>
      <c r="BI156" s="228">
        <v>839</v>
      </c>
      <c r="BJ156" s="228">
        <v>729</v>
      </c>
      <c r="BK156" s="228">
        <v>111</v>
      </c>
      <c r="BL156" s="229">
        <v>0.1517</v>
      </c>
      <c r="BM156" s="228">
        <v>391</v>
      </c>
      <c r="BN156" s="228">
        <v>533</v>
      </c>
      <c r="BO156" s="228">
        <v>-143</v>
      </c>
      <c r="BP156" s="229">
        <v>-0.26750000000000002</v>
      </c>
      <c r="BQ156" s="230">
        <v>1457</v>
      </c>
      <c r="BR156" s="230">
        <v>1502</v>
      </c>
      <c r="BS156" s="228">
        <v>-45</v>
      </c>
      <c r="BT156" s="229">
        <v>-2.98E-2</v>
      </c>
      <c r="BU156" s="230">
        <v>222016</v>
      </c>
      <c r="BV156" s="230">
        <v>241024</v>
      </c>
      <c r="BW156" s="230">
        <v>-19008</v>
      </c>
      <c r="BX156" s="229">
        <v>-7.8899999999999998E-2</v>
      </c>
      <c r="BY156" s="230">
        <v>1380</v>
      </c>
      <c r="BZ156" s="230">
        <v>1359</v>
      </c>
      <c r="CA156" s="228">
        <v>22</v>
      </c>
      <c r="CB156" s="229">
        <v>1.6E-2</v>
      </c>
      <c r="CC156" s="230">
        <v>1307</v>
      </c>
      <c r="CD156" s="230">
        <v>1292</v>
      </c>
      <c r="CE156" s="228">
        <v>15</v>
      </c>
      <c r="CF156" s="229">
        <v>1.1900000000000001E-2</v>
      </c>
      <c r="CG156" s="228">
        <v>65</v>
      </c>
      <c r="CH156" s="228">
        <v>59</v>
      </c>
      <c r="CI156" s="228">
        <v>6</v>
      </c>
      <c r="CJ156" s="229">
        <v>9.3200000000000005E-2</v>
      </c>
      <c r="CK156" s="228">
        <v>8</v>
      </c>
      <c r="CL156" s="228">
        <v>7</v>
      </c>
      <c r="CM156" s="228">
        <v>1</v>
      </c>
      <c r="CN156" s="229">
        <v>0.1217</v>
      </c>
      <c r="CO156" s="228">
        <v>742</v>
      </c>
      <c r="CP156" s="228">
        <v>698</v>
      </c>
      <c r="CQ156" s="228">
        <v>44</v>
      </c>
      <c r="CR156" s="229">
        <v>6.2300000000000001E-2</v>
      </c>
      <c r="CS156" s="228">
        <v>427</v>
      </c>
      <c r="CT156" s="228">
        <v>417</v>
      </c>
      <c r="CU156" s="228">
        <v>10</v>
      </c>
      <c r="CV156" s="229">
        <v>2.3E-2</v>
      </c>
      <c r="CW156" s="230">
        <v>2549</v>
      </c>
      <c r="CX156" s="230">
        <v>2474</v>
      </c>
      <c r="CY156" s="228">
        <v>75</v>
      </c>
      <c r="CZ156" s="229">
        <v>3.0300000000000001E-2</v>
      </c>
      <c r="DA156" s="228">
        <v>28.05</v>
      </c>
      <c r="DB156" s="228">
        <v>27.93</v>
      </c>
      <c r="DC156" s="228">
        <v>0.12</v>
      </c>
      <c r="DD156" s="228">
        <v>0.12</v>
      </c>
      <c r="DE156" s="228">
        <v>40.19</v>
      </c>
      <c r="DF156" s="228">
        <v>40.29</v>
      </c>
      <c r="DG156" s="228">
        <v>-12.14</v>
      </c>
      <c r="DH156" s="228">
        <v>-0.1</v>
      </c>
      <c r="DI156" s="228">
        <v>28.02</v>
      </c>
      <c r="DJ156" s="228">
        <v>27.77</v>
      </c>
      <c r="DK156" s="228">
        <v>0.25</v>
      </c>
      <c r="DL156" s="228">
        <v>0.25</v>
      </c>
      <c r="DM156" s="228">
        <v>28.11</v>
      </c>
      <c r="DN156" s="228">
        <v>28.15</v>
      </c>
      <c r="DO156" s="228">
        <v>-0.04</v>
      </c>
      <c r="DP156" s="228">
        <v>-0.04</v>
      </c>
      <c r="DQ156" s="228">
        <v>0.57999999999999996</v>
      </c>
      <c r="DR156" s="228">
        <v>0.6</v>
      </c>
      <c r="DS156" s="228">
        <v>-0.02</v>
      </c>
      <c r="DT156" s="229">
        <v>-3.3300000000000003E-2</v>
      </c>
      <c r="DU156" s="231">
        <v>6500</v>
      </c>
      <c r="DV156" s="231">
        <v>6000</v>
      </c>
      <c r="DW156" s="228">
        <v>0.47</v>
      </c>
      <c r="DX156" s="228">
        <v>0.73</v>
      </c>
      <c r="DY156" s="228">
        <v>-0.26</v>
      </c>
      <c r="DZ156" s="229">
        <v>-0.35620000000000002</v>
      </c>
      <c r="EA156" s="229">
        <v>5.2900000000000003E-2</v>
      </c>
      <c r="EB156" s="230">
        <v>105900</v>
      </c>
      <c r="EC156" s="229">
        <v>5.5999999999999999E-3</v>
      </c>
      <c r="ED156" s="229">
        <v>5.2900000000000003E-2</v>
      </c>
      <c r="EE156" s="228">
        <v>34.92</v>
      </c>
      <c r="EF156" s="229">
        <v>5.4999999999999997E-3</v>
      </c>
      <c r="EG156" s="230">
        <v>103721</v>
      </c>
      <c r="EH156" s="230">
        <v>125938</v>
      </c>
      <c r="EI156" s="229">
        <v>-0.1764</v>
      </c>
      <c r="EJ156" s="229">
        <v>0.4672</v>
      </c>
      <c r="EK156" s="228">
        <v>875.89</v>
      </c>
      <c r="EL156" s="228">
        <v>384.95</v>
      </c>
      <c r="EM156" s="228">
        <v>228.4</v>
      </c>
      <c r="EN156" s="228">
        <v>62.85</v>
      </c>
      <c r="EO156" s="231">
        <v>1489.25</v>
      </c>
      <c r="EP156" s="231">
        <v>1523.03</v>
      </c>
      <c r="EQ156" s="228">
        <v>-33.78</v>
      </c>
      <c r="ER156" s="229">
        <v>-2.2200000000000001E-2</v>
      </c>
      <c r="ES156" s="228">
        <v>776.33</v>
      </c>
      <c r="ET156" s="228">
        <v>407.88</v>
      </c>
      <c r="EU156" s="231">
        <v>1380.88</v>
      </c>
      <c r="EV156" s="231">
        <v>16151851</v>
      </c>
      <c r="EW156" s="231">
        <v>2565.09</v>
      </c>
      <c r="EX156" s="231">
        <v>2481.84</v>
      </c>
      <c r="EY156" s="228">
        <v>83.25</v>
      </c>
      <c r="EZ156" s="229">
        <v>3.3500000000000002E-2</v>
      </c>
      <c r="FA156" s="229">
        <v>0.251</v>
      </c>
      <c r="FB156" s="227" t="s">
        <v>555</v>
      </c>
      <c r="FC156">
        <f t="shared" si="3"/>
        <v>0</v>
      </c>
    </row>
    <row r="157" spans="1:159" ht="17.25" thickBot="1" x14ac:dyDescent="0.3">
      <c r="A157" s="226">
        <v>46008</v>
      </c>
      <c r="B157" s="227" t="s">
        <v>193</v>
      </c>
      <c r="C157" s="227" t="s">
        <v>272</v>
      </c>
      <c r="D157" s="228">
        <v>1800</v>
      </c>
      <c r="E157" s="228">
        <v>13</v>
      </c>
      <c r="F157" s="228">
        <v>269.45</v>
      </c>
      <c r="G157" s="228">
        <v>265.39999999999998</v>
      </c>
      <c r="H157" s="228">
        <v>4.05</v>
      </c>
      <c r="I157" s="229">
        <v>1.5299999999999999E-2</v>
      </c>
      <c r="J157" s="228">
        <v>268.64999999999998</v>
      </c>
      <c r="K157" s="228">
        <v>264.7</v>
      </c>
      <c r="L157" s="228">
        <v>3.95</v>
      </c>
      <c r="M157" s="229">
        <v>1.49E-2</v>
      </c>
      <c r="N157" s="228">
        <v>269.45</v>
      </c>
      <c r="O157" s="228">
        <v>265.39999999999998</v>
      </c>
      <c r="P157" s="228">
        <v>4.05</v>
      </c>
      <c r="Q157" s="229">
        <v>1.5299999999999999E-2</v>
      </c>
      <c r="R157" s="228">
        <v>271</v>
      </c>
      <c r="S157" s="228">
        <v>267.2</v>
      </c>
      <c r="T157" s="228">
        <v>3.8</v>
      </c>
      <c r="U157" s="229">
        <v>1.4200000000000001E-2</v>
      </c>
      <c r="V157" s="228">
        <v>272.3</v>
      </c>
      <c r="W157" s="228">
        <v>268.14999999999998</v>
      </c>
      <c r="X157" s="228">
        <v>4.1500000000000004</v>
      </c>
      <c r="Y157" s="229">
        <v>1.55E-2</v>
      </c>
      <c r="Z157" s="228">
        <v>0.8</v>
      </c>
      <c r="AA157" s="228">
        <v>0.7</v>
      </c>
      <c r="AB157" s="228">
        <v>0.1</v>
      </c>
      <c r="AC157" s="229">
        <v>3.0000000000000001E-3</v>
      </c>
      <c r="AD157" s="228">
        <v>0.8</v>
      </c>
      <c r="AE157" s="228">
        <v>0.7</v>
      </c>
      <c r="AF157" s="228">
        <v>0.1</v>
      </c>
      <c r="AG157" s="229">
        <v>3.0000000000000001E-3</v>
      </c>
      <c r="AH157" s="228">
        <v>2.35</v>
      </c>
      <c r="AI157" s="228">
        <v>2.5</v>
      </c>
      <c r="AJ157" s="228">
        <v>-0.15</v>
      </c>
      <c r="AK157" s="229">
        <v>8.6999999999999994E-3</v>
      </c>
      <c r="AL157" s="228">
        <v>3.65</v>
      </c>
      <c r="AM157" s="228">
        <v>3.45</v>
      </c>
      <c r="AN157" s="228">
        <v>0.2</v>
      </c>
      <c r="AO157" s="229">
        <v>1.3599999999999999E-2</v>
      </c>
      <c r="AP157" s="228">
        <v>268.94</v>
      </c>
      <c r="AQ157" s="228">
        <v>270.81</v>
      </c>
      <c r="AR157" s="228">
        <v>0</v>
      </c>
      <c r="AS157" s="228">
        <v>82</v>
      </c>
      <c r="AT157" s="228">
        <v>87</v>
      </c>
      <c r="AU157" s="228">
        <v>-5</v>
      </c>
      <c r="AV157" s="229">
        <v>-5.9299999999999999E-2</v>
      </c>
      <c r="AW157" s="228">
        <v>68</v>
      </c>
      <c r="AX157" s="228">
        <v>69</v>
      </c>
      <c r="AY157" s="228">
        <v>-1</v>
      </c>
      <c r="AZ157" s="229">
        <v>-1.55E-2</v>
      </c>
      <c r="BA157" s="228">
        <v>13</v>
      </c>
      <c r="BB157" s="228">
        <v>17</v>
      </c>
      <c r="BC157" s="228">
        <v>-3</v>
      </c>
      <c r="BD157" s="229">
        <v>-0.1988</v>
      </c>
      <c r="BE157" s="228">
        <v>1</v>
      </c>
      <c r="BF157" s="228">
        <v>1</v>
      </c>
      <c r="BG157" s="228">
        <v>-1</v>
      </c>
      <c r="BH157" s="229">
        <v>-0.57140000000000002</v>
      </c>
      <c r="BI157" s="228">
        <v>159</v>
      </c>
      <c r="BJ157" s="228">
        <v>218</v>
      </c>
      <c r="BK157" s="228">
        <v>-59</v>
      </c>
      <c r="BL157" s="229">
        <v>-0.26989999999999997</v>
      </c>
      <c r="BM157" s="228">
        <v>111</v>
      </c>
      <c r="BN157" s="228">
        <v>142</v>
      </c>
      <c r="BO157" s="228">
        <v>-32</v>
      </c>
      <c r="BP157" s="229">
        <v>-0.2228</v>
      </c>
      <c r="BQ157" s="228">
        <v>351</v>
      </c>
      <c r="BR157" s="228">
        <v>447</v>
      </c>
      <c r="BS157" s="228">
        <v>-96</v>
      </c>
      <c r="BT157" s="229">
        <v>-0.214</v>
      </c>
      <c r="BU157" s="230">
        <v>1481782</v>
      </c>
      <c r="BV157" s="230">
        <v>1694590</v>
      </c>
      <c r="BW157" s="230">
        <v>-212808</v>
      </c>
      <c r="BX157" s="229">
        <v>-0.12559999999999999</v>
      </c>
      <c r="BY157" s="230">
        <v>1273</v>
      </c>
      <c r="BZ157" s="230">
        <v>1278</v>
      </c>
      <c r="CA157" s="228">
        <v>-5</v>
      </c>
      <c r="CB157" s="229">
        <v>-3.5999999999999999E-3</v>
      </c>
      <c r="CC157" s="230">
        <v>1175</v>
      </c>
      <c r="CD157" s="230">
        <v>1181</v>
      </c>
      <c r="CE157" s="228">
        <v>-6</v>
      </c>
      <c r="CF157" s="229">
        <v>-5.1000000000000004E-3</v>
      </c>
      <c r="CG157" s="228">
        <v>92</v>
      </c>
      <c r="CH157" s="228">
        <v>90</v>
      </c>
      <c r="CI157" s="228">
        <v>2</v>
      </c>
      <c r="CJ157" s="229">
        <v>1.7000000000000001E-2</v>
      </c>
      <c r="CK157" s="228">
        <v>6</v>
      </c>
      <c r="CL157" s="228">
        <v>6</v>
      </c>
      <c r="CM157" s="228">
        <v>0</v>
      </c>
      <c r="CN157" s="229">
        <v>-1.5900000000000001E-2</v>
      </c>
      <c r="CO157" s="228">
        <v>464</v>
      </c>
      <c r="CP157" s="228">
        <v>480</v>
      </c>
      <c r="CQ157" s="228">
        <v>-16</v>
      </c>
      <c r="CR157" s="229">
        <v>-3.2500000000000001E-2</v>
      </c>
      <c r="CS157" s="228">
        <v>471</v>
      </c>
      <c r="CT157" s="228">
        <v>476</v>
      </c>
      <c r="CU157" s="228">
        <v>-5</v>
      </c>
      <c r="CV157" s="229">
        <v>-1.15E-2</v>
      </c>
      <c r="CW157" s="230">
        <v>2208</v>
      </c>
      <c r="CX157" s="230">
        <v>2234</v>
      </c>
      <c r="CY157" s="228">
        <v>-26</v>
      </c>
      <c r="CZ157" s="229">
        <v>-1.15E-2</v>
      </c>
      <c r="DA157" s="228">
        <v>20.2</v>
      </c>
      <c r="DB157" s="228">
        <v>22.21</v>
      </c>
      <c r="DC157" s="228">
        <v>-2.0099999999999998</v>
      </c>
      <c r="DD157" s="228">
        <v>-2.0099999999999998</v>
      </c>
      <c r="DE157" s="228">
        <v>31.26</v>
      </c>
      <c r="DF157" s="228">
        <v>31.27</v>
      </c>
      <c r="DG157" s="228">
        <v>-11.06</v>
      </c>
      <c r="DH157" s="228">
        <v>-0.01</v>
      </c>
      <c r="DI157" s="228">
        <v>20.25</v>
      </c>
      <c r="DJ157" s="228">
        <v>23.12</v>
      </c>
      <c r="DK157" s="228">
        <v>-2.87</v>
      </c>
      <c r="DL157" s="228">
        <v>-2.87</v>
      </c>
      <c r="DM157" s="228">
        <v>20.13</v>
      </c>
      <c r="DN157" s="228">
        <v>20.82</v>
      </c>
      <c r="DO157" s="228">
        <v>-0.69</v>
      </c>
      <c r="DP157" s="228">
        <v>-0.69</v>
      </c>
      <c r="DQ157" s="228">
        <v>1.01</v>
      </c>
      <c r="DR157" s="228">
        <v>0.99</v>
      </c>
      <c r="DS157" s="228">
        <v>0.02</v>
      </c>
      <c r="DT157" s="229">
        <v>2.0199999999999999E-2</v>
      </c>
      <c r="DU157" s="228">
        <v>300</v>
      </c>
      <c r="DV157" s="228">
        <v>300</v>
      </c>
      <c r="DW157" s="228">
        <v>0.7</v>
      </c>
      <c r="DX157" s="228">
        <v>0.65</v>
      </c>
      <c r="DY157" s="228">
        <v>0.05</v>
      </c>
      <c r="DZ157" s="229">
        <v>7.6899999999999996E-2</v>
      </c>
      <c r="EA157" s="229">
        <v>7.7100000000000002E-2</v>
      </c>
      <c r="EB157" s="230">
        <v>3587200</v>
      </c>
      <c r="EC157" s="229">
        <v>5.7999999999999996E-3</v>
      </c>
      <c r="ED157" s="229">
        <v>7.7100000000000002E-2</v>
      </c>
      <c r="EE157" s="228">
        <v>1.87</v>
      </c>
      <c r="EF157" s="229">
        <v>7.0000000000000001E-3</v>
      </c>
      <c r="EG157" s="230">
        <v>888482</v>
      </c>
      <c r="EH157" s="230">
        <v>1024600</v>
      </c>
      <c r="EI157" s="229">
        <v>-0.1328</v>
      </c>
      <c r="EJ157" s="229">
        <v>0.59960000000000002</v>
      </c>
      <c r="EK157" s="228">
        <v>164.51</v>
      </c>
      <c r="EL157" s="228">
        <v>108.97</v>
      </c>
      <c r="EM157" s="228">
        <v>82.35</v>
      </c>
      <c r="EN157" s="228">
        <v>13.91</v>
      </c>
      <c r="EO157" s="228">
        <v>355.83</v>
      </c>
      <c r="EP157" s="228">
        <v>455.15</v>
      </c>
      <c r="EQ157" s="228">
        <v>-99.32</v>
      </c>
      <c r="ER157" s="229">
        <v>-0.21820000000000001</v>
      </c>
      <c r="ES157" s="228">
        <v>490.52</v>
      </c>
      <c r="ET157" s="228">
        <v>478.59</v>
      </c>
      <c r="EU157" s="231">
        <v>1273.67</v>
      </c>
      <c r="EV157" s="231">
        <v>93668136</v>
      </c>
      <c r="EW157" s="231">
        <v>2242.7800000000002</v>
      </c>
      <c r="EX157" s="231">
        <v>2249.12</v>
      </c>
      <c r="EY157" s="228">
        <v>-6.34</v>
      </c>
      <c r="EZ157" s="229">
        <v>-2.8E-3</v>
      </c>
      <c r="FA157" s="229">
        <v>0.87490000000000001</v>
      </c>
      <c r="FB157" s="227" t="s">
        <v>556</v>
      </c>
      <c r="FC157">
        <f t="shared" si="3"/>
        <v>0</v>
      </c>
    </row>
    <row r="158" spans="1:159" ht="17.25" thickBot="1" x14ac:dyDescent="0.3">
      <c r="A158" s="226">
        <v>46008</v>
      </c>
      <c r="B158" s="227" t="s">
        <v>175</v>
      </c>
      <c r="C158" s="227" t="s">
        <v>273</v>
      </c>
      <c r="D158" s="228">
        <v>1300</v>
      </c>
      <c r="E158" s="228">
        <v>13</v>
      </c>
      <c r="F158" s="228">
        <v>336.75</v>
      </c>
      <c r="G158" s="228">
        <v>337.15</v>
      </c>
      <c r="H158" s="228">
        <v>-0.4</v>
      </c>
      <c r="I158" s="229">
        <v>-1.1999999999999999E-3</v>
      </c>
      <c r="J158" s="228">
        <v>335.65</v>
      </c>
      <c r="K158" s="228">
        <v>336.15</v>
      </c>
      <c r="L158" s="228">
        <v>-0.5</v>
      </c>
      <c r="M158" s="229">
        <v>-1.5E-3</v>
      </c>
      <c r="N158" s="228">
        <v>336.75</v>
      </c>
      <c r="O158" s="228">
        <v>337.15</v>
      </c>
      <c r="P158" s="228">
        <v>-0.4</v>
      </c>
      <c r="Q158" s="229">
        <v>-1.1999999999999999E-3</v>
      </c>
      <c r="R158" s="228">
        <v>338.7</v>
      </c>
      <c r="S158" s="228">
        <v>339.05</v>
      </c>
      <c r="T158" s="228">
        <v>-0.35</v>
      </c>
      <c r="U158" s="229">
        <v>-1E-3</v>
      </c>
      <c r="V158" s="228">
        <v>339.7</v>
      </c>
      <c r="W158" s="228">
        <v>340</v>
      </c>
      <c r="X158" s="228">
        <v>-0.3</v>
      </c>
      <c r="Y158" s="229">
        <v>-8.9999999999999998E-4</v>
      </c>
      <c r="Z158" s="228">
        <v>1.1000000000000001</v>
      </c>
      <c r="AA158" s="228">
        <v>1</v>
      </c>
      <c r="AB158" s="228">
        <v>0.1</v>
      </c>
      <c r="AC158" s="229">
        <v>3.3E-3</v>
      </c>
      <c r="AD158" s="228">
        <v>1.1000000000000001</v>
      </c>
      <c r="AE158" s="228">
        <v>1</v>
      </c>
      <c r="AF158" s="228">
        <v>0.1</v>
      </c>
      <c r="AG158" s="229">
        <v>3.3E-3</v>
      </c>
      <c r="AH158" s="228">
        <v>3.05</v>
      </c>
      <c r="AI158" s="228">
        <v>2.9</v>
      </c>
      <c r="AJ158" s="228">
        <v>0.15</v>
      </c>
      <c r="AK158" s="229">
        <v>9.1000000000000004E-3</v>
      </c>
      <c r="AL158" s="228">
        <v>4.05</v>
      </c>
      <c r="AM158" s="228">
        <v>3.85</v>
      </c>
      <c r="AN158" s="228">
        <v>0.2</v>
      </c>
      <c r="AO158" s="229">
        <v>1.21E-2</v>
      </c>
      <c r="AP158" s="228">
        <v>337.48</v>
      </c>
      <c r="AQ158" s="228">
        <v>339.67</v>
      </c>
      <c r="AR158" s="228">
        <v>0</v>
      </c>
      <c r="AS158" s="228">
        <v>199</v>
      </c>
      <c r="AT158" s="228">
        <v>229</v>
      </c>
      <c r="AU158" s="228">
        <v>-30</v>
      </c>
      <c r="AV158" s="229">
        <v>-0.13009999999999999</v>
      </c>
      <c r="AW158" s="228">
        <v>142</v>
      </c>
      <c r="AX158" s="228">
        <v>169</v>
      </c>
      <c r="AY158" s="228">
        <v>-28</v>
      </c>
      <c r="AZ158" s="229">
        <v>-0.16309999999999999</v>
      </c>
      <c r="BA158" s="228">
        <v>47</v>
      </c>
      <c r="BB158" s="228">
        <v>51</v>
      </c>
      <c r="BC158" s="228">
        <v>-4</v>
      </c>
      <c r="BD158" s="229">
        <v>-7.8399999999999997E-2</v>
      </c>
      <c r="BE158" s="228">
        <v>10</v>
      </c>
      <c r="BF158" s="228">
        <v>8</v>
      </c>
      <c r="BG158" s="228">
        <v>2</v>
      </c>
      <c r="BH158" s="229">
        <v>0.21879999999999999</v>
      </c>
      <c r="BI158" s="228">
        <v>869</v>
      </c>
      <c r="BJ158" s="230">
        <v>1004</v>
      </c>
      <c r="BK158" s="228">
        <v>-135</v>
      </c>
      <c r="BL158" s="229">
        <v>-0.13439999999999999</v>
      </c>
      <c r="BM158" s="228">
        <v>330</v>
      </c>
      <c r="BN158" s="228">
        <v>366</v>
      </c>
      <c r="BO158" s="228">
        <v>-36</v>
      </c>
      <c r="BP158" s="229">
        <v>-9.8299999999999998E-2</v>
      </c>
      <c r="BQ158" s="230">
        <v>1398</v>
      </c>
      <c r="BR158" s="230">
        <v>1599</v>
      </c>
      <c r="BS158" s="228">
        <v>-201</v>
      </c>
      <c r="BT158" s="229">
        <v>-0.1255</v>
      </c>
      <c r="BU158" s="230">
        <v>4893980</v>
      </c>
      <c r="BV158" s="230">
        <v>8152581</v>
      </c>
      <c r="BW158" s="230">
        <v>-3258601</v>
      </c>
      <c r="BX158" s="229">
        <v>-0.3997</v>
      </c>
      <c r="BY158" s="230">
        <v>2913</v>
      </c>
      <c r="BZ158" s="230">
        <v>2888</v>
      </c>
      <c r="CA158" s="228">
        <v>26</v>
      </c>
      <c r="CB158" s="229">
        <v>8.8999999999999999E-3</v>
      </c>
      <c r="CC158" s="230">
        <v>2560</v>
      </c>
      <c r="CD158" s="230">
        <v>2566</v>
      </c>
      <c r="CE158" s="228">
        <v>-5</v>
      </c>
      <c r="CF158" s="229">
        <v>-2.0999999999999999E-3</v>
      </c>
      <c r="CG158" s="228">
        <v>297</v>
      </c>
      <c r="CH158" s="228">
        <v>272</v>
      </c>
      <c r="CI158" s="228">
        <v>25</v>
      </c>
      <c r="CJ158" s="229">
        <v>9.1800000000000007E-2</v>
      </c>
      <c r="CK158" s="228">
        <v>56</v>
      </c>
      <c r="CL158" s="228">
        <v>50</v>
      </c>
      <c r="CM158" s="228">
        <v>6</v>
      </c>
      <c r="CN158" s="229">
        <v>0.1197</v>
      </c>
      <c r="CO158" s="230">
        <v>1680</v>
      </c>
      <c r="CP158" s="230">
        <v>1751</v>
      </c>
      <c r="CQ158" s="228">
        <v>-72</v>
      </c>
      <c r="CR158" s="229">
        <v>-4.1000000000000002E-2</v>
      </c>
      <c r="CS158" s="228">
        <v>996</v>
      </c>
      <c r="CT158" s="228">
        <v>988</v>
      </c>
      <c r="CU158" s="228">
        <v>8</v>
      </c>
      <c r="CV158" s="229">
        <v>7.7000000000000002E-3</v>
      </c>
      <c r="CW158" s="230">
        <v>5589</v>
      </c>
      <c r="CX158" s="230">
        <v>5627</v>
      </c>
      <c r="CY158" s="228">
        <v>-39</v>
      </c>
      <c r="CZ158" s="229">
        <v>-6.8999999999999999E-3</v>
      </c>
      <c r="DA158" s="228">
        <v>23.22</v>
      </c>
      <c r="DB158" s="228">
        <v>23.2</v>
      </c>
      <c r="DC158" s="228">
        <v>0.02</v>
      </c>
      <c r="DD158" s="228">
        <v>0.02</v>
      </c>
      <c r="DE158" s="228">
        <v>41.44</v>
      </c>
      <c r="DF158" s="228">
        <v>41.54</v>
      </c>
      <c r="DG158" s="228">
        <v>-18.22</v>
      </c>
      <c r="DH158" s="228">
        <v>-0.1</v>
      </c>
      <c r="DI158" s="228">
        <v>24.08</v>
      </c>
      <c r="DJ158" s="228">
        <v>23.69</v>
      </c>
      <c r="DK158" s="228">
        <v>0.39</v>
      </c>
      <c r="DL158" s="228">
        <v>0.39</v>
      </c>
      <c r="DM158" s="228">
        <v>20.96</v>
      </c>
      <c r="DN158" s="228">
        <v>21.85</v>
      </c>
      <c r="DO158" s="228">
        <v>-0.89</v>
      </c>
      <c r="DP158" s="228">
        <v>-0.89</v>
      </c>
      <c r="DQ158" s="228">
        <v>0.59</v>
      </c>
      <c r="DR158" s="228">
        <v>0.56000000000000005</v>
      </c>
      <c r="DS158" s="228">
        <v>0.03</v>
      </c>
      <c r="DT158" s="229">
        <v>5.3600000000000002E-2</v>
      </c>
      <c r="DU158" s="228">
        <v>350</v>
      </c>
      <c r="DV158" s="228">
        <v>360</v>
      </c>
      <c r="DW158" s="228">
        <v>0.38</v>
      </c>
      <c r="DX158" s="228">
        <v>0.36</v>
      </c>
      <c r="DY158" s="228">
        <v>0.02</v>
      </c>
      <c r="DZ158" s="229">
        <v>5.5599999999999997E-2</v>
      </c>
      <c r="EA158" s="229">
        <v>0.1212</v>
      </c>
      <c r="EB158" s="230">
        <v>9562800</v>
      </c>
      <c r="EC158" s="229">
        <v>5.7999999999999996E-3</v>
      </c>
      <c r="ED158" s="229">
        <v>0.1212</v>
      </c>
      <c r="EE158" s="228">
        <v>2.19</v>
      </c>
      <c r="EF158" s="229">
        <v>6.4999999999999997E-3</v>
      </c>
      <c r="EG158" s="230">
        <v>2696378</v>
      </c>
      <c r="EH158" s="230">
        <v>5895947</v>
      </c>
      <c r="EI158" s="229">
        <v>-0.54269999999999996</v>
      </c>
      <c r="EJ158" s="229">
        <v>0.55100000000000005</v>
      </c>
      <c r="EK158" s="228">
        <v>913.91</v>
      </c>
      <c r="EL158" s="228">
        <v>334.48</v>
      </c>
      <c r="EM158" s="228">
        <v>200.12</v>
      </c>
      <c r="EN158" s="228">
        <v>52.14</v>
      </c>
      <c r="EO158" s="231">
        <v>1448.51</v>
      </c>
      <c r="EP158" s="231">
        <v>1658.22</v>
      </c>
      <c r="EQ158" s="228">
        <v>-209.71</v>
      </c>
      <c r="ER158" s="229">
        <v>-0.1265</v>
      </c>
      <c r="ES158" s="231">
        <v>1830.16</v>
      </c>
      <c r="ET158" s="231">
        <v>1073.71</v>
      </c>
      <c r="EU158" s="231">
        <v>2915.56</v>
      </c>
      <c r="EV158" s="231">
        <v>203602113</v>
      </c>
      <c r="EW158" s="231">
        <v>5819.42</v>
      </c>
      <c r="EX158" s="231">
        <v>5872.02</v>
      </c>
      <c r="EY158" s="228">
        <v>-52.6</v>
      </c>
      <c r="EZ158" s="229">
        <v>-8.9999999999999993E-3</v>
      </c>
      <c r="FA158" s="229">
        <v>0.81510000000000005</v>
      </c>
      <c r="FB158" s="227" t="s">
        <v>567</v>
      </c>
      <c r="FC158">
        <f t="shared" si="3"/>
        <v>0</v>
      </c>
    </row>
    <row r="159" spans="1:159" ht="17.25" thickBot="1" x14ac:dyDescent="0.3">
      <c r="A159" s="226">
        <v>46008</v>
      </c>
      <c r="B159" s="227" t="s">
        <v>184</v>
      </c>
      <c r="C159" s="227" t="s">
        <v>681</v>
      </c>
      <c r="D159" s="228">
        <v>700</v>
      </c>
      <c r="E159" s="228">
        <v>13</v>
      </c>
      <c r="F159" s="228">
        <v>563.65</v>
      </c>
      <c r="G159" s="228">
        <v>570.54999999999995</v>
      </c>
      <c r="H159" s="228">
        <v>-6.9</v>
      </c>
      <c r="I159" s="229">
        <v>-1.21E-2</v>
      </c>
      <c r="J159" s="228">
        <v>563.75</v>
      </c>
      <c r="K159" s="228">
        <v>570.95000000000005</v>
      </c>
      <c r="L159" s="228">
        <v>-7.2</v>
      </c>
      <c r="M159" s="229">
        <v>-1.26E-2</v>
      </c>
      <c r="N159" s="228">
        <v>563.65</v>
      </c>
      <c r="O159" s="228">
        <v>570.54999999999995</v>
      </c>
      <c r="P159" s="228">
        <v>-6.9</v>
      </c>
      <c r="Q159" s="229">
        <v>-1.21E-2</v>
      </c>
      <c r="R159" s="228">
        <v>566.29999999999995</v>
      </c>
      <c r="S159" s="228">
        <v>573.45000000000005</v>
      </c>
      <c r="T159" s="228">
        <v>-7.15</v>
      </c>
      <c r="U159" s="229">
        <v>-1.2500000000000001E-2</v>
      </c>
      <c r="V159" s="228">
        <v>569.95000000000005</v>
      </c>
      <c r="W159" s="228">
        <v>573.54999999999995</v>
      </c>
      <c r="X159" s="228">
        <v>-3.6</v>
      </c>
      <c r="Y159" s="229">
        <v>-6.3E-3</v>
      </c>
      <c r="Z159" s="228">
        <v>-0.1</v>
      </c>
      <c r="AA159" s="228">
        <v>-0.4</v>
      </c>
      <c r="AB159" s="228">
        <v>0.3</v>
      </c>
      <c r="AC159" s="229">
        <v>-2.0000000000000001E-4</v>
      </c>
      <c r="AD159" s="228">
        <v>-0.1</v>
      </c>
      <c r="AE159" s="228">
        <v>-0.4</v>
      </c>
      <c r="AF159" s="228">
        <v>0.3</v>
      </c>
      <c r="AG159" s="229">
        <v>-2.0000000000000001E-4</v>
      </c>
      <c r="AH159" s="228">
        <v>2.5499999999999998</v>
      </c>
      <c r="AI159" s="228">
        <v>2.5</v>
      </c>
      <c r="AJ159" s="228">
        <v>0.05</v>
      </c>
      <c r="AK159" s="229">
        <v>4.4999999999999997E-3</v>
      </c>
      <c r="AL159" s="228">
        <v>6.2</v>
      </c>
      <c r="AM159" s="228">
        <v>2.6</v>
      </c>
      <c r="AN159" s="228">
        <v>3.6</v>
      </c>
      <c r="AO159" s="229">
        <v>1.0999999999999999E-2</v>
      </c>
      <c r="AP159" s="228">
        <v>563.65</v>
      </c>
      <c r="AQ159" s="228">
        <v>566.78</v>
      </c>
      <c r="AR159" s="228">
        <v>0</v>
      </c>
      <c r="AS159" s="228">
        <v>83</v>
      </c>
      <c r="AT159" s="228">
        <v>149</v>
      </c>
      <c r="AU159" s="228">
        <v>-67</v>
      </c>
      <c r="AV159" s="229">
        <v>-0.44550000000000001</v>
      </c>
      <c r="AW159" s="228">
        <v>73</v>
      </c>
      <c r="AX159" s="228">
        <v>134</v>
      </c>
      <c r="AY159" s="228">
        <v>-62</v>
      </c>
      <c r="AZ159" s="229">
        <v>-0.45850000000000002</v>
      </c>
      <c r="BA159" s="228">
        <v>9</v>
      </c>
      <c r="BB159" s="228">
        <v>13</v>
      </c>
      <c r="BC159" s="228">
        <v>-3</v>
      </c>
      <c r="BD159" s="229">
        <v>-0.26250000000000001</v>
      </c>
      <c r="BE159" s="228">
        <v>1</v>
      </c>
      <c r="BF159" s="228">
        <v>2</v>
      </c>
      <c r="BG159" s="228">
        <v>-2</v>
      </c>
      <c r="BH159" s="229">
        <v>-0.68330000000000002</v>
      </c>
      <c r="BI159" s="228">
        <v>419</v>
      </c>
      <c r="BJ159" s="228">
        <v>627</v>
      </c>
      <c r="BK159" s="228">
        <v>-208</v>
      </c>
      <c r="BL159" s="229">
        <v>-0.33150000000000002</v>
      </c>
      <c r="BM159" s="228">
        <v>174</v>
      </c>
      <c r="BN159" s="228">
        <v>232</v>
      </c>
      <c r="BO159" s="228">
        <v>-59</v>
      </c>
      <c r="BP159" s="229">
        <v>-0.25309999999999999</v>
      </c>
      <c r="BQ159" s="228">
        <v>675</v>
      </c>
      <c r="BR159" s="230">
        <v>1008</v>
      </c>
      <c r="BS159" s="228">
        <v>-333</v>
      </c>
      <c r="BT159" s="229">
        <v>-0.33029999999999998</v>
      </c>
      <c r="BU159" s="230">
        <v>1519721</v>
      </c>
      <c r="BV159" s="230">
        <v>2767546</v>
      </c>
      <c r="BW159" s="230">
        <v>-1247825</v>
      </c>
      <c r="BX159" s="229">
        <v>-0.45090000000000002</v>
      </c>
      <c r="BY159" s="228">
        <v>563</v>
      </c>
      <c r="BZ159" s="228">
        <v>566</v>
      </c>
      <c r="CA159" s="228">
        <v>-2</v>
      </c>
      <c r="CB159" s="229">
        <v>-4.1000000000000003E-3</v>
      </c>
      <c r="CC159" s="228">
        <v>533</v>
      </c>
      <c r="CD159" s="228">
        <v>536</v>
      </c>
      <c r="CE159" s="228">
        <v>-2</v>
      </c>
      <c r="CF159" s="229">
        <v>-4.3E-3</v>
      </c>
      <c r="CG159" s="228">
        <v>26</v>
      </c>
      <c r="CH159" s="228">
        <v>26</v>
      </c>
      <c r="CI159" s="228">
        <v>0</v>
      </c>
      <c r="CJ159" s="229">
        <v>0</v>
      </c>
      <c r="CK159" s="228">
        <v>4</v>
      </c>
      <c r="CL159" s="228">
        <v>4</v>
      </c>
      <c r="CM159" s="228">
        <v>0</v>
      </c>
      <c r="CN159" s="229">
        <v>-1.4500000000000001E-2</v>
      </c>
      <c r="CO159" s="228">
        <v>504</v>
      </c>
      <c r="CP159" s="228">
        <v>492</v>
      </c>
      <c r="CQ159" s="228">
        <v>12</v>
      </c>
      <c r="CR159" s="229">
        <v>2.4899999999999999E-2</v>
      </c>
      <c r="CS159" s="228">
        <v>317</v>
      </c>
      <c r="CT159" s="228">
        <v>314</v>
      </c>
      <c r="CU159" s="228">
        <v>3</v>
      </c>
      <c r="CV159" s="229">
        <v>1.0200000000000001E-2</v>
      </c>
      <c r="CW159" s="230">
        <v>1385</v>
      </c>
      <c r="CX159" s="230">
        <v>1371</v>
      </c>
      <c r="CY159" s="228">
        <v>13</v>
      </c>
      <c r="CZ159" s="229">
        <v>9.5999999999999992E-3</v>
      </c>
      <c r="DA159" s="228">
        <v>37.03</v>
      </c>
      <c r="DB159" s="228">
        <v>39.090000000000003</v>
      </c>
      <c r="DC159" s="228">
        <v>-2.06</v>
      </c>
      <c r="DD159" s="228">
        <v>-2.06</v>
      </c>
      <c r="DE159" s="228">
        <v>66.28</v>
      </c>
      <c r="DF159" s="228">
        <v>66.430000000000007</v>
      </c>
      <c r="DG159" s="228">
        <v>-29.25</v>
      </c>
      <c r="DH159" s="228">
        <v>-0.15</v>
      </c>
      <c r="DI159" s="228">
        <v>37.44</v>
      </c>
      <c r="DJ159" s="228">
        <v>39.69</v>
      </c>
      <c r="DK159" s="228">
        <v>-2.25</v>
      </c>
      <c r="DL159" s="228">
        <v>-2.25</v>
      </c>
      <c r="DM159" s="228">
        <v>36.06</v>
      </c>
      <c r="DN159" s="228">
        <v>37.479999999999997</v>
      </c>
      <c r="DO159" s="228">
        <v>-1.42</v>
      </c>
      <c r="DP159" s="228">
        <v>-1.42</v>
      </c>
      <c r="DQ159" s="228">
        <v>0.63</v>
      </c>
      <c r="DR159" s="228">
        <v>0.64</v>
      </c>
      <c r="DS159" s="228">
        <v>-0.01</v>
      </c>
      <c r="DT159" s="229">
        <v>-1.5599999999999999E-2</v>
      </c>
      <c r="DU159" s="228">
        <v>600</v>
      </c>
      <c r="DV159" s="228">
        <v>540</v>
      </c>
      <c r="DW159" s="228">
        <v>0.41</v>
      </c>
      <c r="DX159" s="228">
        <v>0.37</v>
      </c>
      <c r="DY159" s="228">
        <v>0.04</v>
      </c>
      <c r="DZ159" s="229">
        <v>0.1081</v>
      </c>
      <c r="EA159" s="229">
        <v>5.2900000000000003E-2</v>
      </c>
      <c r="EB159" s="230">
        <v>530100</v>
      </c>
      <c r="EC159" s="229">
        <v>4.7000000000000002E-3</v>
      </c>
      <c r="ED159" s="229">
        <v>5.2900000000000003E-2</v>
      </c>
      <c r="EE159" s="228">
        <v>3.13</v>
      </c>
      <c r="EF159" s="229">
        <v>5.5999999999999999E-3</v>
      </c>
      <c r="EG159" s="230">
        <v>558667</v>
      </c>
      <c r="EH159" s="230">
        <v>968171</v>
      </c>
      <c r="EI159" s="229">
        <v>-0.42299999999999999</v>
      </c>
      <c r="EJ159" s="229">
        <v>0.36759999999999998</v>
      </c>
      <c r="EK159" s="228">
        <v>444.42</v>
      </c>
      <c r="EL159" s="228">
        <v>170.81</v>
      </c>
      <c r="EM159" s="228">
        <v>86.54</v>
      </c>
      <c r="EN159" s="228">
        <v>41.2</v>
      </c>
      <c r="EO159" s="228">
        <v>701.76</v>
      </c>
      <c r="EP159" s="231">
        <v>1048.0899999999999</v>
      </c>
      <c r="EQ159" s="228">
        <v>-346.33</v>
      </c>
      <c r="ER159" s="229">
        <v>-0.33040000000000003</v>
      </c>
      <c r="ES159" s="228">
        <v>533.47</v>
      </c>
      <c r="ET159" s="228">
        <v>300.93</v>
      </c>
      <c r="EU159" s="228">
        <v>563.47</v>
      </c>
      <c r="EV159" s="231">
        <v>23897684</v>
      </c>
      <c r="EW159" s="231">
        <v>1397.87</v>
      </c>
      <c r="EX159" s="231">
        <v>1391.32</v>
      </c>
      <c r="EY159" s="228">
        <v>6.55</v>
      </c>
      <c r="EZ159" s="229">
        <v>4.7000000000000002E-3</v>
      </c>
      <c r="FA159" s="229">
        <v>1.0279</v>
      </c>
      <c r="FB159" s="227" t="s">
        <v>568</v>
      </c>
      <c r="FC159">
        <f t="shared" si="3"/>
        <v>0</v>
      </c>
    </row>
    <row r="160" spans="1:159" ht="17.25" thickBot="1" x14ac:dyDescent="0.3">
      <c r="A160" s="226">
        <v>46008</v>
      </c>
      <c r="B160" s="227" t="s">
        <v>206</v>
      </c>
      <c r="C160" s="227" t="s">
        <v>645</v>
      </c>
      <c r="D160" s="228">
        <v>350</v>
      </c>
      <c r="E160" s="228">
        <v>13</v>
      </c>
      <c r="F160" s="231">
        <v>1782.5</v>
      </c>
      <c r="G160" s="231">
        <v>1782.8</v>
      </c>
      <c r="H160" s="228">
        <v>-0.3</v>
      </c>
      <c r="I160" s="229">
        <v>-2.0000000000000001E-4</v>
      </c>
      <c r="J160" s="231">
        <v>1781.5</v>
      </c>
      <c r="K160" s="231">
        <v>1781</v>
      </c>
      <c r="L160" s="228">
        <v>0.5</v>
      </c>
      <c r="M160" s="229">
        <v>2.9999999999999997E-4</v>
      </c>
      <c r="N160" s="231">
        <v>1782.5</v>
      </c>
      <c r="O160" s="231">
        <v>1782.8</v>
      </c>
      <c r="P160" s="228">
        <v>-0.3</v>
      </c>
      <c r="Q160" s="229">
        <v>-2.0000000000000001E-4</v>
      </c>
      <c r="R160" s="231">
        <v>1791.4</v>
      </c>
      <c r="S160" s="231">
        <v>1793.6</v>
      </c>
      <c r="T160" s="228">
        <v>-2.2000000000000002</v>
      </c>
      <c r="U160" s="229">
        <v>-1.1999999999999999E-3</v>
      </c>
      <c r="V160" s="231">
        <v>1800.9</v>
      </c>
      <c r="W160" s="231">
        <v>1820</v>
      </c>
      <c r="X160" s="228">
        <v>-19.100000000000001</v>
      </c>
      <c r="Y160" s="229">
        <v>-1.0500000000000001E-2</v>
      </c>
      <c r="Z160" s="228">
        <v>1</v>
      </c>
      <c r="AA160" s="228">
        <v>1.8</v>
      </c>
      <c r="AB160" s="228">
        <v>-0.8</v>
      </c>
      <c r="AC160" s="229">
        <v>5.9999999999999995E-4</v>
      </c>
      <c r="AD160" s="228">
        <v>1</v>
      </c>
      <c r="AE160" s="228">
        <v>1.8</v>
      </c>
      <c r="AF160" s="228">
        <v>-0.8</v>
      </c>
      <c r="AG160" s="229">
        <v>5.9999999999999995E-4</v>
      </c>
      <c r="AH160" s="228">
        <v>9.9</v>
      </c>
      <c r="AI160" s="228">
        <v>12.6</v>
      </c>
      <c r="AJ160" s="228">
        <v>-2.7</v>
      </c>
      <c r="AK160" s="229">
        <v>5.5999999999999999E-3</v>
      </c>
      <c r="AL160" s="228">
        <v>19.399999999999999</v>
      </c>
      <c r="AM160" s="228">
        <v>39</v>
      </c>
      <c r="AN160" s="228">
        <v>-19.600000000000001</v>
      </c>
      <c r="AO160" s="229">
        <v>1.09E-2</v>
      </c>
      <c r="AP160" s="231">
        <v>1785.18</v>
      </c>
      <c r="AQ160" s="231">
        <v>1796.26</v>
      </c>
      <c r="AR160" s="228">
        <v>0</v>
      </c>
      <c r="AS160" s="228">
        <v>65</v>
      </c>
      <c r="AT160" s="228">
        <v>85</v>
      </c>
      <c r="AU160" s="228">
        <v>-20</v>
      </c>
      <c r="AV160" s="229">
        <v>-0.23780000000000001</v>
      </c>
      <c r="AW160" s="228">
        <v>56</v>
      </c>
      <c r="AX160" s="228">
        <v>77</v>
      </c>
      <c r="AY160" s="228">
        <v>-21</v>
      </c>
      <c r="AZ160" s="229">
        <v>-0.27039999999999997</v>
      </c>
      <c r="BA160" s="228">
        <v>8</v>
      </c>
      <c r="BB160" s="228">
        <v>8</v>
      </c>
      <c r="BC160" s="228">
        <v>0</v>
      </c>
      <c r="BD160" s="229">
        <v>5.6899999999999999E-2</v>
      </c>
      <c r="BE160" s="228">
        <v>0</v>
      </c>
      <c r="BF160" s="228">
        <v>0</v>
      </c>
      <c r="BG160" s="228">
        <v>0</v>
      </c>
      <c r="BH160" s="229">
        <v>0</v>
      </c>
      <c r="BI160" s="228">
        <v>110</v>
      </c>
      <c r="BJ160" s="228">
        <v>121</v>
      </c>
      <c r="BK160" s="228">
        <v>-11</v>
      </c>
      <c r="BL160" s="229">
        <v>-8.8200000000000001E-2</v>
      </c>
      <c r="BM160" s="228">
        <v>46</v>
      </c>
      <c r="BN160" s="228">
        <v>57</v>
      </c>
      <c r="BO160" s="228">
        <v>-11</v>
      </c>
      <c r="BP160" s="229">
        <v>-0.1961</v>
      </c>
      <c r="BQ160" s="228">
        <v>221</v>
      </c>
      <c r="BR160" s="228">
        <v>263</v>
      </c>
      <c r="BS160" s="228">
        <v>-42</v>
      </c>
      <c r="BT160" s="229">
        <v>-0.15989999999999999</v>
      </c>
      <c r="BU160" s="230">
        <v>920375</v>
      </c>
      <c r="BV160" s="230">
        <v>463160</v>
      </c>
      <c r="BW160" s="230">
        <v>457215</v>
      </c>
      <c r="BX160" s="229">
        <v>0.98719999999999997</v>
      </c>
      <c r="BY160" s="228">
        <v>582</v>
      </c>
      <c r="BZ160" s="228">
        <v>589</v>
      </c>
      <c r="CA160" s="228">
        <v>-7</v>
      </c>
      <c r="CB160" s="229">
        <v>-1.12E-2</v>
      </c>
      <c r="CC160" s="228">
        <v>565</v>
      </c>
      <c r="CD160" s="228">
        <v>574</v>
      </c>
      <c r="CE160" s="228">
        <v>-9</v>
      </c>
      <c r="CF160" s="229">
        <v>-1.61E-2</v>
      </c>
      <c r="CG160" s="228">
        <v>16</v>
      </c>
      <c r="CH160" s="228">
        <v>14</v>
      </c>
      <c r="CI160" s="228">
        <v>3</v>
      </c>
      <c r="CJ160" s="229">
        <v>0.19</v>
      </c>
      <c r="CK160" s="228">
        <v>1</v>
      </c>
      <c r="CL160" s="228">
        <v>1</v>
      </c>
      <c r="CM160" s="228">
        <v>0</v>
      </c>
      <c r="CN160" s="229">
        <v>0</v>
      </c>
      <c r="CO160" s="228">
        <v>247</v>
      </c>
      <c r="CP160" s="228">
        <v>234</v>
      </c>
      <c r="CQ160" s="228">
        <v>14</v>
      </c>
      <c r="CR160" s="229">
        <v>5.79E-2</v>
      </c>
      <c r="CS160" s="228">
        <v>125</v>
      </c>
      <c r="CT160" s="228">
        <v>120</v>
      </c>
      <c r="CU160" s="228">
        <v>5</v>
      </c>
      <c r="CV160" s="229">
        <v>4.4900000000000002E-2</v>
      </c>
      <c r="CW160" s="228">
        <v>955</v>
      </c>
      <c r="CX160" s="228">
        <v>942</v>
      </c>
      <c r="CY160" s="228">
        <v>12</v>
      </c>
      <c r="CZ160" s="229">
        <v>1.2999999999999999E-2</v>
      </c>
      <c r="DA160" s="228">
        <v>22.95</v>
      </c>
      <c r="DB160" s="228">
        <v>23.3</v>
      </c>
      <c r="DC160" s="228">
        <v>-0.35</v>
      </c>
      <c r="DD160" s="228">
        <v>-0.35</v>
      </c>
      <c r="DE160" s="228">
        <v>41.22</v>
      </c>
      <c r="DF160" s="228">
        <v>41.32</v>
      </c>
      <c r="DG160" s="228">
        <v>-18.27</v>
      </c>
      <c r="DH160" s="228">
        <v>-0.1</v>
      </c>
      <c r="DI160" s="228">
        <v>22.44</v>
      </c>
      <c r="DJ160" s="228">
        <v>23.38</v>
      </c>
      <c r="DK160" s="228">
        <v>-0.94</v>
      </c>
      <c r="DL160" s="228">
        <v>-0.94</v>
      </c>
      <c r="DM160" s="228">
        <v>24.16</v>
      </c>
      <c r="DN160" s="228">
        <v>23.13</v>
      </c>
      <c r="DO160" s="228">
        <v>1.03</v>
      </c>
      <c r="DP160" s="228">
        <v>1.03</v>
      </c>
      <c r="DQ160" s="228">
        <v>0.51</v>
      </c>
      <c r="DR160" s="228">
        <v>0.51</v>
      </c>
      <c r="DS160" s="228">
        <v>0</v>
      </c>
      <c r="DT160" s="229">
        <v>0</v>
      </c>
      <c r="DU160" s="231">
        <v>1800</v>
      </c>
      <c r="DV160" s="231">
        <v>1680</v>
      </c>
      <c r="DW160" s="228">
        <v>0.42</v>
      </c>
      <c r="DX160" s="228">
        <v>0.47</v>
      </c>
      <c r="DY160" s="228">
        <v>-0.05</v>
      </c>
      <c r="DZ160" s="229">
        <v>-0.10639999999999999</v>
      </c>
      <c r="EA160" s="229">
        <v>0.03</v>
      </c>
      <c r="EB160" s="230">
        <v>83300</v>
      </c>
      <c r="EC160" s="229">
        <v>5.0000000000000001E-3</v>
      </c>
      <c r="ED160" s="229">
        <v>0.03</v>
      </c>
      <c r="EE160" s="228">
        <v>11.08</v>
      </c>
      <c r="EF160" s="229">
        <v>6.1999999999999998E-3</v>
      </c>
      <c r="EG160" s="230">
        <v>766579</v>
      </c>
      <c r="EH160" s="230">
        <v>318811</v>
      </c>
      <c r="EI160" s="229">
        <v>1.4045000000000001</v>
      </c>
      <c r="EJ160" s="229">
        <v>0.83289999999999997</v>
      </c>
      <c r="EK160" s="228">
        <v>114.19</v>
      </c>
      <c r="EL160" s="228">
        <v>44.76</v>
      </c>
      <c r="EM160" s="228">
        <v>64.72</v>
      </c>
      <c r="EN160" s="228">
        <v>22.06</v>
      </c>
      <c r="EO160" s="228">
        <v>223.67</v>
      </c>
      <c r="EP160" s="228">
        <v>267.04000000000002</v>
      </c>
      <c r="EQ160" s="228">
        <v>-43.37</v>
      </c>
      <c r="ER160" s="229">
        <v>-0.16239999999999999</v>
      </c>
      <c r="ES160" s="228">
        <v>254.43</v>
      </c>
      <c r="ET160" s="228">
        <v>120.29</v>
      </c>
      <c r="EU160" s="228">
        <v>582.41999999999996</v>
      </c>
      <c r="EV160" s="231">
        <v>28283155</v>
      </c>
      <c r="EW160" s="228">
        <v>957.13</v>
      </c>
      <c r="EX160" s="228">
        <v>944.39</v>
      </c>
      <c r="EY160" s="228">
        <v>12.74</v>
      </c>
      <c r="EZ160" s="229">
        <v>1.35E-2</v>
      </c>
      <c r="FA160" s="229">
        <v>0.1893</v>
      </c>
      <c r="FB160" s="227" t="s">
        <v>568</v>
      </c>
      <c r="FC160">
        <f t="shared" si="3"/>
        <v>0</v>
      </c>
    </row>
    <row r="161" spans="1:159" ht="17.25" thickBot="1" x14ac:dyDescent="0.3">
      <c r="A161" s="226">
        <v>46008</v>
      </c>
      <c r="B161" s="227" t="s">
        <v>168</v>
      </c>
      <c r="C161" s="227" t="s">
        <v>274</v>
      </c>
      <c r="D161" s="228">
        <v>500</v>
      </c>
      <c r="E161" s="228">
        <v>13</v>
      </c>
      <c r="F161" s="231">
        <v>1452.6</v>
      </c>
      <c r="G161" s="231">
        <v>1473.8</v>
      </c>
      <c r="H161" s="228">
        <v>-21.2</v>
      </c>
      <c r="I161" s="229">
        <v>-1.44E-2</v>
      </c>
      <c r="J161" s="231">
        <v>1450.7</v>
      </c>
      <c r="K161" s="231">
        <v>1473.1</v>
      </c>
      <c r="L161" s="228">
        <v>-22.4</v>
      </c>
      <c r="M161" s="229">
        <v>-1.52E-2</v>
      </c>
      <c r="N161" s="231">
        <v>1452.6</v>
      </c>
      <c r="O161" s="231">
        <v>1473.8</v>
      </c>
      <c r="P161" s="228">
        <v>-21.2</v>
      </c>
      <c r="Q161" s="229">
        <v>-1.44E-2</v>
      </c>
      <c r="R161" s="231">
        <v>1461.3</v>
      </c>
      <c r="S161" s="231">
        <v>1482.2</v>
      </c>
      <c r="T161" s="228">
        <v>-20.9</v>
      </c>
      <c r="U161" s="229">
        <v>-1.41E-2</v>
      </c>
      <c r="V161" s="231">
        <v>1470.2</v>
      </c>
      <c r="W161" s="231">
        <v>1493.6</v>
      </c>
      <c r="X161" s="228">
        <v>-23.4</v>
      </c>
      <c r="Y161" s="229">
        <v>-1.5699999999999999E-2</v>
      </c>
      <c r="Z161" s="228">
        <v>1.9</v>
      </c>
      <c r="AA161" s="228">
        <v>0.7</v>
      </c>
      <c r="AB161" s="228">
        <v>1.2</v>
      </c>
      <c r="AC161" s="229">
        <v>1.2999999999999999E-3</v>
      </c>
      <c r="AD161" s="228">
        <v>1.9</v>
      </c>
      <c r="AE161" s="228">
        <v>0.7</v>
      </c>
      <c r="AF161" s="228">
        <v>1.2</v>
      </c>
      <c r="AG161" s="229">
        <v>1.2999999999999999E-3</v>
      </c>
      <c r="AH161" s="228">
        <v>10.6</v>
      </c>
      <c r="AI161" s="228">
        <v>9.1</v>
      </c>
      <c r="AJ161" s="228">
        <v>1.5</v>
      </c>
      <c r="AK161" s="229">
        <v>7.3000000000000001E-3</v>
      </c>
      <c r="AL161" s="228">
        <v>19.5</v>
      </c>
      <c r="AM161" s="228">
        <v>20.5</v>
      </c>
      <c r="AN161" s="228">
        <v>-1</v>
      </c>
      <c r="AO161" s="229">
        <v>1.34E-2</v>
      </c>
      <c r="AP161" s="231">
        <v>1456.31</v>
      </c>
      <c r="AQ161" s="231">
        <v>1463.44</v>
      </c>
      <c r="AR161" s="228">
        <v>0</v>
      </c>
      <c r="AS161" s="228">
        <v>204</v>
      </c>
      <c r="AT161" s="228">
        <v>105</v>
      </c>
      <c r="AU161" s="228">
        <v>99</v>
      </c>
      <c r="AV161" s="229">
        <v>0.94869999999999999</v>
      </c>
      <c r="AW161" s="228">
        <v>138</v>
      </c>
      <c r="AX161" s="228">
        <v>93</v>
      </c>
      <c r="AY161" s="228">
        <v>44</v>
      </c>
      <c r="AZ161" s="229">
        <v>0.47739999999999999</v>
      </c>
      <c r="BA161" s="228">
        <v>66</v>
      </c>
      <c r="BB161" s="228">
        <v>11</v>
      </c>
      <c r="BC161" s="228">
        <v>55</v>
      </c>
      <c r="BD161" s="229">
        <v>4.8765999999999998</v>
      </c>
      <c r="BE161" s="228">
        <v>1</v>
      </c>
      <c r="BF161" s="228">
        <v>1</v>
      </c>
      <c r="BG161" s="228">
        <v>0</v>
      </c>
      <c r="BH161" s="229">
        <v>0.85709999999999997</v>
      </c>
      <c r="BI161" s="228">
        <v>179</v>
      </c>
      <c r="BJ161" s="228">
        <v>262</v>
      </c>
      <c r="BK161" s="228">
        <v>-83</v>
      </c>
      <c r="BL161" s="229">
        <v>-0.31640000000000001</v>
      </c>
      <c r="BM161" s="228">
        <v>134</v>
      </c>
      <c r="BN161" s="228">
        <v>91</v>
      </c>
      <c r="BO161" s="228">
        <v>43</v>
      </c>
      <c r="BP161" s="229">
        <v>0.4662</v>
      </c>
      <c r="BQ161" s="228">
        <v>517</v>
      </c>
      <c r="BR161" s="228">
        <v>458</v>
      </c>
      <c r="BS161" s="228">
        <v>59</v>
      </c>
      <c r="BT161" s="229">
        <v>0.12920000000000001</v>
      </c>
      <c r="BU161" s="230">
        <v>264249</v>
      </c>
      <c r="BV161" s="230">
        <v>332757</v>
      </c>
      <c r="BW161" s="230">
        <v>-68508</v>
      </c>
      <c r="BX161" s="229">
        <v>-0.2059</v>
      </c>
      <c r="BY161" s="230">
        <v>1051</v>
      </c>
      <c r="BZ161" s="230">
        <v>1032</v>
      </c>
      <c r="CA161" s="228">
        <v>19</v>
      </c>
      <c r="CB161" s="229">
        <v>1.84E-2</v>
      </c>
      <c r="CC161" s="228">
        <v>940</v>
      </c>
      <c r="CD161" s="228">
        <v>978</v>
      </c>
      <c r="CE161" s="228">
        <v>-38</v>
      </c>
      <c r="CF161" s="229">
        <v>-3.8899999999999997E-2</v>
      </c>
      <c r="CG161" s="228">
        <v>107</v>
      </c>
      <c r="CH161" s="228">
        <v>51</v>
      </c>
      <c r="CI161" s="228">
        <v>57</v>
      </c>
      <c r="CJ161" s="229">
        <v>1.1205000000000001</v>
      </c>
      <c r="CK161" s="228">
        <v>4</v>
      </c>
      <c r="CL161" s="228">
        <v>4</v>
      </c>
      <c r="CM161" s="228">
        <v>0</v>
      </c>
      <c r="CN161" s="229">
        <v>7.6899999999999996E-2</v>
      </c>
      <c r="CO161" s="228">
        <v>205</v>
      </c>
      <c r="CP161" s="228">
        <v>190</v>
      </c>
      <c r="CQ161" s="228">
        <v>15</v>
      </c>
      <c r="CR161" s="229">
        <v>7.7100000000000002E-2</v>
      </c>
      <c r="CS161" s="228">
        <v>151</v>
      </c>
      <c r="CT161" s="228">
        <v>151</v>
      </c>
      <c r="CU161" s="228">
        <v>0</v>
      </c>
      <c r="CV161" s="229">
        <v>0</v>
      </c>
      <c r="CW161" s="230">
        <v>1407</v>
      </c>
      <c r="CX161" s="230">
        <v>1373</v>
      </c>
      <c r="CY161" s="228">
        <v>34</v>
      </c>
      <c r="CZ161" s="229">
        <v>2.4500000000000001E-2</v>
      </c>
      <c r="DA161" s="228">
        <v>16.829999999999998</v>
      </c>
      <c r="DB161" s="228">
        <v>14.88</v>
      </c>
      <c r="DC161" s="228">
        <v>1.95</v>
      </c>
      <c r="DD161" s="228">
        <v>1.95</v>
      </c>
      <c r="DE161" s="228">
        <v>21.37</v>
      </c>
      <c r="DF161" s="228">
        <v>21.32</v>
      </c>
      <c r="DG161" s="228">
        <v>-4.54</v>
      </c>
      <c r="DH161" s="228">
        <v>0.05</v>
      </c>
      <c r="DI161" s="228">
        <v>16.91</v>
      </c>
      <c r="DJ161" s="228">
        <v>15.17</v>
      </c>
      <c r="DK161" s="228">
        <v>1.74</v>
      </c>
      <c r="DL161" s="228">
        <v>1.74</v>
      </c>
      <c r="DM161" s="228">
        <v>16.73</v>
      </c>
      <c r="DN161" s="228">
        <v>14.07</v>
      </c>
      <c r="DO161" s="228">
        <v>2.66</v>
      </c>
      <c r="DP161" s="228">
        <v>2.66</v>
      </c>
      <c r="DQ161" s="228">
        <v>0.74</v>
      </c>
      <c r="DR161" s="228">
        <v>0.79</v>
      </c>
      <c r="DS161" s="228">
        <v>-0.05</v>
      </c>
      <c r="DT161" s="229">
        <v>-6.3299999999999995E-2</v>
      </c>
      <c r="DU161" s="231">
        <v>1500</v>
      </c>
      <c r="DV161" s="231">
        <v>1400</v>
      </c>
      <c r="DW161" s="228">
        <v>0.75</v>
      </c>
      <c r="DX161" s="228">
        <v>0.35</v>
      </c>
      <c r="DY161" s="228">
        <v>0.4</v>
      </c>
      <c r="DZ161" s="229">
        <v>1.1429</v>
      </c>
      <c r="EA161" s="229">
        <v>0.106</v>
      </c>
      <c r="EB161" s="230">
        <v>374500</v>
      </c>
      <c r="EC161" s="229">
        <v>6.0000000000000001E-3</v>
      </c>
      <c r="ED161" s="229">
        <v>0.106</v>
      </c>
      <c r="EE161" s="228">
        <v>7.13</v>
      </c>
      <c r="EF161" s="229">
        <v>4.8999999999999998E-3</v>
      </c>
      <c r="EG161" s="230">
        <v>157877</v>
      </c>
      <c r="EH161" s="230">
        <v>192154</v>
      </c>
      <c r="EI161" s="229">
        <v>-0.1784</v>
      </c>
      <c r="EJ161" s="229">
        <v>0.59750000000000003</v>
      </c>
      <c r="EK161" s="228">
        <v>185.67</v>
      </c>
      <c r="EL161" s="228">
        <v>132.35</v>
      </c>
      <c r="EM161" s="228">
        <v>205.09</v>
      </c>
      <c r="EN161" s="228">
        <v>11.42</v>
      </c>
      <c r="EO161" s="228">
        <v>523.11</v>
      </c>
      <c r="EP161" s="228">
        <v>472.92</v>
      </c>
      <c r="EQ161" s="228">
        <v>50.19</v>
      </c>
      <c r="ER161" s="229">
        <v>0.1061</v>
      </c>
      <c r="ES161" s="228">
        <v>213.59</v>
      </c>
      <c r="ET161" s="228">
        <v>149.27000000000001</v>
      </c>
      <c r="EU161" s="231">
        <v>1051.6500000000001</v>
      </c>
      <c r="EV161" s="231">
        <v>31170515</v>
      </c>
      <c r="EW161" s="231">
        <v>1414.5</v>
      </c>
      <c r="EX161" s="231">
        <v>1396.03</v>
      </c>
      <c r="EY161" s="228">
        <v>18.47</v>
      </c>
      <c r="EZ161" s="229">
        <v>1.32E-2</v>
      </c>
      <c r="FA161" s="229">
        <v>0.31069999999999998</v>
      </c>
      <c r="FB161" s="227" t="s">
        <v>567</v>
      </c>
      <c r="FC161">
        <f t="shared" si="3"/>
        <v>0</v>
      </c>
    </row>
    <row r="162" spans="1:159" ht="17.25" thickBot="1" x14ac:dyDescent="0.3">
      <c r="A162" s="226">
        <v>46008</v>
      </c>
      <c r="B162" s="227" t="s">
        <v>498</v>
      </c>
      <c r="C162" s="227" t="s">
        <v>483</v>
      </c>
      <c r="D162" s="228">
        <v>175</v>
      </c>
      <c r="E162" s="228">
        <v>13</v>
      </c>
      <c r="F162" s="231">
        <v>3216.6</v>
      </c>
      <c r="G162" s="231">
        <v>3270</v>
      </c>
      <c r="H162" s="228">
        <v>-53.4</v>
      </c>
      <c r="I162" s="229">
        <v>-1.6299999999999999E-2</v>
      </c>
      <c r="J162" s="231">
        <v>3206.2</v>
      </c>
      <c r="K162" s="231">
        <v>3259.3</v>
      </c>
      <c r="L162" s="228">
        <v>-53.1</v>
      </c>
      <c r="M162" s="229">
        <v>-1.6299999999999999E-2</v>
      </c>
      <c r="N162" s="231">
        <v>3216.6</v>
      </c>
      <c r="O162" s="231">
        <v>3270</v>
      </c>
      <c r="P162" s="228">
        <v>-53.4</v>
      </c>
      <c r="Q162" s="229">
        <v>-1.6299999999999999E-2</v>
      </c>
      <c r="R162" s="231">
        <v>3221.9</v>
      </c>
      <c r="S162" s="231">
        <v>3266.6</v>
      </c>
      <c r="T162" s="228">
        <v>-44.7</v>
      </c>
      <c r="U162" s="229">
        <v>-1.37E-2</v>
      </c>
      <c r="V162" s="231">
        <v>3220.7</v>
      </c>
      <c r="W162" s="231">
        <v>3263</v>
      </c>
      <c r="X162" s="228">
        <v>-42.3</v>
      </c>
      <c r="Y162" s="229">
        <v>-1.2999999999999999E-2</v>
      </c>
      <c r="Z162" s="228">
        <v>10.4</v>
      </c>
      <c r="AA162" s="228">
        <v>10.7</v>
      </c>
      <c r="AB162" s="228">
        <v>-0.3</v>
      </c>
      <c r="AC162" s="229">
        <v>3.2000000000000002E-3</v>
      </c>
      <c r="AD162" s="228">
        <v>10.4</v>
      </c>
      <c r="AE162" s="228">
        <v>10.7</v>
      </c>
      <c r="AF162" s="228">
        <v>-0.3</v>
      </c>
      <c r="AG162" s="229">
        <v>3.2000000000000002E-3</v>
      </c>
      <c r="AH162" s="228">
        <v>15.7</v>
      </c>
      <c r="AI162" s="228">
        <v>7.3</v>
      </c>
      <c r="AJ162" s="228">
        <v>8.4</v>
      </c>
      <c r="AK162" s="229">
        <v>4.8999999999999998E-3</v>
      </c>
      <c r="AL162" s="228">
        <v>14.5</v>
      </c>
      <c r="AM162" s="228">
        <v>3.7</v>
      </c>
      <c r="AN162" s="228">
        <v>10.8</v>
      </c>
      <c r="AO162" s="229">
        <v>4.4999999999999997E-3</v>
      </c>
      <c r="AP162" s="231">
        <v>3223.83</v>
      </c>
      <c r="AQ162" s="231">
        <v>3221.32</v>
      </c>
      <c r="AR162" s="228">
        <v>0</v>
      </c>
      <c r="AS162" s="228">
        <v>110</v>
      </c>
      <c r="AT162" s="228">
        <v>133</v>
      </c>
      <c r="AU162" s="228">
        <v>-23</v>
      </c>
      <c r="AV162" s="229">
        <v>-0.1734</v>
      </c>
      <c r="AW162" s="228">
        <v>98</v>
      </c>
      <c r="AX162" s="228">
        <v>115</v>
      </c>
      <c r="AY162" s="228">
        <v>-17</v>
      </c>
      <c r="AZ162" s="229">
        <v>-0.1469</v>
      </c>
      <c r="BA162" s="228">
        <v>12</v>
      </c>
      <c r="BB162" s="228">
        <v>18</v>
      </c>
      <c r="BC162" s="228">
        <v>-6</v>
      </c>
      <c r="BD162" s="229">
        <v>-0.33229999999999998</v>
      </c>
      <c r="BE162" s="228">
        <v>0</v>
      </c>
      <c r="BF162" s="228">
        <v>1</v>
      </c>
      <c r="BG162" s="228">
        <v>0</v>
      </c>
      <c r="BH162" s="229">
        <v>-0.41670000000000001</v>
      </c>
      <c r="BI162" s="228">
        <v>278</v>
      </c>
      <c r="BJ162" s="228">
        <v>297</v>
      </c>
      <c r="BK162" s="228">
        <v>-19</v>
      </c>
      <c r="BL162" s="229">
        <v>-6.4699999999999994E-2</v>
      </c>
      <c r="BM162" s="228">
        <v>184</v>
      </c>
      <c r="BN162" s="228">
        <v>148</v>
      </c>
      <c r="BO162" s="228">
        <v>35</v>
      </c>
      <c r="BP162" s="229">
        <v>0.23760000000000001</v>
      </c>
      <c r="BQ162" s="228">
        <v>572</v>
      </c>
      <c r="BR162" s="228">
        <v>579</v>
      </c>
      <c r="BS162" s="228">
        <v>-7</v>
      </c>
      <c r="BT162" s="229">
        <v>-1.23E-2</v>
      </c>
      <c r="BU162" s="230">
        <v>216958</v>
      </c>
      <c r="BV162" s="230">
        <v>188508</v>
      </c>
      <c r="BW162" s="230">
        <v>28450</v>
      </c>
      <c r="BX162" s="229">
        <v>0.15090000000000001</v>
      </c>
      <c r="BY162" s="228">
        <v>882</v>
      </c>
      <c r="BZ162" s="228">
        <v>884</v>
      </c>
      <c r="CA162" s="228">
        <v>-2</v>
      </c>
      <c r="CB162" s="229">
        <v>-1.9E-3</v>
      </c>
      <c r="CC162" s="228">
        <v>788</v>
      </c>
      <c r="CD162" s="228">
        <v>794</v>
      </c>
      <c r="CE162" s="228">
        <v>-7</v>
      </c>
      <c r="CF162" s="229">
        <v>-8.6E-3</v>
      </c>
      <c r="CG162" s="228">
        <v>87</v>
      </c>
      <c r="CH162" s="228">
        <v>83</v>
      </c>
      <c r="CI162" s="228">
        <v>5</v>
      </c>
      <c r="CJ162" s="229">
        <v>5.79E-2</v>
      </c>
      <c r="CK162" s="228">
        <v>7</v>
      </c>
      <c r="CL162" s="228">
        <v>7</v>
      </c>
      <c r="CM162" s="228">
        <v>0</v>
      </c>
      <c r="CN162" s="229">
        <v>0.05</v>
      </c>
      <c r="CO162" s="228">
        <v>343</v>
      </c>
      <c r="CP162" s="228">
        <v>335</v>
      </c>
      <c r="CQ162" s="228">
        <v>8</v>
      </c>
      <c r="CR162" s="229">
        <v>2.2499999999999999E-2</v>
      </c>
      <c r="CS162" s="228">
        <v>217</v>
      </c>
      <c r="CT162" s="228">
        <v>220</v>
      </c>
      <c r="CU162" s="228">
        <v>-3</v>
      </c>
      <c r="CV162" s="229">
        <v>-1.2800000000000001E-2</v>
      </c>
      <c r="CW162" s="230">
        <v>1442</v>
      </c>
      <c r="CX162" s="230">
        <v>1439</v>
      </c>
      <c r="CY162" s="228">
        <v>3</v>
      </c>
      <c r="CZ162" s="229">
        <v>2.0999999999999999E-3</v>
      </c>
      <c r="DA162" s="228">
        <v>24.41</v>
      </c>
      <c r="DB162" s="228">
        <v>24.04</v>
      </c>
      <c r="DC162" s="228">
        <v>0.37</v>
      </c>
      <c r="DD162" s="228">
        <v>0.37</v>
      </c>
      <c r="DE162" s="228">
        <v>29.42</v>
      </c>
      <c r="DF162" s="228">
        <v>29.41</v>
      </c>
      <c r="DG162" s="228">
        <v>-5.01</v>
      </c>
      <c r="DH162" s="228">
        <v>0.01</v>
      </c>
      <c r="DI162" s="228">
        <v>24.34</v>
      </c>
      <c r="DJ162" s="228">
        <v>24</v>
      </c>
      <c r="DK162" s="228">
        <v>0.34</v>
      </c>
      <c r="DL162" s="228">
        <v>0.34</v>
      </c>
      <c r="DM162" s="228">
        <v>24.52</v>
      </c>
      <c r="DN162" s="228">
        <v>24.13</v>
      </c>
      <c r="DO162" s="228">
        <v>0.39</v>
      </c>
      <c r="DP162" s="228">
        <v>0.39</v>
      </c>
      <c r="DQ162" s="228">
        <v>0.63</v>
      </c>
      <c r="DR162" s="228">
        <v>0.66</v>
      </c>
      <c r="DS162" s="228">
        <v>-0.03</v>
      </c>
      <c r="DT162" s="229">
        <v>-4.5499999999999999E-2</v>
      </c>
      <c r="DU162" s="231">
        <v>3400</v>
      </c>
      <c r="DV162" s="231">
        <v>3300</v>
      </c>
      <c r="DW162" s="228">
        <v>0.66</v>
      </c>
      <c r="DX162" s="228">
        <v>0.5</v>
      </c>
      <c r="DY162" s="228">
        <v>0.16</v>
      </c>
      <c r="DZ162" s="229">
        <v>0.32</v>
      </c>
      <c r="EA162" s="229">
        <v>0.1072</v>
      </c>
      <c r="EB162" s="230">
        <v>278075</v>
      </c>
      <c r="EC162" s="229">
        <v>1.6000000000000001E-3</v>
      </c>
      <c r="ED162" s="229">
        <v>0.1072</v>
      </c>
      <c r="EE162" s="228">
        <v>-2.5099999999999998</v>
      </c>
      <c r="EF162" s="229">
        <v>-8.0000000000000004E-4</v>
      </c>
      <c r="EG162" s="230">
        <v>128476</v>
      </c>
      <c r="EH162" s="230">
        <v>95655</v>
      </c>
      <c r="EI162" s="229">
        <v>0.34310000000000002</v>
      </c>
      <c r="EJ162" s="229">
        <v>0.59219999999999995</v>
      </c>
      <c r="EK162" s="228">
        <v>293.37</v>
      </c>
      <c r="EL162" s="228">
        <v>181.59</v>
      </c>
      <c r="EM162" s="228">
        <v>110.51</v>
      </c>
      <c r="EN162" s="228">
        <v>35.68</v>
      </c>
      <c r="EO162" s="228">
        <v>585.48</v>
      </c>
      <c r="EP162" s="228">
        <v>599.24</v>
      </c>
      <c r="EQ162" s="228">
        <v>-13.76</v>
      </c>
      <c r="ER162" s="229">
        <v>-2.3E-2</v>
      </c>
      <c r="ES162" s="228">
        <v>369.99</v>
      </c>
      <c r="ET162" s="228">
        <v>219.29</v>
      </c>
      <c r="EU162" s="228">
        <v>882.23</v>
      </c>
      <c r="EV162" s="231">
        <v>8178275</v>
      </c>
      <c r="EW162" s="231">
        <v>1471.5</v>
      </c>
      <c r="EX162" s="231">
        <v>1485.58</v>
      </c>
      <c r="EY162" s="228">
        <v>-14.08</v>
      </c>
      <c r="EZ162" s="229">
        <v>-9.4999999999999998E-3</v>
      </c>
      <c r="FA162" s="229">
        <v>0.54810000000000003</v>
      </c>
      <c r="FB162" s="227" t="s">
        <v>568</v>
      </c>
      <c r="FC162">
        <f t="shared" si="3"/>
        <v>0</v>
      </c>
    </row>
    <row r="163" spans="1:159" ht="17.25" thickBot="1" x14ac:dyDescent="0.3">
      <c r="A163" s="226">
        <v>46008</v>
      </c>
      <c r="B163" s="227" t="s">
        <v>172</v>
      </c>
      <c r="C163" s="227" t="s">
        <v>275</v>
      </c>
      <c r="D163" s="228">
        <v>8000</v>
      </c>
      <c r="E163" s="228">
        <v>13</v>
      </c>
      <c r="F163" s="228">
        <v>119.75</v>
      </c>
      <c r="G163" s="228">
        <v>117.4</v>
      </c>
      <c r="H163" s="228">
        <v>2.35</v>
      </c>
      <c r="I163" s="229">
        <v>0.02</v>
      </c>
      <c r="J163" s="228">
        <v>119.33</v>
      </c>
      <c r="K163" s="228">
        <v>117.03</v>
      </c>
      <c r="L163" s="228">
        <v>2.2999999999999998</v>
      </c>
      <c r="M163" s="229">
        <v>1.9699999999999999E-2</v>
      </c>
      <c r="N163" s="228">
        <v>119.75</v>
      </c>
      <c r="O163" s="228">
        <v>117.4</v>
      </c>
      <c r="P163" s="228">
        <v>2.35</v>
      </c>
      <c r="Q163" s="229">
        <v>0.02</v>
      </c>
      <c r="R163" s="228">
        <v>120.42</v>
      </c>
      <c r="S163" s="228">
        <v>118.13</v>
      </c>
      <c r="T163" s="228">
        <v>2.29</v>
      </c>
      <c r="U163" s="229">
        <v>1.9400000000000001E-2</v>
      </c>
      <c r="V163" s="228">
        <v>121.06</v>
      </c>
      <c r="W163" s="228">
        <v>118.79</v>
      </c>
      <c r="X163" s="228">
        <v>2.27</v>
      </c>
      <c r="Y163" s="229">
        <v>1.9099999999999999E-2</v>
      </c>
      <c r="Z163" s="228">
        <v>0.42</v>
      </c>
      <c r="AA163" s="228">
        <v>0.37</v>
      </c>
      <c r="AB163" s="228">
        <v>0.05</v>
      </c>
      <c r="AC163" s="229">
        <v>3.5000000000000001E-3</v>
      </c>
      <c r="AD163" s="228">
        <v>0.42</v>
      </c>
      <c r="AE163" s="228">
        <v>0.37</v>
      </c>
      <c r="AF163" s="228">
        <v>0.05</v>
      </c>
      <c r="AG163" s="229">
        <v>3.5000000000000001E-3</v>
      </c>
      <c r="AH163" s="228">
        <v>1.0900000000000001</v>
      </c>
      <c r="AI163" s="228">
        <v>1.1000000000000001</v>
      </c>
      <c r="AJ163" s="228">
        <v>-0.01</v>
      </c>
      <c r="AK163" s="229">
        <v>9.1000000000000004E-3</v>
      </c>
      <c r="AL163" s="228">
        <v>1.73</v>
      </c>
      <c r="AM163" s="228">
        <v>1.76</v>
      </c>
      <c r="AN163" s="228">
        <v>-0.03</v>
      </c>
      <c r="AO163" s="229">
        <v>1.4500000000000001E-2</v>
      </c>
      <c r="AP163" s="228">
        <v>119.18</v>
      </c>
      <c r="AQ163" s="228">
        <v>119.85</v>
      </c>
      <c r="AR163" s="228">
        <v>0</v>
      </c>
      <c r="AS163" s="228">
        <v>597</v>
      </c>
      <c r="AT163" s="228">
        <v>387</v>
      </c>
      <c r="AU163" s="228">
        <v>210</v>
      </c>
      <c r="AV163" s="229">
        <v>0.54290000000000005</v>
      </c>
      <c r="AW163" s="228">
        <v>450</v>
      </c>
      <c r="AX163" s="228">
        <v>291</v>
      </c>
      <c r="AY163" s="228">
        <v>159</v>
      </c>
      <c r="AZ163" s="229">
        <v>0.54759999999999998</v>
      </c>
      <c r="BA163" s="228">
        <v>139</v>
      </c>
      <c r="BB163" s="228">
        <v>88</v>
      </c>
      <c r="BC163" s="228">
        <v>51</v>
      </c>
      <c r="BD163" s="229">
        <v>0.58260000000000001</v>
      </c>
      <c r="BE163" s="228">
        <v>7</v>
      </c>
      <c r="BF163" s="228">
        <v>8</v>
      </c>
      <c r="BG163" s="228">
        <v>-1</v>
      </c>
      <c r="BH163" s="229">
        <v>-0.1013</v>
      </c>
      <c r="BI163" s="230">
        <v>2427</v>
      </c>
      <c r="BJ163" s="230">
        <v>1024</v>
      </c>
      <c r="BK163" s="230">
        <v>1403</v>
      </c>
      <c r="BL163" s="229">
        <v>1.3696999999999999</v>
      </c>
      <c r="BM163" s="230">
        <v>1017</v>
      </c>
      <c r="BN163" s="228">
        <v>521</v>
      </c>
      <c r="BO163" s="228">
        <v>496</v>
      </c>
      <c r="BP163" s="229">
        <v>0.95269999999999999</v>
      </c>
      <c r="BQ163" s="230">
        <v>4040</v>
      </c>
      <c r="BR163" s="230">
        <v>1931</v>
      </c>
      <c r="BS163" s="230">
        <v>2109</v>
      </c>
      <c r="BT163" s="229">
        <v>1.0918000000000001</v>
      </c>
      <c r="BU163" s="230">
        <v>15639468</v>
      </c>
      <c r="BV163" s="230">
        <v>11978788</v>
      </c>
      <c r="BW163" s="230">
        <v>3660680</v>
      </c>
      <c r="BX163" s="229">
        <v>0.30559999999999998</v>
      </c>
      <c r="BY163" s="230">
        <v>2945</v>
      </c>
      <c r="BZ163" s="230">
        <v>2925</v>
      </c>
      <c r="CA163" s="228">
        <v>19</v>
      </c>
      <c r="CB163" s="229">
        <v>6.6E-3</v>
      </c>
      <c r="CC163" s="230">
        <v>2531</v>
      </c>
      <c r="CD163" s="230">
        <v>2569</v>
      </c>
      <c r="CE163" s="228">
        <v>-37</v>
      </c>
      <c r="CF163" s="229">
        <v>-1.46E-2</v>
      </c>
      <c r="CG163" s="228">
        <v>363</v>
      </c>
      <c r="CH163" s="228">
        <v>307</v>
      </c>
      <c r="CI163" s="228">
        <v>56</v>
      </c>
      <c r="CJ163" s="229">
        <v>0.18290000000000001</v>
      </c>
      <c r="CK163" s="228">
        <v>50</v>
      </c>
      <c r="CL163" s="228">
        <v>50</v>
      </c>
      <c r="CM163" s="228">
        <v>1</v>
      </c>
      <c r="CN163" s="229">
        <v>1.15E-2</v>
      </c>
      <c r="CO163" s="230">
        <v>2192</v>
      </c>
      <c r="CP163" s="230">
        <v>2283</v>
      </c>
      <c r="CQ163" s="228">
        <v>-91</v>
      </c>
      <c r="CR163" s="229">
        <v>-0.04</v>
      </c>
      <c r="CS163" s="230">
        <v>1205</v>
      </c>
      <c r="CT163" s="230">
        <v>1185</v>
      </c>
      <c r="CU163" s="228">
        <v>20</v>
      </c>
      <c r="CV163" s="229">
        <v>1.7100000000000001E-2</v>
      </c>
      <c r="CW163" s="230">
        <v>6341</v>
      </c>
      <c r="CX163" s="230">
        <v>6393</v>
      </c>
      <c r="CY163" s="228">
        <v>-52</v>
      </c>
      <c r="CZ163" s="229">
        <v>-8.0999999999999996E-3</v>
      </c>
      <c r="DA163" s="228">
        <v>23.98</v>
      </c>
      <c r="DB163" s="228">
        <v>25</v>
      </c>
      <c r="DC163" s="228">
        <v>-1.02</v>
      </c>
      <c r="DD163" s="228">
        <v>-1.02</v>
      </c>
      <c r="DE163" s="228">
        <v>35.9</v>
      </c>
      <c r="DF163" s="228">
        <v>35.89</v>
      </c>
      <c r="DG163" s="228">
        <v>-11.92</v>
      </c>
      <c r="DH163" s="228">
        <v>0.01</v>
      </c>
      <c r="DI163" s="228">
        <v>24.1</v>
      </c>
      <c r="DJ163" s="228">
        <v>25.87</v>
      </c>
      <c r="DK163" s="228">
        <v>-1.77</v>
      </c>
      <c r="DL163" s="228">
        <v>-1.77</v>
      </c>
      <c r="DM163" s="228">
        <v>23.69</v>
      </c>
      <c r="DN163" s="228">
        <v>23.31</v>
      </c>
      <c r="DO163" s="228">
        <v>0.38</v>
      </c>
      <c r="DP163" s="228">
        <v>0.38</v>
      </c>
      <c r="DQ163" s="228">
        <v>0.55000000000000004</v>
      </c>
      <c r="DR163" s="228">
        <v>0.52</v>
      </c>
      <c r="DS163" s="228">
        <v>0.03</v>
      </c>
      <c r="DT163" s="229">
        <v>5.7700000000000001E-2</v>
      </c>
      <c r="DU163" s="228">
        <v>125</v>
      </c>
      <c r="DV163" s="228">
        <v>120</v>
      </c>
      <c r="DW163" s="228">
        <v>0.42</v>
      </c>
      <c r="DX163" s="228">
        <v>0.51</v>
      </c>
      <c r="DY163" s="228">
        <v>-0.09</v>
      </c>
      <c r="DZ163" s="229">
        <v>-0.17649999999999999</v>
      </c>
      <c r="EA163" s="229">
        <v>0.1404</v>
      </c>
      <c r="EB163" s="230">
        <v>29792000</v>
      </c>
      <c r="EC163" s="229">
        <v>5.5999999999999999E-3</v>
      </c>
      <c r="ED163" s="229">
        <v>0.1404</v>
      </c>
      <c r="EE163" s="228">
        <v>0.67</v>
      </c>
      <c r="EF163" s="229">
        <v>5.5999999999999999E-3</v>
      </c>
      <c r="EG163" s="230">
        <v>5637800</v>
      </c>
      <c r="EH163" s="230">
        <v>5550289</v>
      </c>
      <c r="EI163" s="229">
        <v>1.5800000000000002E-2</v>
      </c>
      <c r="EJ163" s="229">
        <v>0.36049999999999999</v>
      </c>
      <c r="EK163" s="231">
        <v>2505.86</v>
      </c>
      <c r="EL163" s="231">
        <v>1005.48</v>
      </c>
      <c r="EM163" s="228">
        <v>594.58000000000004</v>
      </c>
      <c r="EN163" s="228">
        <v>45.73</v>
      </c>
      <c r="EO163" s="231">
        <v>4105.92</v>
      </c>
      <c r="EP163" s="231">
        <v>1947.86</v>
      </c>
      <c r="EQ163" s="231">
        <v>2158.06</v>
      </c>
      <c r="ER163" s="229">
        <v>1.1079000000000001</v>
      </c>
      <c r="ES163" s="231">
        <v>2292.16</v>
      </c>
      <c r="ET163" s="231">
        <v>1196.81</v>
      </c>
      <c r="EU163" s="231">
        <v>2947.19</v>
      </c>
      <c r="EV163" s="231">
        <v>447910372</v>
      </c>
      <c r="EW163" s="231">
        <v>6436.16</v>
      </c>
      <c r="EX163" s="231">
        <v>6432.98</v>
      </c>
      <c r="EY163" s="228">
        <v>3.18</v>
      </c>
      <c r="EZ163" s="229">
        <v>5.0000000000000001E-4</v>
      </c>
      <c r="FA163" s="229">
        <v>1.1821999999999999</v>
      </c>
      <c r="FB163" s="227" t="s">
        <v>555</v>
      </c>
      <c r="FC163">
        <f t="shared" si="3"/>
        <v>0</v>
      </c>
    </row>
    <row r="164" spans="1:159" ht="17.25" thickBot="1" x14ac:dyDescent="0.3">
      <c r="A164" s="226">
        <v>46008</v>
      </c>
      <c r="B164" s="227" t="s">
        <v>175</v>
      </c>
      <c r="C164" s="227" t="s">
        <v>671</v>
      </c>
      <c r="D164" s="228">
        <v>650</v>
      </c>
      <c r="E164" s="228">
        <v>13</v>
      </c>
      <c r="F164" s="228">
        <v>897.8</v>
      </c>
      <c r="G164" s="228">
        <v>913.5</v>
      </c>
      <c r="H164" s="228">
        <v>-15.7</v>
      </c>
      <c r="I164" s="229">
        <v>-1.72E-2</v>
      </c>
      <c r="J164" s="228">
        <v>894.85</v>
      </c>
      <c r="K164" s="228">
        <v>913.4</v>
      </c>
      <c r="L164" s="228">
        <v>-18.55</v>
      </c>
      <c r="M164" s="229">
        <v>-2.0299999999999999E-2</v>
      </c>
      <c r="N164" s="228">
        <v>897.8</v>
      </c>
      <c r="O164" s="228">
        <v>913.5</v>
      </c>
      <c r="P164" s="228">
        <v>-15.7</v>
      </c>
      <c r="Q164" s="229">
        <v>-1.72E-2</v>
      </c>
      <c r="R164" s="228">
        <v>902.8</v>
      </c>
      <c r="S164" s="228">
        <v>919.55</v>
      </c>
      <c r="T164" s="228">
        <v>-16.75</v>
      </c>
      <c r="U164" s="229">
        <v>-1.8200000000000001E-2</v>
      </c>
      <c r="V164" s="228">
        <v>906.1</v>
      </c>
      <c r="W164" s="228">
        <v>922</v>
      </c>
      <c r="X164" s="228">
        <v>-15.9</v>
      </c>
      <c r="Y164" s="229">
        <v>-1.72E-2</v>
      </c>
      <c r="Z164" s="228">
        <v>2.95</v>
      </c>
      <c r="AA164" s="228">
        <v>0.1</v>
      </c>
      <c r="AB164" s="228">
        <v>2.85</v>
      </c>
      <c r="AC164" s="229">
        <v>3.3E-3</v>
      </c>
      <c r="AD164" s="228">
        <v>2.95</v>
      </c>
      <c r="AE164" s="228">
        <v>0.1</v>
      </c>
      <c r="AF164" s="228">
        <v>2.85</v>
      </c>
      <c r="AG164" s="229">
        <v>3.3E-3</v>
      </c>
      <c r="AH164" s="228">
        <v>7.95</v>
      </c>
      <c r="AI164" s="228">
        <v>6.15</v>
      </c>
      <c r="AJ164" s="228">
        <v>1.8</v>
      </c>
      <c r="AK164" s="229">
        <v>8.8999999999999999E-3</v>
      </c>
      <c r="AL164" s="228">
        <v>11.25</v>
      </c>
      <c r="AM164" s="228">
        <v>8.6</v>
      </c>
      <c r="AN164" s="228">
        <v>2.65</v>
      </c>
      <c r="AO164" s="229">
        <v>1.26E-2</v>
      </c>
      <c r="AP164" s="228">
        <v>904.92</v>
      </c>
      <c r="AQ164" s="228">
        <v>909.51</v>
      </c>
      <c r="AR164" s="228">
        <v>0</v>
      </c>
      <c r="AS164" s="228">
        <v>153</v>
      </c>
      <c r="AT164" s="228">
        <v>144</v>
      </c>
      <c r="AU164" s="228">
        <v>9</v>
      </c>
      <c r="AV164" s="229">
        <v>6.2300000000000001E-2</v>
      </c>
      <c r="AW164" s="228">
        <v>135</v>
      </c>
      <c r="AX164" s="228">
        <v>131</v>
      </c>
      <c r="AY164" s="228">
        <v>3</v>
      </c>
      <c r="AZ164" s="229">
        <v>2.4E-2</v>
      </c>
      <c r="BA164" s="228">
        <v>18</v>
      </c>
      <c r="BB164" s="228">
        <v>12</v>
      </c>
      <c r="BC164" s="228">
        <v>6</v>
      </c>
      <c r="BD164" s="229">
        <v>0.48099999999999998</v>
      </c>
      <c r="BE164" s="228">
        <v>1</v>
      </c>
      <c r="BF164" s="228">
        <v>1</v>
      </c>
      <c r="BG164" s="228">
        <v>0</v>
      </c>
      <c r="BH164" s="229">
        <v>-0.1</v>
      </c>
      <c r="BI164" s="228">
        <v>543</v>
      </c>
      <c r="BJ164" s="228">
        <v>335</v>
      </c>
      <c r="BK164" s="228">
        <v>208</v>
      </c>
      <c r="BL164" s="229">
        <v>0.621</v>
      </c>
      <c r="BM164" s="228">
        <v>264</v>
      </c>
      <c r="BN164" s="228">
        <v>174</v>
      </c>
      <c r="BO164" s="228">
        <v>90</v>
      </c>
      <c r="BP164" s="229">
        <v>0.5171</v>
      </c>
      <c r="BQ164" s="228">
        <v>959</v>
      </c>
      <c r="BR164" s="228">
        <v>653</v>
      </c>
      <c r="BS164" s="228">
        <v>307</v>
      </c>
      <c r="BT164" s="229">
        <v>0.46989999999999998</v>
      </c>
      <c r="BU164" s="230">
        <v>762153</v>
      </c>
      <c r="BV164" s="230">
        <v>700508</v>
      </c>
      <c r="BW164" s="230">
        <v>61645</v>
      </c>
      <c r="BX164" s="229">
        <v>8.7999999999999995E-2</v>
      </c>
      <c r="BY164" s="230">
        <v>1469</v>
      </c>
      <c r="BZ164" s="230">
        <v>1460</v>
      </c>
      <c r="CA164" s="228">
        <v>9</v>
      </c>
      <c r="CB164" s="229">
        <v>6.4000000000000003E-3</v>
      </c>
      <c r="CC164" s="230">
        <v>1411</v>
      </c>
      <c r="CD164" s="230">
        <v>1410</v>
      </c>
      <c r="CE164" s="228">
        <v>2</v>
      </c>
      <c r="CF164" s="229">
        <v>1.1999999999999999E-3</v>
      </c>
      <c r="CG164" s="228">
        <v>54</v>
      </c>
      <c r="CH164" s="228">
        <v>47</v>
      </c>
      <c r="CI164" s="228">
        <v>7</v>
      </c>
      <c r="CJ164" s="229">
        <v>0.15670000000000001</v>
      </c>
      <c r="CK164" s="228">
        <v>3</v>
      </c>
      <c r="CL164" s="228">
        <v>3</v>
      </c>
      <c r="CM164" s="228">
        <v>0</v>
      </c>
      <c r="CN164" s="229">
        <v>8.3299999999999999E-2</v>
      </c>
      <c r="CO164" s="228">
        <v>684</v>
      </c>
      <c r="CP164" s="228">
        <v>716</v>
      </c>
      <c r="CQ164" s="228">
        <v>-32</v>
      </c>
      <c r="CR164" s="229">
        <v>-4.53E-2</v>
      </c>
      <c r="CS164" s="228">
        <v>422</v>
      </c>
      <c r="CT164" s="228">
        <v>434</v>
      </c>
      <c r="CU164" s="228">
        <v>-12</v>
      </c>
      <c r="CV164" s="229">
        <v>-2.75E-2</v>
      </c>
      <c r="CW164" s="230">
        <v>2575</v>
      </c>
      <c r="CX164" s="230">
        <v>2610</v>
      </c>
      <c r="CY164" s="228">
        <v>-35</v>
      </c>
      <c r="CZ164" s="229">
        <v>-1.35E-2</v>
      </c>
      <c r="DA164" s="228">
        <v>28.92</v>
      </c>
      <c r="DB164" s="228">
        <v>28.87</v>
      </c>
      <c r="DC164" s="228">
        <v>0.05</v>
      </c>
      <c r="DD164" s="228">
        <v>0.05</v>
      </c>
      <c r="DE164" s="228">
        <v>46.33</v>
      </c>
      <c r="DF164" s="228">
        <v>46.36</v>
      </c>
      <c r="DG164" s="228">
        <v>-17.41</v>
      </c>
      <c r="DH164" s="228">
        <v>-0.03</v>
      </c>
      <c r="DI164" s="228">
        <v>29.5</v>
      </c>
      <c r="DJ164" s="228">
        <v>29.46</v>
      </c>
      <c r="DK164" s="228">
        <v>0.04</v>
      </c>
      <c r="DL164" s="228">
        <v>0.04</v>
      </c>
      <c r="DM164" s="228">
        <v>27.74</v>
      </c>
      <c r="DN164" s="228">
        <v>27.73</v>
      </c>
      <c r="DO164" s="228">
        <v>0.01</v>
      </c>
      <c r="DP164" s="228">
        <v>0.01</v>
      </c>
      <c r="DQ164" s="228">
        <v>0.62</v>
      </c>
      <c r="DR164" s="228">
        <v>0.61</v>
      </c>
      <c r="DS164" s="228">
        <v>0.01</v>
      </c>
      <c r="DT164" s="229">
        <v>1.6400000000000001E-2</v>
      </c>
      <c r="DU164" s="228">
        <v>920</v>
      </c>
      <c r="DV164" s="228">
        <v>900</v>
      </c>
      <c r="DW164" s="228">
        <v>0.49</v>
      </c>
      <c r="DX164" s="228">
        <v>0.52</v>
      </c>
      <c r="DY164" s="228">
        <v>-0.03</v>
      </c>
      <c r="DZ164" s="229">
        <v>-5.7700000000000001E-2</v>
      </c>
      <c r="EA164" s="229">
        <v>3.9E-2</v>
      </c>
      <c r="EB164" s="230">
        <v>553800</v>
      </c>
      <c r="EC164" s="229">
        <v>5.5999999999999999E-3</v>
      </c>
      <c r="ED164" s="229">
        <v>3.9E-2</v>
      </c>
      <c r="EE164" s="228">
        <v>4.59</v>
      </c>
      <c r="EF164" s="229">
        <v>5.1000000000000004E-3</v>
      </c>
      <c r="EG164" s="230">
        <v>303878</v>
      </c>
      <c r="EH164" s="230">
        <v>323580</v>
      </c>
      <c r="EI164" s="229">
        <v>-6.0900000000000003E-2</v>
      </c>
      <c r="EJ164" s="229">
        <v>0.3987</v>
      </c>
      <c r="EK164" s="228">
        <v>579.73</v>
      </c>
      <c r="EL164" s="228">
        <v>259.52999999999997</v>
      </c>
      <c r="EM164" s="228">
        <v>154.5</v>
      </c>
      <c r="EN164" s="228">
        <v>59.38</v>
      </c>
      <c r="EO164" s="228">
        <v>993.76</v>
      </c>
      <c r="EP164" s="228">
        <v>680.82</v>
      </c>
      <c r="EQ164" s="228">
        <v>312.94</v>
      </c>
      <c r="ER164" s="229">
        <v>0.45960000000000001</v>
      </c>
      <c r="ES164" s="228">
        <v>722.78</v>
      </c>
      <c r="ET164" s="228">
        <v>413.59</v>
      </c>
      <c r="EU164" s="231">
        <v>1469.12</v>
      </c>
      <c r="EV164" s="231">
        <v>28062406</v>
      </c>
      <c r="EW164" s="231">
        <v>2605.48</v>
      </c>
      <c r="EX164" s="231">
        <v>2674.06</v>
      </c>
      <c r="EY164" s="228">
        <v>-68.58</v>
      </c>
      <c r="EZ164" s="229">
        <v>-2.5600000000000001E-2</v>
      </c>
      <c r="FA164" s="229">
        <v>1.022</v>
      </c>
      <c r="FB164" s="227" t="s">
        <v>567</v>
      </c>
      <c r="FC164">
        <f t="shared" si="3"/>
        <v>0</v>
      </c>
    </row>
    <row r="165" spans="1:159" ht="17.25" thickBot="1" x14ac:dyDescent="0.3">
      <c r="A165" s="226">
        <v>46008</v>
      </c>
      <c r="B165" s="227" t="s">
        <v>615</v>
      </c>
      <c r="C165" s="227" t="s">
        <v>573</v>
      </c>
      <c r="D165" s="228">
        <v>350</v>
      </c>
      <c r="E165" s="228">
        <v>13</v>
      </c>
      <c r="F165" s="231">
        <v>1770.4</v>
      </c>
      <c r="G165" s="231">
        <v>1823.3</v>
      </c>
      <c r="H165" s="228">
        <v>-52.9</v>
      </c>
      <c r="I165" s="229">
        <v>-2.9000000000000001E-2</v>
      </c>
      <c r="J165" s="231">
        <v>1765</v>
      </c>
      <c r="K165" s="231">
        <v>1820.5</v>
      </c>
      <c r="L165" s="228">
        <v>-55.5</v>
      </c>
      <c r="M165" s="229">
        <v>-3.0499999999999999E-2</v>
      </c>
      <c r="N165" s="231">
        <v>1770.4</v>
      </c>
      <c r="O165" s="231">
        <v>1823.3</v>
      </c>
      <c r="P165" s="228">
        <v>-52.9</v>
      </c>
      <c r="Q165" s="229">
        <v>-2.9000000000000001E-2</v>
      </c>
      <c r="R165" s="231">
        <v>1783.2</v>
      </c>
      <c r="S165" s="231">
        <v>1829.7</v>
      </c>
      <c r="T165" s="228">
        <v>-46.5</v>
      </c>
      <c r="U165" s="229">
        <v>-2.5399999999999999E-2</v>
      </c>
      <c r="V165" s="231">
        <v>1790.8</v>
      </c>
      <c r="W165" s="231">
        <v>1842</v>
      </c>
      <c r="X165" s="228">
        <v>-51.2</v>
      </c>
      <c r="Y165" s="229">
        <v>-2.7799999999999998E-2</v>
      </c>
      <c r="Z165" s="228">
        <v>5.4</v>
      </c>
      <c r="AA165" s="228">
        <v>2.8</v>
      </c>
      <c r="AB165" s="228">
        <v>2.6</v>
      </c>
      <c r="AC165" s="229">
        <v>3.0999999999999999E-3</v>
      </c>
      <c r="AD165" s="228">
        <v>5.4</v>
      </c>
      <c r="AE165" s="228">
        <v>2.8</v>
      </c>
      <c r="AF165" s="228">
        <v>2.6</v>
      </c>
      <c r="AG165" s="229">
        <v>3.0999999999999999E-3</v>
      </c>
      <c r="AH165" s="228">
        <v>18.2</v>
      </c>
      <c r="AI165" s="228">
        <v>9.1999999999999993</v>
      </c>
      <c r="AJ165" s="228">
        <v>9</v>
      </c>
      <c r="AK165" s="229">
        <v>1.03E-2</v>
      </c>
      <c r="AL165" s="228">
        <v>25.8</v>
      </c>
      <c r="AM165" s="228">
        <v>21.5</v>
      </c>
      <c r="AN165" s="228">
        <v>4.3</v>
      </c>
      <c r="AO165" s="229">
        <v>1.46E-2</v>
      </c>
      <c r="AP165" s="231">
        <v>1791.54</v>
      </c>
      <c r="AQ165" s="231">
        <v>1797.57</v>
      </c>
      <c r="AR165" s="228">
        <v>0</v>
      </c>
      <c r="AS165" s="228">
        <v>523</v>
      </c>
      <c r="AT165" s="228">
        <v>753</v>
      </c>
      <c r="AU165" s="228">
        <v>-229</v>
      </c>
      <c r="AV165" s="229">
        <v>-0.3049</v>
      </c>
      <c r="AW165" s="228">
        <v>461</v>
      </c>
      <c r="AX165" s="228">
        <v>691</v>
      </c>
      <c r="AY165" s="228">
        <v>-229</v>
      </c>
      <c r="AZ165" s="229">
        <v>-0.3322</v>
      </c>
      <c r="BA165" s="228">
        <v>60</v>
      </c>
      <c r="BB165" s="228">
        <v>60</v>
      </c>
      <c r="BC165" s="228">
        <v>0</v>
      </c>
      <c r="BD165" s="229">
        <v>7.3000000000000001E-3</v>
      </c>
      <c r="BE165" s="228">
        <v>2</v>
      </c>
      <c r="BF165" s="228">
        <v>2</v>
      </c>
      <c r="BG165" s="228">
        <v>0</v>
      </c>
      <c r="BH165" s="229">
        <v>-0.2162</v>
      </c>
      <c r="BI165" s="230">
        <v>1785</v>
      </c>
      <c r="BJ165" s="230">
        <v>2416</v>
      </c>
      <c r="BK165" s="228">
        <v>-631</v>
      </c>
      <c r="BL165" s="229">
        <v>-0.26119999999999999</v>
      </c>
      <c r="BM165" s="230">
        <v>1976</v>
      </c>
      <c r="BN165" s="230">
        <v>3235</v>
      </c>
      <c r="BO165" s="230">
        <v>-1259</v>
      </c>
      <c r="BP165" s="229">
        <v>-0.38929999999999998</v>
      </c>
      <c r="BQ165" s="230">
        <v>4284</v>
      </c>
      <c r="BR165" s="230">
        <v>6404</v>
      </c>
      <c r="BS165" s="230">
        <v>-2120</v>
      </c>
      <c r="BT165" s="229">
        <v>-0.33100000000000002</v>
      </c>
      <c r="BU165" s="230">
        <v>1929981</v>
      </c>
      <c r="BV165" s="230">
        <v>3084366</v>
      </c>
      <c r="BW165" s="230">
        <v>-1154385</v>
      </c>
      <c r="BX165" s="229">
        <v>-0.37430000000000002</v>
      </c>
      <c r="BY165" s="230">
        <v>1168</v>
      </c>
      <c r="BZ165" s="230">
        <v>1211</v>
      </c>
      <c r="CA165" s="228">
        <v>-43</v>
      </c>
      <c r="CB165" s="229">
        <v>-3.5299999999999998E-2</v>
      </c>
      <c r="CC165" s="230">
        <v>1077</v>
      </c>
      <c r="CD165" s="230">
        <v>1107</v>
      </c>
      <c r="CE165" s="228">
        <v>-30</v>
      </c>
      <c r="CF165" s="229">
        <v>-2.7199999999999998E-2</v>
      </c>
      <c r="CG165" s="228">
        <v>89</v>
      </c>
      <c r="CH165" s="228">
        <v>102</v>
      </c>
      <c r="CI165" s="228">
        <v>-13</v>
      </c>
      <c r="CJ165" s="229">
        <v>-0.128</v>
      </c>
      <c r="CK165" s="228">
        <v>3</v>
      </c>
      <c r="CL165" s="228">
        <v>3</v>
      </c>
      <c r="CM165" s="228">
        <v>0</v>
      </c>
      <c r="CN165" s="229">
        <v>0.13950000000000001</v>
      </c>
      <c r="CO165" s="228">
        <v>618</v>
      </c>
      <c r="CP165" s="228">
        <v>561</v>
      </c>
      <c r="CQ165" s="228">
        <v>56</v>
      </c>
      <c r="CR165" s="229">
        <v>0.10059999999999999</v>
      </c>
      <c r="CS165" s="228">
        <v>386</v>
      </c>
      <c r="CT165" s="228">
        <v>402</v>
      </c>
      <c r="CU165" s="228">
        <v>-16</v>
      </c>
      <c r="CV165" s="229">
        <v>-4.0800000000000003E-2</v>
      </c>
      <c r="CW165" s="230">
        <v>2172</v>
      </c>
      <c r="CX165" s="230">
        <v>2174</v>
      </c>
      <c r="CY165" s="228">
        <v>-3</v>
      </c>
      <c r="CZ165" s="229">
        <v>-1.1999999999999999E-3</v>
      </c>
      <c r="DA165" s="228">
        <v>32.68</v>
      </c>
      <c r="DB165" s="228">
        <v>33.869999999999997</v>
      </c>
      <c r="DC165" s="228">
        <v>-1.19</v>
      </c>
      <c r="DD165" s="228">
        <v>-1.19</v>
      </c>
      <c r="DE165" s="228">
        <v>46.9</v>
      </c>
      <c r="DF165" s="228">
        <v>46.83</v>
      </c>
      <c r="DG165" s="228">
        <v>-14.22</v>
      </c>
      <c r="DH165" s="228">
        <v>7.0000000000000007E-2</v>
      </c>
      <c r="DI165" s="228">
        <v>33.35</v>
      </c>
      <c r="DJ165" s="228">
        <v>33.299999999999997</v>
      </c>
      <c r="DK165" s="228">
        <v>0.05</v>
      </c>
      <c r="DL165" s="228">
        <v>0.05</v>
      </c>
      <c r="DM165" s="228">
        <v>32.07</v>
      </c>
      <c r="DN165" s="228">
        <v>34.29</v>
      </c>
      <c r="DO165" s="228">
        <v>-2.2200000000000002</v>
      </c>
      <c r="DP165" s="228">
        <v>-2.2200000000000002</v>
      </c>
      <c r="DQ165" s="228">
        <v>0.62</v>
      </c>
      <c r="DR165" s="228">
        <v>0.72</v>
      </c>
      <c r="DS165" s="228">
        <v>-0.1</v>
      </c>
      <c r="DT165" s="229">
        <v>-0.1389</v>
      </c>
      <c r="DU165" s="231">
        <v>1900</v>
      </c>
      <c r="DV165" s="231">
        <v>1700</v>
      </c>
      <c r="DW165" s="228">
        <v>1.1100000000000001</v>
      </c>
      <c r="DX165" s="228">
        <v>1.34</v>
      </c>
      <c r="DY165" s="228">
        <v>-0.23</v>
      </c>
      <c r="DZ165" s="229">
        <v>-0.1716</v>
      </c>
      <c r="EA165" s="229">
        <v>7.8399999999999997E-2</v>
      </c>
      <c r="EB165" s="230">
        <v>589050</v>
      </c>
      <c r="EC165" s="229">
        <v>7.1999999999999998E-3</v>
      </c>
      <c r="ED165" s="229">
        <v>7.8399999999999997E-2</v>
      </c>
      <c r="EE165" s="228">
        <v>6.03</v>
      </c>
      <c r="EF165" s="229">
        <v>3.3999999999999998E-3</v>
      </c>
      <c r="EG165" s="230">
        <v>848570</v>
      </c>
      <c r="EH165" s="230">
        <v>1332290</v>
      </c>
      <c r="EI165" s="229">
        <v>-0.36309999999999998</v>
      </c>
      <c r="EJ165" s="229">
        <v>0.43969999999999998</v>
      </c>
      <c r="EK165" s="231">
        <v>1919.81</v>
      </c>
      <c r="EL165" s="231">
        <v>1991.94</v>
      </c>
      <c r="EM165" s="228">
        <v>529.63</v>
      </c>
      <c r="EN165" s="228">
        <v>61</v>
      </c>
      <c r="EO165" s="231">
        <v>4441.38</v>
      </c>
      <c r="EP165" s="231">
        <v>6758.15</v>
      </c>
      <c r="EQ165" s="231">
        <v>-2316.77</v>
      </c>
      <c r="ER165" s="229">
        <v>-0.34279999999999999</v>
      </c>
      <c r="ES165" s="228">
        <v>672.32</v>
      </c>
      <c r="ET165" s="228">
        <v>382.7</v>
      </c>
      <c r="EU165" s="231">
        <v>1168.94</v>
      </c>
      <c r="EV165" s="231">
        <v>51720057</v>
      </c>
      <c r="EW165" s="231">
        <v>2223.96</v>
      </c>
      <c r="EX165" s="231">
        <v>2268.12</v>
      </c>
      <c r="EY165" s="228">
        <v>-44.16</v>
      </c>
      <c r="EZ165" s="229">
        <v>-1.95E-2</v>
      </c>
      <c r="FA165" s="229">
        <v>0.23719999999999999</v>
      </c>
      <c r="FB165" s="227" t="s">
        <v>568</v>
      </c>
      <c r="FC165">
        <f t="shared" si="3"/>
        <v>0</v>
      </c>
    </row>
    <row r="166" spans="1:159" ht="17.25" thickBot="1" x14ac:dyDescent="0.3">
      <c r="A166" s="226">
        <v>46008</v>
      </c>
      <c r="B166" s="227" t="s">
        <v>184</v>
      </c>
      <c r="C166" s="227" t="s">
        <v>519</v>
      </c>
      <c r="D166" s="228">
        <v>125</v>
      </c>
      <c r="E166" s="228">
        <v>13</v>
      </c>
      <c r="F166" s="231">
        <v>7103</v>
      </c>
      <c r="G166" s="231">
        <v>7367</v>
      </c>
      <c r="H166" s="228">
        <v>-264</v>
      </c>
      <c r="I166" s="229">
        <v>-3.5799999999999998E-2</v>
      </c>
      <c r="J166" s="231">
        <v>7079.5</v>
      </c>
      <c r="K166" s="231">
        <v>7361.5</v>
      </c>
      <c r="L166" s="228">
        <v>-282</v>
      </c>
      <c r="M166" s="229">
        <v>-3.8300000000000001E-2</v>
      </c>
      <c r="N166" s="231">
        <v>7103</v>
      </c>
      <c r="O166" s="231">
        <v>7367</v>
      </c>
      <c r="P166" s="228">
        <v>-264</v>
      </c>
      <c r="Q166" s="229">
        <v>-3.5799999999999998E-2</v>
      </c>
      <c r="R166" s="231">
        <v>7139</v>
      </c>
      <c r="S166" s="231">
        <v>7403</v>
      </c>
      <c r="T166" s="228">
        <v>-264</v>
      </c>
      <c r="U166" s="229">
        <v>-3.5700000000000003E-2</v>
      </c>
      <c r="V166" s="231">
        <v>7188.5</v>
      </c>
      <c r="W166" s="231">
        <v>7449</v>
      </c>
      <c r="X166" s="228">
        <v>-260.5</v>
      </c>
      <c r="Y166" s="229">
        <v>-3.5000000000000003E-2</v>
      </c>
      <c r="Z166" s="228">
        <v>23.5</v>
      </c>
      <c r="AA166" s="228">
        <v>5.5</v>
      </c>
      <c r="AB166" s="228">
        <v>18</v>
      </c>
      <c r="AC166" s="229">
        <v>3.3E-3</v>
      </c>
      <c r="AD166" s="228">
        <v>23.5</v>
      </c>
      <c r="AE166" s="228">
        <v>5.5</v>
      </c>
      <c r="AF166" s="228">
        <v>18</v>
      </c>
      <c r="AG166" s="229">
        <v>3.3E-3</v>
      </c>
      <c r="AH166" s="228">
        <v>59.5</v>
      </c>
      <c r="AI166" s="228">
        <v>41.5</v>
      </c>
      <c r="AJ166" s="228">
        <v>18</v>
      </c>
      <c r="AK166" s="229">
        <v>8.3999999999999995E-3</v>
      </c>
      <c r="AL166" s="228">
        <v>109</v>
      </c>
      <c r="AM166" s="228">
        <v>87.5</v>
      </c>
      <c r="AN166" s="228">
        <v>21.5</v>
      </c>
      <c r="AO166" s="229">
        <v>1.54E-2</v>
      </c>
      <c r="AP166" s="231">
        <v>7119.27</v>
      </c>
      <c r="AQ166" s="231">
        <v>7163.12</v>
      </c>
      <c r="AR166" s="228">
        <v>0</v>
      </c>
      <c r="AS166" s="228">
        <v>817</v>
      </c>
      <c r="AT166" s="228">
        <v>269</v>
      </c>
      <c r="AU166" s="228">
        <v>548</v>
      </c>
      <c r="AV166" s="229">
        <v>2.0356000000000001</v>
      </c>
      <c r="AW166" s="228">
        <v>706</v>
      </c>
      <c r="AX166" s="228">
        <v>242</v>
      </c>
      <c r="AY166" s="228">
        <v>464</v>
      </c>
      <c r="AZ166" s="229">
        <v>1.9175</v>
      </c>
      <c r="BA166" s="228">
        <v>105</v>
      </c>
      <c r="BB166" s="228">
        <v>24</v>
      </c>
      <c r="BC166" s="228">
        <v>81</v>
      </c>
      <c r="BD166" s="229">
        <v>3.3529</v>
      </c>
      <c r="BE166" s="228">
        <v>5</v>
      </c>
      <c r="BF166" s="228">
        <v>3</v>
      </c>
      <c r="BG166" s="228">
        <v>3</v>
      </c>
      <c r="BH166" s="229">
        <v>0.90629999999999999</v>
      </c>
      <c r="BI166" s="230">
        <v>3228</v>
      </c>
      <c r="BJ166" s="228">
        <v>605</v>
      </c>
      <c r="BK166" s="230">
        <v>2624</v>
      </c>
      <c r="BL166" s="229">
        <v>4.3400999999999996</v>
      </c>
      <c r="BM166" s="230">
        <v>3905</v>
      </c>
      <c r="BN166" s="228">
        <v>263</v>
      </c>
      <c r="BO166" s="230">
        <v>3642</v>
      </c>
      <c r="BP166" s="229">
        <v>13.8391</v>
      </c>
      <c r="BQ166" s="230">
        <v>7950</v>
      </c>
      <c r="BR166" s="230">
        <v>1137</v>
      </c>
      <c r="BS166" s="230">
        <v>6813</v>
      </c>
      <c r="BT166" s="229">
        <v>5.9938000000000002</v>
      </c>
      <c r="BU166" s="230">
        <v>1980056</v>
      </c>
      <c r="BV166" s="230">
        <v>270996</v>
      </c>
      <c r="BW166" s="230">
        <v>1709060</v>
      </c>
      <c r="BX166" s="229">
        <v>6.3066000000000004</v>
      </c>
      <c r="BY166" s="230">
        <v>1583</v>
      </c>
      <c r="BZ166" s="230">
        <v>1346</v>
      </c>
      <c r="CA166" s="228">
        <v>237</v>
      </c>
      <c r="CB166" s="229">
        <v>0.1759</v>
      </c>
      <c r="CC166" s="230">
        <v>1467</v>
      </c>
      <c r="CD166" s="230">
        <v>1268</v>
      </c>
      <c r="CE166" s="228">
        <v>198</v>
      </c>
      <c r="CF166" s="229">
        <v>0.15640000000000001</v>
      </c>
      <c r="CG166" s="228">
        <v>109</v>
      </c>
      <c r="CH166" s="228">
        <v>70</v>
      </c>
      <c r="CI166" s="228">
        <v>38</v>
      </c>
      <c r="CJ166" s="229">
        <v>0.5474</v>
      </c>
      <c r="CK166" s="228">
        <v>8</v>
      </c>
      <c r="CL166" s="228">
        <v>8</v>
      </c>
      <c r="CM166" s="228">
        <v>0</v>
      </c>
      <c r="CN166" s="229">
        <v>0</v>
      </c>
      <c r="CO166" s="228">
        <v>767</v>
      </c>
      <c r="CP166" s="228">
        <v>547</v>
      </c>
      <c r="CQ166" s="228">
        <v>220</v>
      </c>
      <c r="CR166" s="229">
        <v>0.40250000000000002</v>
      </c>
      <c r="CS166" s="228">
        <v>503</v>
      </c>
      <c r="CT166" s="228">
        <v>369</v>
      </c>
      <c r="CU166" s="228">
        <v>134</v>
      </c>
      <c r="CV166" s="229">
        <v>0.36249999999999999</v>
      </c>
      <c r="CW166" s="230">
        <v>2852</v>
      </c>
      <c r="CX166" s="230">
        <v>2262</v>
      </c>
      <c r="CY166" s="228">
        <v>591</v>
      </c>
      <c r="CZ166" s="229">
        <v>0.2611</v>
      </c>
      <c r="DA166" s="228">
        <v>26.06</v>
      </c>
      <c r="DB166" s="228">
        <v>24.03</v>
      </c>
      <c r="DC166" s="228">
        <v>2.0299999999999998</v>
      </c>
      <c r="DD166" s="228">
        <v>2.0299999999999998</v>
      </c>
      <c r="DE166" s="228">
        <v>38.79</v>
      </c>
      <c r="DF166" s="228">
        <v>38.520000000000003</v>
      </c>
      <c r="DG166" s="228">
        <v>-12.73</v>
      </c>
      <c r="DH166" s="228">
        <v>0.27</v>
      </c>
      <c r="DI166" s="228">
        <v>25.81</v>
      </c>
      <c r="DJ166" s="228">
        <v>23.91</v>
      </c>
      <c r="DK166" s="228">
        <v>1.9</v>
      </c>
      <c r="DL166" s="228">
        <v>1.9</v>
      </c>
      <c r="DM166" s="228">
        <v>26.27</v>
      </c>
      <c r="DN166" s="228">
        <v>24.31</v>
      </c>
      <c r="DO166" s="228">
        <v>1.96</v>
      </c>
      <c r="DP166" s="228">
        <v>1.96</v>
      </c>
      <c r="DQ166" s="228">
        <v>0.66</v>
      </c>
      <c r="DR166" s="228">
        <v>0.67</v>
      </c>
      <c r="DS166" s="228">
        <v>-0.01</v>
      </c>
      <c r="DT166" s="229">
        <v>-1.49E-2</v>
      </c>
      <c r="DU166" s="231">
        <v>7500</v>
      </c>
      <c r="DV166" s="231">
        <v>7000</v>
      </c>
      <c r="DW166" s="228">
        <v>1.21</v>
      </c>
      <c r="DX166" s="228">
        <v>0.44</v>
      </c>
      <c r="DY166" s="228">
        <v>0.77</v>
      </c>
      <c r="DZ166" s="229">
        <v>1.75</v>
      </c>
      <c r="EA166" s="229">
        <v>7.3499999999999996E-2</v>
      </c>
      <c r="EB166" s="230">
        <v>109625</v>
      </c>
      <c r="EC166" s="229">
        <v>5.1000000000000004E-3</v>
      </c>
      <c r="ED166" s="229">
        <v>7.3499999999999996E-2</v>
      </c>
      <c r="EE166" s="228">
        <v>43.85</v>
      </c>
      <c r="EF166" s="229">
        <v>6.1999999999999998E-3</v>
      </c>
      <c r="EG166" s="230">
        <v>1072835</v>
      </c>
      <c r="EH166" s="230">
        <v>172886</v>
      </c>
      <c r="EI166" s="229">
        <v>5.2054</v>
      </c>
      <c r="EJ166" s="229">
        <v>0.54179999999999995</v>
      </c>
      <c r="EK166" s="231">
        <v>3388.75</v>
      </c>
      <c r="EL166" s="231">
        <v>3857.68</v>
      </c>
      <c r="EM166" s="228">
        <v>819.25</v>
      </c>
      <c r="EN166" s="228">
        <v>29.3</v>
      </c>
      <c r="EO166" s="231">
        <v>8065.68</v>
      </c>
      <c r="EP166" s="231">
        <v>1201.06</v>
      </c>
      <c r="EQ166" s="231">
        <v>6864.62</v>
      </c>
      <c r="ER166" s="229">
        <v>5.7154999999999996</v>
      </c>
      <c r="ES166" s="228">
        <v>808.3</v>
      </c>
      <c r="ET166" s="228">
        <v>493.83</v>
      </c>
      <c r="EU166" s="231">
        <v>1583.72</v>
      </c>
      <c r="EV166" s="231">
        <v>8350688</v>
      </c>
      <c r="EW166" s="231">
        <v>2885.85</v>
      </c>
      <c r="EX166" s="231">
        <v>2353.3200000000002</v>
      </c>
      <c r="EY166" s="228">
        <v>532.53</v>
      </c>
      <c r="EZ166" s="229">
        <v>0.2263</v>
      </c>
      <c r="FA166" s="229">
        <v>0.48089999999999999</v>
      </c>
      <c r="FB166" s="227" t="s">
        <v>567</v>
      </c>
      <c r="FC166">
        <f t="shared" si="3"/>
        <v>0</v>
      </c>
    </row>
    <row r="167" spans="1:159" ht="17.25" thickBot="1" x14ac:dyDescent="0.3">
      <c r="A167" s="226">
        <v>46008</v>
      </c>
      <c r="B167" s="227" t="s">
        <v>161</v>
      </c>
      <c r="C167" s="227" t="s">
        <v>276</v>
      </c>
      <c r="D167" s="228">
        <v>1900</v>
      </c>
      <c r="E167" s="228">
        <v>13</v>
      </c>
      <c r="F167" s="228">
        <v>261.89999999999998</v>
      </c>
      <c r="G167" s="228">
        <v>261.39999999999998</v>
      </c>
      <c r="H167" s="228">
        <v>0.5</v>
      </c>
      <c r="I167" s="229">
        <v>1.9E-3</v>
      </c>
      <c r="J167" s="228">
        <v>261.10000000000002</v>
      </c>
      <c r="K167" s="228">
        <v>260.35000000000002</v>
      </c>
      <c r="L167" s="228">
        <v>0.75</v>
      </c>
      <c r="M167" s="229">
        <v>2.8999999999999998E-3</v>
      </c>
      <c r="N167" s="228">
        <v>261.89999999999998</v>
      </c>
      <c r="O167" s="228">
        <v>261.39999999999998</v>
      </c>
      <c r="P167" s="228">
        <v>0.5</v>
      </c>
      <c r="Q167" s="229">
        <v>1.9E-3</v>
      </c>
      <c r="R167" s="228">
        <v>263.45</v>
      </c>
      <c r="S167" s="228">
        <v>262.64999999999998</v>
      </c>
      <c r="T167" s="228">
        <v>0.8</v>
      </c>
      <c r="U167" s="229">
        <v>3.0000000000000001E-3</v>
      </c>
      <c r="V167" s="228">
        <v>262.39999999999998</v>
      </c>
      <c r="W167" s="228">
        <v>261.7</v>
      </c>
      <c r="X167" s="228">
        <v>0.7</v>
      </c>
      <c r="Y167" s="229">
        <v>2.7000000000000001E-3</v>
      </c>
      <c r="Z167" s="228">
        <v>0.8</v>
      </c>
      <c r="AA167" s="228">
        <v>1.05</v>
      </c>
      <c r="AB167" s="228">
        <v>-0.25</v>
      </c>
      <c r="AC167" s="229">
        <v>3.0999999999999999E-3</v>
      </c>
      <c r="AD167" s="228">
        <v>0.8</v>
      </c>
      <c r="AE167" s="228">
        <v>1.05</v>
      </c>
      <c r="AF167" s="228">
        <v>-0.25</v>
      </c>
      <c r="AG167" s="229">
        <v>3.0999999999999999E-3</v>
      </c>
      <c r="AH167" s="228">
        <v>2.35</v>
      </c>
      <c r="AI167" s="228">
        <v>2.2999999999999998</v>
      </c>
      <c r="AJ167" s="228">
        <v>0.05</v>
      </c>
      <c r="AK167" s="229">
        <v>8.9999999999999993E-3</v>
      </c>
      <c r="AL167" s="228">
        <v>1.3</v>
      </c>
      <c r="AM167" s="228">
        <v>1.35</v>
      </c>
      <c r="AN167" s="228">
        <v>-0.05</v>
      </c>
      <c r="AO167" s="229">
        <v>5.0000000000000001E-3</v>
      </c>
      <c r="AP167" s="228">
        <v>262.16000000000003</v>
      </c>
      <c r="AQ167" s="228">
        <v>263.75</v>
      </c>
      <c r="AR167" s="228">
        <v>0</v>
      </c>
      <c r="AS167" s="228">
        <v>194</v>
      </c>
      <c r="AT167" s="228">
        <v>227</v>
      </c>
      <c r="AU167" s="228">
        <v>-33</v>
      </c>
      <c r="AV167" s="229">
        <v>-0.1449</v>
      </c>
      <c r="AW167" s="228">
        <v>167</v>
      </c>
      <c r="AX167" s="228">
        <v>177</v>
      </c>
      <c r="AY167" s="228">
        <v>-10</v>
      </c>
      <c r="AZ167" s="229">
        <v>-5.4899999999999997E-2</v>
      </c>
      <c r="BA167" s="228">
        <v>25</v>
      </c>
      <c r="BB167" s="228">
        <v>48</v>
      </c>
      <c r="BC167" s="228">
        <v>-23</v>
      </c>
      <c r="BD167" s="229">
        <v>-0.47939999999999999</v>
      </c>
      <c r="BE167" s="228">
        <v>2</v>
      </c>
      <c r="BF167" s="228">
        <v>2</v>
      </c>
      <c r="BG167" s="228">
        <v>0</v>
      </c>
      <c r="BH167" s="229">
        <v>-2.1700000000000001E-2</v>
      </c>
      <c r="BI167" s="228">
        <v>417</v>
      </c>
      <c r="BJ167" s="228">
        <v>466</v>
      </c>
      <c r="BK167" s="228">
        <v>-49</v>
      </c>
      <c r="BL167" s="229">
        <v>-0.1051</v>
      </c>
      <c r="BM167" s="228">
        <v>144</v>
      </c>
      <c r="BN167" s="228">
        <v>138</v>
      </c>
      <c r="BO167" s="228">
        <v>6</v>
      </c>
      <c r="BP167" s="229">
        <v>4.7E-2</v>
      </c>
      <c r="BQ167" s="228">
        <v>755</v>
      </c>
      <c r="BR167" s="228">
        <v>831</v>
      </c>
      <c r="BS167" s="228">
        <v>-75</v>
      </c>
      <c r="BT167" s="229">
        <v>-9.0800000000000006E-2</v>
      </c>
      <c r="BU167" s="230">
        <v>11180427</v>
      </c>
      <c r="BV167" s="230">
        <v>9665636</v>
      </c>
      <c r="BW167" s="230">
        <v>1514791</v>
      </c>
      <c r="BX167" s="229">
        <v>0.15670000000000001</v>
      </c>
      <c r="BY167" s="230">
        <v>2170</v>
      </c>
      <c r="BZ167" s="230">
        <v>2126</v>
      </c>
      <c r="CA167" s="228">
        <v>44</v>
      </c>
      <c r="CB167" s="229">
        <v>2.07E-2</v>
      </c>
      <c r="CC167" s="230">
        <v>1926</v>
      </c>
      <c r="CD167" s="230">
        <v>1898</v>
      </c>
      <c r="CE167" s="228">
        <v>28</v>
      </c>
      <c r="CF167" s="229">
        <v>1.4999999999999999E-2</v>
      </c>
      <c r="CG167" s="228">
        <v>220</v>
      </c>
      <c r="CH167" s="228">
        <v>206</v>
      </c>
      <c r="CI167" s="228">
        <v>15</v>
      </c>
      <c r="CJ167" s="229">
        <v>7.2099999999999997E-2</v>
      </c>
      <c r="CK167" s="228">
        <v>24</v>
      </c>
      <c r="CL167" s="228">
        <v>23</v>
      </c>
      <c r="CM167" s="228">
        <v>1</v>
      </c>
      <c r="CN167" s="229">
        <v>3.2800000000000003E-2</v>
      </c>
      <c r="CO167" s="228">
        <v>910</v>
      </c>
      <c r="CP167" s="228">
        <v>928</v>
      </c>
      <c r="CQ167" s="228">
        <v>-18</v>
      </c>
      <c r="CR167" s="229">
        <v>-1.9400000000000001E-2</v>
      </c>
      <c r="CS167" s="228">
        <v>552</v>
      </c>
      <c r="CT167" s="228">
        <v>553</v>
      </c>
      <c r="CU167" s="228">
        <v>-1</v>
      </c>
      <c r="CV167" s="229">
        <v>-2.3999999999999998E-3</v>
      </c>
      <c r="CW167" s="230">
        <v>3632</v>
      </c>
      <c r="CX167" s="230">
        <v>3607</v>
      </c>
      <c r="CY167" s="228">
        <v>25</v>
      </c>
      <c r="CZ167" s="229">
        <v>6.7999999999999996E-3</v>
      </c>
      <c r="DA167" s="228">
        <v>17.27</v>
      </c>
      <c r="DB167" s="228">
        <v>18.100000000000001</v>
      </c>
      <c r="DC167" s="228">
        <v>-0.83</v>
      </c>
      <c r="DD167" s="228">
        <v>-0.83</v>
      </c>
      <c r="DE167" s="228">
        <v>27.77</v>
      </c>
      <c r="DF167" s="228">
        <v>27.83</v>
      </c>
      <c r="DG167" s="228">
        <v>-10.5</v>
      </c>
      <c r="DH167" s="228">
        <v>-0.06</v>
      </c>
      <c r="DI167" s="228">
        <v>17.45</v>
      </c>
      <c r="DJ167" s="228">
        <v>18.23</v>
      </c>
      <c r="DK167" s="228">
        <v>-0.78</v>
      </c>
      <c r="DL167" s="228">
        <v>-0.78</v>
      </c>
      <c r="DM167" s="228">
        <v>16.72</v>
      </c>
      <c r="DN167" s="228">
        <v>17.649999999999999</v>
      </c>
      <c r="DO167" s="228">
        <v>-0.93</v>
      </c>
      <c r="DP167" s="228">
        <v>-0.93</v>
      </c>
      <c r="DQ167" s="228">
        <v>0.61</v>
      </c>
      <c r="DR167" s="228">
        <v>0.6</v>
      </c>
      <c r="DS167" s="228">
        <v>0.01</v>
      </c>
      <c r="DT167" s="229">
        <v>1.67E-2</v>
      </c>
      <c r="DU167" s="228">
        <v>280</v>
      </c>
      <c r="DV167" s="228">
        <v>260</v>
      </c>
      <c r="DW167" s="228">
        <v>0.35</v>
      </c>
      <c r="DX167" s="228">
        <v>0.3</v>
      </c>
      <c r="DY167" s="228">
        <v>0.05</v>
      </c>
      <c r="DZ167" s="229">
        <v>0.16669999999999999</v>
      </c>
      <c r="EA167" s="229">
        <v>0.1124</v>
      </c>
      <c r="EB167" s="230">
        <v>8721000</v>
      </c>
      <c r="EC167" s="229">
        <v>5.8999999999999999E-3</v>
      </c>
      <c r="ED167" s="229">
        <v>0.1124</v>
      </c>
      <c r="EE167" s="228">
        <v>1.59</v>
      </c>
      <c r="EF167" s="229">
        <v>6.1000000000000004E-3</v>
      </c>
      <c r="EG167" s="230">
        <v>8722909</v>
      </c>
      <c r="EH167" s="230">
        <v>6316898</v>
      </c>
      <c r="EI167" s="229">
        <v>0.38090000000000002</v>
      </c>
      <c r="EJ167" s="229">
        <v>0.7802</v>
      </c>
      <c r="EK167" s="228">
        <v>430.09</v>
      </c>
      <c r="EL167" s="228">
        <v>144.41</v>
      </c>
      <c r="EM167" s="228">
        <v>194.71</v>
      </c>
      <c r="EN167" s="228">
        <v>37.01</v>
      </c>
      <c r="EO167" s="228">
        <v>769.21</v>
      </c>
      <c r="EP167" s="228">
        <v>848.81</v>
      </c>
      <c r="EQ167" s="228">
        <v>-79.599999999999994</v>
      </c>
      <c r="ER167" s="229">
        <v>-9.3799999999999994E-2</v>
      </c>
      <c r="ES167" s="228">
        <v>978.22</v>
      </c>
      <c r="ET167" s="228">
        <v>569.59</v>
      </c>
      <c r="EU167" s="231">
        <v>2171.48</v>
      </c>
      <c r="EV167" s="231">
        <v>488832949</v>
      </c>
      <c r="EW167" s="231">
        <v>3719.29</v>
      </c>
      <c r="EX167" s="231">
        <v>3691.62</v>
      </c>
      <c r="EY167" s="228">
        <v>27.67</v>
      </c>
      <c r="EZ167" s="229">
        <v>7.4999999999999997E-3</v>
      </c>
      <c r="FA167" s="229">
        <v>0.28370000000000001</v>
      </c>
      <c r="FB167" s="227" t="s">
        <v>555</v>
      </c>
      <c r="FC167">
        <f t="shared" si="3"/>
        <v>0</v>
      </c>
    </row>
    <row r="168" spans="1:159" ht="17.25" thickBot="1" x14ac:dyDescent="0.3">
      <c r="A168" s="226">
        <v>46008</v>
      </c>
      <c r="B168" s="227" t="s">
        <v>184</v>
      </c>
      <c r="C168" s="227" t="s">
        <v>688</v>
      </c>
      <c r="D168" s="228">
        <v>50</v>
      </c>
      <c r="E168" s="228">
        <v>13</v>
      </c>
      <c r="F168" s="231">
        <v>19215</v>
      </c>
      <c r="G168" s="231">
        <v>19340</v>
      </c>
      <c r="H168" s="228">
        <v>-125</v>
      </c>
      <c r="I168" s="229">
        <v>-6.4999999999999997E-3</v>
      </c>
      <c r="J168" s="231">
        <v>19150</v>
      </c>
      <c r="K168" s="231">
        <v>19320</v>
      </c>
      <c r="L168" s="228">
        <v>-170</v>
      </c>
      <c r="M168" s="229">
        <v>-8.8000000000000005E-3</v>
      </c>
      <c r="N168" s="231">
        <v>19215</v>
      </c>
      <c r="O168" s="231">
        <v>19340</v>
      </c>
      <c r="P168" s="228">
        <v>-125</v>
      </c>
      <c r="Q168" s="229">
        <v>-6.4999999999999997E-3</v>
      </c>
      <c r="R168" s="231">
        <v>19290</v>
      </c>
      <c r="S168" s="231">
        <v>19425</v>
      </c>
      <c r="T168" s="228">
        <v>-135</v>
      </c>
      <c r="U168" s="229">
        <v>-6.8999999999999999E-3</v>
      </c>
      <c r="V168" s="231">
        <v>19365</v>
      </c>
      <c r="W168" s="231">
        <v>19650</v>
      </c>
      <c r="X168" s="228">
        <v>-285</v>
      </c>
      <c r="Y168" s="229">
        <v>-1.4500000000000001E-2</v>
      </c>
      <c r="Z168" s="228">
        <v>65</v>
      </c>
      <c r="AA168" s="228">
        <v>20</v>
      </c>
      <c r="AB168" s="228">
        <v>45</v>
      </c>
      <c r="AC168" s="229">
        <v>3.3999999999999998E-3</v>
      </c>
      <c r="AD168" s="228">
        <v>65</v>
      </c>
      <c r="AE168" s="228">
        <v>20</v>
      </c>
      <c r="AF168" s="228">
        <v>45</v>
      </c>
      <c r="AG168" s="229">
        <v>3.3999999999999998E-3</v>
      </c>
      <c r="AH168" s="228">
        <v>140</v>
      </c>
      <c r="AI168" s="228">
        <v>105</v>
      </c>
      <c r="AJ168" s="228">
        <v>35</v>
      </c>
      <c r="AK168" s="229">
        <v>7.3000000000000001E-3</v>
      </c>
      <c r="AL168" s="228">
        <v>215</v>
      </c>
      <c r="AM168" s="228">
        <v>330</v>
      </c>
      <c r="AN168" s="228">
        <v>-115</v>
      </c>
      <c r="AO168" s="229">
        <v>1.12E-2</v>
      </c>
      <c r="AP168" s="231">
        <v>19343.509999999998</v>
      </c>
      <c r="AQ168" s="231">
        <v>19413.240000000002</v>
      </c>
      <c r="AR168" s="228">
        <v>0</v>
      </c>
      <c r="AS168" s="228">
        <v>126</v>
      </c>
      <c r="AT168" s="228">
        <v>82</v>
      </c>
      <c r="AU168" s="228">
        <v>44</v>
      </c>
      <c r="AV168" s="229">
        <v>0.54290000000000005</v>
      </c>
      <c r="AW168" s="228">
        <v>112</v>
      </c>
      <c r="AX168" s="228">
        <v>76</v>
      </c>
      <c r="AY168" s="228">
        <v>36</v>
      </c>
      <c r="AZ168" s="229">
        <v>0.47149999999999997</v>
      </c>
      <c r="BA168" s="228">
        <v>14</v>
      </c>
      <c r="BB168" s="228">
        <v>6</v>
      </c>
      <c r="BC168" s="228">
        <v>8</v>
      </c>
      <c r="BD168" s="229">
        <v>1.3871</v>
      </c>
      <c r="BE168" s="228">
        <v>0</v>
      </c>
      <c r="BF168" s="228">
        <v>0</v>
      </c>
      <c r="BG168" s="228">
        <v>0</v>
      </c>
      <c r="BH168" s="229">
        <v>0</v>
      </c>
      <c r="BI168" s="228">
        <v>824</v>
      </c>
      <c r="BJ168" s="228">
        <v>443</v>
      </c>
      <c r="BK168" s="228">
        <v>381</v>
      </c>
      <c r="BL168" s="229">
        <v>0.86060000000000003</v>
      </c>
      <c r="BM168" s="228">
        <v>229</v>
      </c>
      <c r="BN168" s="228">
        <v>164</v>
      </c>
      <c r="BO168" s="228">
        <v>64</v>
      </c>
      <c r="BP168" s="229">
        <v>0.3896</v>
      </c>
      <c r="BQ168" s="230">
        <v>1178</v>
      </c>
      <c r="BR168" s="228">
        <v>689</v>
      </c>
      <c r="BS168" s="228">
        <v>489</v>
      </c>
      <c r="BT168" s="229">
        <v>0.71050000000000002</v>
      </c>
      <c r="BU168" s="230">
        <v>76919</v>
      </c>
      <c r="BV168" s="230">
        <v>56238</v>
      </c>
      <c r="BW168" s="230">
        <v>20681</v>
      </c>
      <c r="BX168" s="229">
        <v>0.36770000000000003</v>
      </c>
      <c r="BY168" s="228">
        <v>516</v>
      </c>
      <c r="BZ168" s="228">
        <v>536</v>
      </c>
      <c r="CA168" s="228">
        <v>-21</v>
      </c>
      <c r="CB168" s="229">
        <v>-3.85E-2</v>
      </c>
      <c r="CC168" s="228">
        <v>488</v>
      </c>
      <c r="CD168" s="228">
        <v>507</v>
      </c>
      <c r="CE168" s="228">
        <v>-19</v>
      </c>
      <c r="CF168" s="229">
        <v>-3.7699999999999997E-2</v>
      </c>
      <c r="CG168" s="228">
        <v>25</v>
      </c>
      <c r="CH168" s="228">
        <v>27</v>
      </c>
      <c r="CI168" s="228">
        <v>-2</v>
      </c>
      <c r="CJ168" s="229">
        <v>-6.5199999999999994E-2</v>
      </c>
      <c r="CK168" s="228">
        <v>2</v>
      </c>
      <c r="CL168" s="228">
        <v>2</v>
      </c>
      <c r="CM168" s="228">
        <v>0</v>
      </c>
      <c r="CN168" s="229">
        <v>8.3299999999999999E-2</v>
      </c>
      <c r="CO168" s="230">
        <v>1003</v>
      </c>
      <c r="CP168" s="230">
        <v>1058</v>
      </c>
      <c r="CQ168" s="228">
        <v>-54</v>
      </c>
      <c r="CR168" s="229">
        <v>-5.1499999999999997E-2</v>
      </c>
      <c r="CS168" s="228">
        <v>381</v>
      </c>
      <c r="CT168" s="228">
        <v>395</v>
      </c>
      <c r="CU168" s="228">
        <v>-15</v>
      </c>
      <c r="CV168" s="229">
        <v>-3.6700000000000003E-2</v>
      </c>
      <c r="CW168" s="230">
        <v>1900</v>
      </c>
      <c r="CX168" s="230">
        <v>1990</v>
      </c>
      <c r="CY168" s="228">
        <v>-90</v>
      </c>
      <c r="CZ168" s="229">
        <v>-4.5100000000000001E-2</v>
      </c>
      <c r="DA168" s="228">
        <v>35.520000000000003</v>
      </c>
      <c r="DB168" s="228">
        <v>35.43</v>
      </c>
      <c r="DC168" s="228">
        <v>0.09</v>
      </c>
      <c r="DD168" s="228">
        <v>0.09</v>
      </c>
      <c r="DE168" s="228">
        <v>58.22</v>
      </c>
      <c r="DF168" s="228">
        <v>58.35</v>
      </c>
      <c r="DG168" s="228">
        <v>-22.7</v>
      </c>
      <c r="DH168" s="228">
        <v>-0.13</v>
      </c>
      <c r="DI168" s="228">
        <v>36.67</v>
      </c>
      <c r="DJ168" s="228">
        <v>36.61</v>
      </c>
      <c r="DK168" s="228">
        <v>0.06</v>
      </c>
      <c r="DL168" s="228">
        <v>0.06</v>
      </c>
      <c r="DM168" s="228">
        <v>31.36</v>
      </c>
      <c r="DN168" s="228">
        <v>32.26</v>
      </c>
      <c r="DO168" s="228">
        <v>-0.9</v>
      </c>
      <c r="DP168" s="228">
        <v>-0.9</v>
      </c>
      <c r="DQ168" s="228">
        <v>0.38</v>
      </c>
      <c r="DR168" s="228">
        <v>0.37</v>
      </c>
      <c r="DS168" s="228">
        <v>0.01</v>
      </c>
      <c r="DT168" s="229">
        <v>2.7E-2</v>
      </c>
      <c r="DU168" s="231">
        <v>22000</v>
      </c>
      <c r="DV168" s="231">
        <v>18500</v>
      </c>
      <c r="DW168" s="228">
        <v>0.28000000000000003</v>
      </c>
      <c r="DX168" s="228">
        <v>0.37</v>
      </c>
      <c r="DY168" s="228">
        <v>-0.09</v>
      </c>
      <c r="DZ168" s="229">
        <v>-0.2432</v>
      </c>
      <c r="EA168" s="229">
        <v>5.2900000000000003E-2</v>
      </c>
      <c r="EB168" s="230">
        <v>15000</v>
      </c>
      <c r="EC168" s="229">
        <v>3.8999999999999998E-3</v>
      </c>
      <c r="ED168" s="229">
        <v>5.2900000000000003E-2</v>
      </c>
      <c r="EE168" s="228">
        <v>69.73</v>
      </c>
      <c r="EF168" s="229">
        <v>3.5999999999999999E-3</v>
      </c>
      <c r="EG168" s="230">
        <v>24436</v>
      </c>
      <c r="EH168" s="230">
        <v>25503</v>
      </c>
      <c r="EI168" s="229">
        <v>-4.1799999999999997E-2</v>
      </c>
      <c r="EJ168" s="229">
        <v>0.31769999999999998</v>
      </c>
      <c r="EK168" s="228">
        <v>918.85</v>
      </c>
      <c r="EL168" s="228">
        <v>220.44</v>
      </c>
      <c r="EM168" s="228">
        <v>127.05</v>
      </c>
      <c r="EN168" s="228">
        <v>15.3</v>
      </c>
      <c r="EO168" s="231">
        <v>1266.33</v>
      </c>
      <c r="EP168" s="228">
        <v>736.22</v>
      </c>
      <c r="EQ168" s="228">
        <v>530.12</v>
      </c>
      <c r="ER168" s="229">
        <v>0.72009999999999996</v>
      </c>
      <c r="ES168" s="231">
        <v>1132.71</v>
      </c>
      <c r="ET168" s="228">
        <v>374.5</v>
      </c>
      <c r="EU168" s="228">
        <v>515.65</v>
      </c>
      <c r="EV168" s="231">
        <v>1917916</v>
      </c>
      <c r="EW168" s="231">
        <v>2022.86</v>
      </c>
      <c r="EX168" s="231">
        <v>2125.5500000000002</v>
      </c>
      <c r="EY168" s="228">
        <v>-102.69</v>
      </c>
      <c r="EZ168" s="229">
        <v>-4.8300000000000003E-2</v>
      </c>
      <c r="FA168" s="229">
        <v>0.51549999999999996</v>
      </c>
      <c r="FB168" s="227" t="s">
        <v>568</v>
      </c>
      <c r="FC168">
        <f t="shared" si="3"/>
        <v>0</v>
      </c>
    </row>
    <row r="169" spans="1:159" ht="17.25" thickBot="1" x14ac:dyDescent="0.3">
      <c r="A169" s="226">
        <v>46008</v>
      </c>
      <c r="B169" s="227" t="s">
        <v>170</v>
      </c>
      <c r="C169" s="227" t="s">
        <v>679</v>
      </c>
      <c r="D169" s="228">
        <v>2500</v>
      </c>
      <c r="E169" s="228">
        <v>13</v>
      </c>
      <c r="F169" s="228">
        <v>168.2</v>
      </c>
      <c r="G169" s="228">
        <v>168.86</v>
      </c>
      <c r="H169" s="228">
        <v>-0.66</v>
      </c>
      <c r="I169" s="229">
        <v>-3.8999999999999998E-3</v>
      </c>
      <c r="J169" s="228">
        <v>167.9</v>
      </c>
      <c r="K169" s="228">
        <v>168.6</v>
      </c>
      <c r="L169" s="228">
        <v>-0.7</v>
      </c>
      <c r="M169" s="229">
        <v>-4.1999999999999997E-3</v>
      </c>
      <c r="N169" s="228">
        <v>168.2</v>
      </c>
      <c r="O169" s="228">
        <v>168.86</v>
      </c>
      <c r="P169" s="228">
        <v>-0.66</v>
      </c>
      <c r="Q169" s="229">
        <v>-3.8999999999999998E-3</v>
      </c>
      <c r="R169" s="228">
        <v>169.05</v>
      </c>
      <c r="S169" s="228">
        <v>169.97</v>
      </c>
      <c r="T169" s="228">
        <v>-0.92</v>
      </c>
      <c r="U169" s="229">
        <v>-5.4000000000000003E-3</v>
      </c>
      <c r="V169" s="228">
        <v>170.02</v>
      </c>
      <c r="W169" s="228">
        <v>170.87</v>
      </c>
      <c r="X169" s="228">
        <v>-0.85</v>
      </c>
      <c r="Y169" s="229">
        <v>-5.0000000000000001E-3</v>
      </c>
      <c r="Z169" s="228">
        <v>0.3</v>
      </c>
      <c r="AA169" s="228">
        <v>0.26</v>
      </c>
      <c r="AB169" s="228">
        <v>0.04</v>
      </c>
      <c r="AC169" s="229">
        <v>1.8E-3</v>
      </c>
      <c r="AD169" s="228">
        <v>0.3</v>
      </c>
      <c r="AE169" s="228">
        <v>0.26</v>
      </c>
      <c r="AF169" s="228">
        <v>0.04</v>
      </c>
      <c r="AG169" s="229">
        <v>1.8E-3</v>
      </c>
      <c r="AH169" s="228">
        <v>1.1499999999999999</v>
      </c>
      <c r="AI169" s="228">
        <v>1.37</v>
      </c>
      <c r="AJ169" s="228">
        <v>-0.22</v>
      </c>
      <c r="AK169" s="229">
        <v>6.7999999999999996E-3</v>
      </c>
      <c r="AL169" s="228">
        <v>2.12</v>
      </c>
      <c r="AM169" s="228">
        <v>2.27</v>
      </c>
      <c r="AN169" s="228">
        <v>-0.15</v>
      </c>
      <c r="AO169" s="229">
        <v>1.26E-2</v>
      </c>
      <c r="AP169" s="228">
        <v>169.24</v>
      </c>
      <c r="AQ169" s="228">
        <v>170.26</v>
      </c>
      <c r="AR169" s="228">
        <v>0</v>
      </c>
      <c r="AS169" s="228">
        <v>67</v>
      </c>
      <c r="AT169" s="228">
        <v>104</v>
      </c>
      <c r="AU169" s="228">
        <v>-37</v>
      </c>
      <c r="AV169" s="229">
        <v>-0.35339999999999999</v>
      </c>
      <c r="AW169" s="228">
        <v>55</v>
      </c>
      <c r="AX169" s="228">
        <v>77</v>
      </c>
      <c r="AY169" s="228">
        <v>-22</v>
      </c>
      <c r="AZ169" s="229">
        <v>-0.28720000000000001</v>
      </c>
      <c r="BA169" s="228">
        <v>12</v>
      </c>
      <c r="BB169" s="228">
        <v>25</v>
      </c>
      <c r="BC169" s="228">
        <v>-13</v>
      </c>
      <c r="BD169" s="229">
        <v>-0.5111</v>
      </c>
      <c r="BE169" s="228">
        <v>0</v>
      </c>
      <c r="BF169" s="228">
        <v>2</v>
      </c>
      <c r="BG169" s="228">
        <v>-2</v>
      </c>
      <c r="BH169" s="229">
        <v>-0.92159999999999997</v>
      </c>
      <c r="BI169" s="228">
        <v>137</v>
      </c>
      <c r="BJ169" s="228">
        <v>190</v>
      </c>
      <c r="BK169" s="228">
        <v>-53</v>
      </c>
      <c r="BL169" s="229">
        <v>-0.27789999999999998</v>
      </c>
      <c r="BM169" s="228">
        <v>55</v>
      </c>
      <c r="BN169" s="228">
        <v>71</v>
      </c>
      <c r="BO169" s="228">
        <v>-17</v>
      </c>
      <c r="BP169" s="229">
        <v>-0.23300000000000001</v>
      </c>
      <c r="BQ169" s="228">
        <v>259</v>
      </c>
      <c r="BR169" s="228">
        <v>365</v>
      </c>
      <c r="BS169" s="228">
        <v>-106</v>
      </c>
      <c r="BT169" s="229">
        <v>-0.29070000000000001</v>
      </c>
      <c r="BU169" s="230">
        <v>2764784</v>
      </c>
      <c r="BV169" s="230">
        <v>3822998</v>
      </c>
      <c r="BW169" s="230">
        <v>-1058214</v>
      </c>
      <c r="BX169" s="229">
        <v>-0.27679999999999999</v>
      </c>
      <c r="BY169" s="228">
        <v>478</v>
      </c>
      <c r="BZ169" s="228">
        <v>480</v>
      </c>
      <c r="CA169" s="228">
        <v>-2</v>
      </c>
      <c r="CB169" s="229">
        <v>-4.8999999999999998E-3</v>
      </c>
      <c r="CC169" s="228">
        <v>418</v>
      </c>
      <c r="CD169" s="228">
        <v>423</v>
      </c>
      <c r="CE169" s="228">
        <v>-5</v>
      </c>
      <c r="CF169" s="229">
        <v>-1.23E-2</v>
      </c>
      <c r="CG169" s="228">
        <v>56</v>
      </c>
      <c r="CH169" s="228">
        <v>53</v>
      </c>
      <c r="CI169" s="228">
        <v>3</v>
      </c>
      <c r="CJ169" s="229">
        <v>5.2400000000000002E-2</v>
      </c>
      <c r="CK169" s="228">
        <v>4</v>
      </c>
      <c r="CL169" s="228">
        <v>4</v>
      </c>
      <c r="CM169" s="228">
        <v>0</v>
      </c>
      <c r="CN169" s="229">
        <v>2.35E-2</v>
      </c>
      <c r="CO169" s="228">
        <v>304</v>
      </c>
      <c r="CP169" s="228">
        <v>309</v>
      </c>
      <c r="CQ169" s="228">
        <v>-5</v>
      </c>
      <c r="CR169" s="229">
        <v>-1.55E-2</v>
      </c>
      <c r="CS169" s="228">
        <v>130</v>
      </c>
      <c r="CT169" s="228">
        <v>124</v>
      </c>
      <c r="CU169" s="228">
        <v>6</v>
      </c>
      <c r="CV169" s="229">
        <v>4.9799999999999997E-2</v>
      </c>
      <c r="CW169" s="228">
        <v>912</v>
      </c>
      <c r="CX169" s="228">
        <v>913</v>
      </c>
      <c r="CY169" s="228">
        <v>-1</v>
      </c>
      <c r="CZ169" s="229">
        <v>-1E-3</v>
      </c>
      <c r="DA169" s="228">
        <v>30.07</v>
      </c>
      <c r="DB169" s="228">
        <v>30.1</v>
      </c>
      <c r="DC169" s="228">
        <v>-0.03</v>
      </c>
      <c r="DD169" s="228">
        <v>-0.03</v>
      </c>
      <c r="DE169" s="228">
        <v>43.73</v>
      </c>
      <c r="DF169" s="228">
        <v>43.83</v>
      </c>
      <c r="DG169" s="228">
        <v>-13.66</v>
      </c>
      <c r="DH169" s="228">
        <v>-0.1</v>
      </c>
      <c r="DI169" s="228">
        <v>31.07</v>
      </c>
      <c r="DJ169" s="228">
        <v>30.84</v>
      </c>
      <c r="DK169" s="228">
        <v>0.23</v>
      </c>
      <c r="DL169" s="228">
        <v>0.23</v>
      </c>
      <c r="DM169" s="228">
        <v>27.55</v>
      </c>
      <c r="DN169" s="228">
        <v>28.14</v>
      </c>
      <c r="DO169" s="228">
        <v>-0.59</v>
      </c>
      <c r="DP169" s="228">
        <v>-0.59</v>
      </c>
      <c r="DQ169" s="228">
        <v>0.43</v>
      </c>
      <c r="DR169" s="228">
        <v>0.4</v>
      </c>
      <c r="DS169" s="228">
        <v>0.03</v>
      </c>
      <c r="DT169" s="229">
        <v>7.4999999999999997E-2</v>
      </c>
      <c r="DU169" s="228">
        <v>200</v>
      </c>
      <c r="DV169" s="228">
        <v>160</v>
      </c>
      <c r="DW169" s="228">
        <v>0.4</v>
      </c>
      <c r="DX169" s="228">
        <v>0.37</v>
      </c>
      <c r="DY169" s="228">
        <v>0.03</v>
      </c>
      <c r="DZ169" s="229">
        <v>8.1100000000000005E-2</v>
      </c>
      <c r="EA169" s="229">
        <v>0.12509999999999999</v>
      </c>
      <c r="EB169" s="230">
        <v>3381000</v>
      </c>
      <c r="EC169" s="229">
        <v>5.1000000000000004E-3</v>
      </c>
      <c r="ED169" s="229">
        <v>0.12509999999999999</v>
      </c>
      <c r="EE169" s="228">
        <v>1.02</v>
      </c>
      <c r="EF169" s="229">
        <v>6.0000000000000001E-3</v>
      </c>
      <c r="EG169" s="230">
        <v>1249324</v>
      </c>
      <c r="EH169" s="230">
        <v>1753817</v>
      </c>
      <c r="EI169" s="229">
        <v>-0.28770000000000001</v>
      </c>
      <c r="EJ169" s="229">
        <v>0.45190000000000002</v>
      </c>
      <c r="EK169" s="228">
        <v>147.94999999999999</v>
      </c>
      <c r="EL169" s="228">
        <v>55.32</v>
      </c>
      <c r="EM169" s="228">
        <v>68.349999999999994</v>
      </c>
      <c r="EN169" s="228">
        <v>22.42</v>
      </c>
      <c r="EO169" s="228">
        <v>271.62</v>
      </c>
      <c r="EP169" s="228">
        <v>383.46</v>
      </c>
      <c r="EQ169" s="228">
        <v>-111.84</v>
      </c>
      <c r="ER169" s="229">
        <v>-0.29170000000000001</v>
      </c>
      <c r="ES169" s="228">
        <v>342.98</v>
      </c>
      <c r="ET169" s="228">
        <v>136.41999999999999</v>
      </c>
      <c r="EU169" s="228">
        <v>478</v>
      </c>
      <c r="EV169" s="231">
        <v>120138597</v>
      </c>
      <c r="EW169" s="228">
        <v>957.4</v>
      </c>
      <c r="EX169" s="228">
        <v>962.25</v>
      </c>
      <c r="EY169" s="228">
        <v>-4.8499999999999996</v>
      </c>
      <c r="EZ169" s="229">
        <v>-5.0000000000000001E-3</v>
      </c>
      <c r="FA169" s="229">
        <v>0.45119999999999999</v>
      </c>
      <c r="FB169" s="227" t="s">
        <v>568</v>
      </c>
      <c r="FC169">
        <f t="shared" si="3"/>
        <v>0</v>
      </c>
    </row>
    <row r="170" spans="1:159" ht="17.25" thickBot="1" x14ac:dyDescent="0.3">
      <c r="A170" s="226">
        <v>46008</v>
      </c>
      <c r="B170" s="227" t="s">
        <v>206</v>
      </c>
      <c r="C170" s="227" t="s">
        <v>605</v>
      </c>
      <c r="D170" s="228">
        <v>450</v>
      </c>
      <c r="E170" s="228">
        <v>13</v>
      </c>
      <c r="F170" s="231">
        <v>1613.2</v>
      </c>
      <c r="G170" s="231">
        <v>1628</v>
      </c>
      <c r="H170" s="228">
        <v>-14.8</v>
      </c>
      <c r="I170" s="229">
        <v>-9.1000000000000004E-3</v>
      </c>
      <c r="J170" s="231">
        <v>1607.4</v>
      </c>
      <c r="K170" s="231">
        <v>1627.9</v>
      </c>
      <c r="L170" s="228">
        <v>-20.5</v>
      </c>
      <c r="M170" s="229">
        <v>-1.26E-2</v>
      </c>
      <c r="N170" s="231">
        <v>1613.2</v>
      </c>
      <c r="O170" s="231">
        <v>1628</v>
      </c>
      <c r="P170" s="228">
        <v>-14.8</v>
      </c>
      <c r="Q170" s="229">
        <v>-9.1000000000000004E-3</v>
      </c>
      <c r="R170" s="231">
        <v>1621.3</v>
      </c>
      <c r="S170" s="231">
        <v>1635.4</v>
      </c>
      <c r="T170" s="228">
        <v>-14.1</v>
      </c>
      <c r="U170" s="229">
        <v>-8.6E-3</v>
      </c>
      <c r="V170" s="231">
        <v>1632.5</v>
      </c>
      <c r="W170" s="231">
        <v>1641</v>
      </c>
      <c r="X170" s="228">
        <v>-8.5</v>
      </c>
      <c r="Y170" s="229">
        <v>-5.1999999999999998E-3</v>
      </c>
      <c r="Z170" s="228">
        <v>5.8</v>
      </c>
      <c r="AA170" s="228">
        <v>0.1</v>
      </c>
      <c r="AB170" s="228">
        <v>5.7</v>
      </c>
      <c r="AC170" s="229">
        <v>3.5999999999999999E-3</v>
      </c>
      <c r="AD170" s="228">
        <v>5.8</v>
      </c>
      <c r="AE170" s="228">
        <v>0.1</v>
      </c>
      <c r="AF170" s="228">
        <v>5.7</v>
      </c>
      <c r="AG170" s="229">
        <v>3.5999999999999999E-3</v>
      </c>
      <c r="AH170" s="228">
        <v>13.9</v>
      </c>
      <c r="AI170" s="228">
        <v>7.5</v>
      </c>
      <c r="AJ170" s="228">
        <v>6.4</v>
      </c>
      <c r="AK170" s="229">
        <v>8.6E-3</v>
      </c>
      <c r="AL170" s="228">
        <v>25.1</v>
      </c>
      <c r="AM170" s="228">
        <v>13.1</v>
      </c>
      <c r="AN170" s="228">
        <v>12</v>
      </c>
      <c r="AO170" s="229">
        <v>1.5599999999999999E-2</v>
      </c>
      <c r="AP170" s="231">
        <v>1615.19</v>
      </c>
      <c r="AQ170" s="231">
        <v>1624.57</v>
      </c>
      <c r="AR170" s="228">
        <v>0</v>
      </c>
      <c r="AS170" s="228">
        <v>61</v>
      </c>
      <c r="AT170" s="228">
        <v>89</v>
      </c>
      <c r="AU170" s="228">
        <v>-28</v>
      </c>
      <c r="AV170" s="229">
        <v>-0.31080000000000002</v>
      </c>
      <c r="AW170" s="228">
        <v>51</v>
      </c>
      <c r="AX170" s="228">
        <v>84</v>
      </c>
      <c r="AY170" s="228">
        <v>-34</v>
      </c>
      <c r="AZ170" s="229">
        <v>-0.39900000000000002</v>
      </c>
      <c r="BA170" s="228">
        <v>11</v>
      </c>
      <c r="BB170" s="228">
        <v>5</v>
      </c>
      <c r="BC170" s="228">
        <v>6</v>
      </c>
      <c r="BD170" s="229">
        <v>1.1471</v>
      </c>
      <c r="BE170" s="228">
        <v>0</v>
      </c>
      <c r="BF170" s="228">
        <v>0</v>
      </c>
      <c r="BG170" s="228">
        <v>0</v>
      </c>
      <c r="BH170" s="229">
        <v>0.66669999999999996</v>
      </c>
      <c r="BI170" s="228">
        <v>148</v>
      </c>
      <c r="BJ170" s="228">
        <v>254</v>
      </c>
      <c r="BK170" s="228">
        <v>-106</v>
      </c>
      <c r="BL170" s="229">
        <v>-0.41670000000000001</v>
      </c>
      <c r="BM170" s="228">
        <v>76</v>
      </c>
      <c r="BN170" s="228">
        <v>135</v>
      </c>
      <c r="BO170" s="228">
        <v>-59</v>
      </c>
      <c r="BP170" s="229">
        <v>-0.43909999999999999</v>
      </c>
      <c r="BQ170" s="228">
        <v>285</v>
      </c>
      <c r="BR170" s="228">
        <v>478</v>
      </c>
      <c r="BS170" s="228">
        <v>-193</v>
      </c>
      <c r="BT170" s="229">
        <v>-0.40329999999999999</v>
      </c>
      <c r="BU170" s="230">
        <v>449283</v>
      </c>
      <c r="BV170" s="230">
        <v>377957</v>
      </c>
      <c r="BW170" s="230">
        <v>71326</v>
      </c>
      <c r="BX170" s="229">
        <v>0.18870000000000001</v>
      </c>
      <c r="BY170" s="228">
        <v>663</v>
      </c>
      <c r="BZ170" s="228">
        <v>656</v>
      </c>
      <c r="CA170" s="228">
        <v>7</v>
      </c>
      <c r="CB170" s="229">
        <v>1.14E-2</v>
      </c>
      <c r="CC170" s="228">
        <v>647</v>
      </c>
      <c r="CD170" s="228">
        <v>645</v>
      </c>
      <c r="CE170" s="228">
        <v>2</v>
      </c>
      <c r="CF170" s="229">
        <v>2.8E-3</v>
      </c>
      <c r="CG170" s="228">
        <v>14</v>
      </c>
      <c r="CH170" s="228">
        <v>9</v>
      </c>
      <c r="CI170" s="228">
        <v>6</v>
      </c>
      <c r="CJ170" s="229">
        <v>0.64710000000000001</v>
      </c>
      <c r="CK170" s="228">
        <v>2</v>
      </c>
      <c r="CL170" s="228">
        <v>2</v>
      </c>
      <c r="CM170" s="228">
        <v>0</v>
      </c>
      <c r="CN170" s="229">
        <v>4.1700000000000001E-2</v>
      </c>
      <c r="CO170" s="228">
        <v>328</v>
      </c>
      <c r="CP170" s="228">
        <v>319</v>
      </c>
      <c r="CQ170" s="228">
        <v>9</v>
      </c>
      <c r="CR170" s="229">
        <v>2.9399999999999999E-2</v>
      </c>
      <c r="CS170" s="228">
        <v>212</v>
      </c>
      <c r="CT170" s="228">
        <v>213</v>
      </c>
      <c r="CU170" s="228">
        <v>-1</v>
      </c>
      <c r="CV170" s="229">
        <v>-4.1000000000000003E-3</v>
      </c>
      <c r="CW170" s="230">
        <v>1204</v>
      </c>
      <c r="CX170" s="230">
        <v>1188</v>
      </c>
      <c r="CY170" s="228">
        <v>16</v>
      </c>
      <c r="CZ170" s="229">
        <v>1.34E-2</v>
      </c>
      <c r="DA170" s="228">
        <v>28.83</v>
      </c>
      <c r="DB170" s="228">
        <v>28.09</v>
      </c>
      <c r="DC170" s="228">
        <v>0.74</v>
      </c>
      <c r="DD170" s="228">
        <v>0.74</v>
      </c>
      <c r="DE170" s="228">
        <v>44.8</v>
      </c>
      <c r="DF170" s="228">
        <v>44.89</v>
      </c>
      <c r="DG170" s="228">
        <v>-15.97</v>
      </c>
      <c r="DH170" s="228">
        <v>-0.09</v>
      </c>
      <c r="DI170" s="228">
        <v>29.43</v>
      </c>
      <c r="DJ170" s="228">
        <v>28.78</v>
      </c>
      <c r="DK170" s="228">
        <v>0.65</v>
      </c>
      <c r="DL170" s="228">
        <v>0.65</v>
      </c>
      <c r="DM170" s="228">
        <v>27.66</v>
      </c>
      <c r="DN170" s="228">
        <v>26.78</v>
      </c>
      <c r="DO170" s="228">
        <v>0.88</v>
      </c>
      <c r="DP170" s="228">
        <v>0.88</v>
      </c>
      <c r="DQ170" s="228">
        <v>0.65</v>
      </c>
      <c r="DR170" s="228">
        <v>0.67</v>
      </c>
      <c r="DS170" s="228">
        <v>-0.02</v>
      </c>
      <c r="DT170" s="229">
        <v>-2.9899999999999999E-2</v>
      </c>
      <c r="DU170" s="231">
        <v>1700</v>
      </c>
      <c r="DV170" s="231">
        <v>1540</v>
      </c>
      <c r="DW170" s="228">
        <v>0.51</v>
      </c>
      <c r="DX170" s="228">
        <v>0.53</v>
      </c>
      <c r="DY170" s="228">
        <v>-0.02</v>
      </c>
      <c r="DZ170" s="229">
        <v>-3.7699999999999997E-2</v>
      </c>
      <c r="EA170" s="229">
        <v>2.4199999999999999E-2</v>
      </c>
      <c r="EB170" s="230">
        <v>64350</v>
      </c>
      <c r="EC170" s="229">
        <v>5.0000000000000001E-3</v>
      </c>
      <c r="ED170" s="229">
        <v>2.4199999999999999E-2</v>
      </c>
      <c r="EE170" s="228">
        <v>9.3800000000000008</v>
      </c>
      <c r="EF170" s="229">
        <v>5.7999999999999996E-3</v>
      </c>
      <c r="EG170" s="230">
        <v>297662</v>
      </c>
      <c r="EH170" s="230">
        <v>185909</v>
      </c>
      <c r="EI170" s="229">
        <v>0.60109999999999997</v>
      </c>
      <c r="EJ170" s="229">
        <v>0.66249999999999998</v>
      </c>
      <c r="EK170" s="228">
        <v>157.52000000000001</v>
      </c>
      <c r="EL170" s="228">
        <v>74.83</v>
      </c>
      <c r="EM170" s="228">
        <v>61.63</v>
      </c>
      <c r="EN170" s="228">
        <v>17.47</v>
      </c>
      <c r="EO170" s="228">
        <v>293.98</v>
      </c>
      <c r="EP170" s="228">
        <v>497.34</v>
      </c>
      <c r="EQ170" s="228">
        <v>-203.36</v>
      </c>
      <c r="ER170" s="229">
        <v>-0.40889999999999999</v>
      </c>
      <c r="ES170" s="228">
        <v>352.55</v>
      </c>
      <c r="ET170" s="228">
        <v>208.48</v>
      </c>
      <c r="EU170" s="228">
        <v>663.17</v>
      </c>
      <c r="EV170" s="231">
        <v>25234534</v>
      </c>
      <c r="EW170" s="231">
        <v>1224.2</v>
      </c>
      <c r="EX170" s="231">
        <v>1214.3499999999999</v>
      </c>
      <c r="EY170" s="228">
        <v>9.85</v>
      </c>
      <c r="EZ170" s="229">
        <v>8.0999999999999996E-3</v>
      </c>
      <c r="FA170" s="229">
        <v>0.29570000000000002</v>
      </c>
      <c r="FB170" s="227" t="s">
        <v>567</v>
      </c>
      <c r="FC170">
        <f t="shared" si="3"/>
        <v>0</v>
      </c>
    </row>
    <row r="171" spans="1:159" ht="17.25" thickBot="1" x14ac:dyDescent="0.3">
      <c r="A171" s="226">
        <v>46008</v>
      </c>
      <c r="B171" s="227" t="s">
        <v>172</v>
      </c>
      <c r="C171" s="227" t="s">
        <v>279</v>
      </c>
      <c r="D171" s="228">
        <v>3175</v>
      </c>
      <c r="E171" s="228">
        <v>13</v>
      </c>
      <c r="F171" s="228">
        <v>298</v>
      </c>
      <c r="G171" s="228">
        <v>301.75</v>
      </c>
      <c r="H171" s="228">
        <v>-3.75</v>
      </c>
      <c r="I171" s="229">
        <v>-1.24E-2</v>
      </c>
      <c r="J171" s="228">
        <v>296.95</v>
      </c>
      <c r="K171" s="228">
        <v>300.7</v>
      </c>
      <c r="L171" s="228">
        <v>-3.75</v>
      </c>
      <c r="M171" s="229">
        <v>-1.2500000000000001E-2</v>
      </c>
      <c r="N171" s="228">
        <v>298</v>
      </c>
      <c r="O171" s="228">
        <v>301.75</v>
      </c>
      <c r="P171" s="228">
        <v>-3.75</v>
      </c>
      <c r="Q171" s="229">
        <v>-1.24E-2</v>
      </c>
      <c r="R171" s="228">
        <v>299.89999999999998</v>
      </c>
      <c r="S171" s="228">
        <v>303.45</v>
      </c>
      <c r="T171" s="228">
        <v>-3.55</v>
      </c>
      <c r="U171" s="229">
        <v>-1.17E-2</v>
      </c>
      <c r="V171" s="228">
        <v>301.7</v>
      </c>
      <c r="W171" s="228">
        <v>305.55</v>
      </c>
      <c r="X171" s="228">
        <v>-3.85</v>
      </c>
      <c r="Y171" s="229">
        <v>-1.26E-2</v>
      </c>
      <c r="Z171" s="228">
        <v>1.05</v>
      </c>
      <c r="AA171" s="228">
        <v>1.05</v>
      </c>
      <c r="AB171" s="228">
        <v>0</v>
      </c>
      <c r="AC171" s="229">
        <v>3.5000000000000001E-3</v>
      </c>
      <c r="AD171" s="228">
        <v>1.05</v>
      </c>
      <c r="AE171" s="228">
        <v>1.05</v>
      </c>
      <c r="AF171" s="228">
        <v>0</v>
      </c>
      <c r="AG171" s="229">
        <v>3.5000000000000001E-3</v>
      </c>
      <c r="AH171" s="228">
        <v>2.95</v>
      </c>
      <c r="AI171" s="228">
        <v>2.75</v>
      </c>
      <c r="AJ171" s="228">
        <v>0.2</v>
      </c>
      <c r="AK171" s="229">
        <v>9.9000000000000008E-3</v>
      </c>
      <c r="AL171" s="228">
        <v>4.75</v>
      </c>
      <c r="AM171" s="228">
        <v>4.8499999999999996</v>
      </c>
      <c r="AN171" s="228">
        <v>-0.1</v>
      </c>
      <c r="AO171" s="229">
        <v>1.6E-2</v>
      </c>
      <c r="AP171" s="228">
        <v>299.04000000000002</v>
      </c>
      <c r="AQ171" s="228">
        <v>300.94</v>
      </c>
      <c r="AR171" s="228">
        <v>0</v>
      </c>
      <c r="AS171" s="228">
        <v>472</v>
      </c>
      <c r="AT171" s="228">
        <v>366</v>
      </c>
      <c r="AU171" s="228">
        <v>106</v>
      </c>
      <c r="AV171" s="229">
        <v>0.29110000000000003</v>
      </c>
      <c r="AW171" s="228">
        <v>417</v>
      </c>
      <c r="AX171" s="228">
        <v>329</v>
      </c>
      <c r="AY171" s="228">
        <v>88</v>
      </c>
      <c r="AZ171" s="229">
        <v>0.26790000000000003</v>
      </c>
      <c r="BA171" s="228">
        <v>54</v>
      </c>
      <c r="BB171" s="228">
        <v>35</v>
      </c>
      <c r="BC171" s="228">
        <v>19</v>
      </c>
      <c r="BD171" s="229">
        <v>0.54920000000000002</v>
      </c>
      <c r="BE171" s="228">
        <v>1</v>
      </c>
      <c r="BF171" s="228">
        <v>2</v>
      </c>
      <c r="BG171" s="228">
        <v>-1</v>
      </c>
      <c r="BH171" s="229">
        <v>-0.4</v>
      </c>
      <c r="BI171" s="228">
        <v>449</v>
      </c>
      <c r="BJ171" s="228">
        <v>456</v>
      </c>
      <c r="BK171" s="228">
        <v>-6</v>
      </c>
      <c r="BL171" s="229">
        <v>-1.41E-2</v>
      </c>
      <c r="BM171" s="228">
        <v>435</v>
      </c>
      <c r="BN171" s="228">
        <v>327</v>
      </c>
      <c r="BO171" s="228">
        <v>109</v>
      </c>
      <c r="BP171" s="229">
        <v>0.3327</v>
      </c>
      <c r="BQ171" s="230">
        <v>1356</v>
      </c>
      <c r="BR171" s="230">
        <v>1148</v>
      </c>
      <c r="BS171" s="228">
        <v>209</v>
      </c>
      <c r="BT171" s="229">
        <v>0.18179999999999999</v>
      </c>
      <c r="BU171" s="230">
        <v>5630116</v>
      </c>
      <c r="BV171" s="230">
        <v>5023322</v>
      </c>
      <c r="BW171" s="230">
        <v>606794</v>
      </c>
      <c r="BX171" s="229">
        <v>0.1208</v>
      </c>
      <c r="BY171" s="230">
        <v>2309</v>
      </c>
      <c r="BZ171" s="230">
        <v>2257</v>
      </c>
      <c r="CA171" s="228">
        <v>51</v>
      </c>
      <c r="CB171" s="229">
        <v>2.2800000000000001E-2</v>
      </c>
      <c r="CC171" s="230">
        <v>2224</v>
      </c>
      <c r="CD171" s="230">
        <v>2192</v>
      </c>
      <c r="CE171" s="228">
        <v>32</v>
      </c>
      <c r="CF171" s="229">
        <v>1.44E-2</v>
      </c>
      <c r="CG171" s="228">
        <v>81</v>
      </c>
      <c r="CH171" s="228">
        <v>62</v>
      </c>
      <c r="CI171" s="228">
        <v>19</v>
      </c>
      <c r="CJ171" s="229">
        <v>0.315</v>
      </c>
      <c r="CK171" s="228">
        <v>4</v>
      </c>
      <c r="CL171" s="228">
        <v>4</v>
      </c>
      <c r="CM171" s="228">
        <v>0</v>
      </c>
      <c r="CN171" s="229">
        <v>0.1053</v>
      </c>
      <c r="CO171" s="228">
        <v>817</v>
      </c>
      <c r="CP171" s="228">
        <v>748</v>
      </c>
      <c r="CQ171" s="228">
        <v>68</v>
      </c>
      <c r="CR171" s="229">
        <v>9.11E-2</v>
      </c>
      <c r="CS171" s="228">
        <v>513</v>
      </c>
      <c r="CT171" s="228">
        <v>468</v>
      </c>
      <c r="CU171" s="228">
        <v>45</v>
      </c>
      <c r="CV171" s="229">
        <v>9.5399999999999999E-2</v>
      </c>
      <c r="CW171" s="230">
        <v>3639</v>
      </c>
      <c r="CX171" s="230">
        <v>3474</v>
      </c>
      <c r="CY171" s="228">
        <v>164</v>
      </c>
      <c r="CZ171" s="229">
        <v>4.7300000000000002E-2</v>
      </c>
      <c r="DA171" s="228">
        <v>28.68</v>
      </c>
      <c r="DB171" s="228">
        <v>26.97</v>
      </c>
      <c r="DC171" s="228">
        <v>1.71</v>
      </c>
      <c r="DD171" s="228">
        <v>1.71</v>
      </c>
      <c r="DE171" s="228">
        <v>44.74</v>
      </c>
      <c r="DF171" s="228">
        <v>44.82</v>
      </c>
      <c r="DG171" s="228">
        <v>-16.059999999999999</v>
      </c>
      <c r="DH171" s="228">
        <v>-0.08</v>
      </c>
      <c r="DI171" s="228">
        <v>29.5</v>
      </c>
      <c r="DJ171" s="228">
        <v>27.21</v>
      </c>
      <c r="DK171" s="228">
        <v>2.29</v>
      </c>
      <c r="DL171" s="228">
        <v>2.29</v>
      </c>
      <c r="DM171" s="228">
        <v>27.84</v>
      </c>
      <c r="DN171" s="228">
        <v>26.64</v>
      </c>
      <c r="DO171" s="228">
        <v>1.2</v>
      </c>
      <c r="DP171" s="228">
        <v>1.2</v>
      </c>
      <c r="DQ171" s="228">
        <v>0.63</v>
      </c>
      <c r="DR171" s="228">
        <v>0.63</v>
      </c>
      <c r="DS171" s="228">
        <v>0</v>
      </c>
      <c r="DT171" s="229">
        <v>0</v>
      </c>
      <c r="DU171" s="228">
        <v>315</v>
      </c>
      <c r="DV171" s="228">
        <v>300</v>
      </c>
      <c r="DW171" s="228">
        <v>0.97</v>
      </c>
      <c r="DX171" s="228">
        <v>0.72</v>
      </c>
      <c r="DY171" s="228">
        <v>0.25</v>
      </c>
      <c r="DZ171" s="229">
        <v>0.34720000000000001</v>
      </c>
      <c r="EA171" s="229">
        <v>3.6999999999999998E-2</v>
      </c>
      <c r="EB171" s="230">
        <v>2197100</v>
      </c>
      <c r="EC171" s="229">
        <v>6.4000000000000003E-3</v>
      </c>
      <c r="ED171" s="229">
        <v>3.6999999999999998E-2</v>
      </c>
      <c r="EE171" s="228">
        <v>1.9</v>
      </c>
      <c r="EF171" s="229">
        <v>6.4000000000000003E-3</v>
      </c>
      <c r="EG171" s="230">
        <v>1642448</v>
      </c>
      <c r="EH171" s="230">
        <v>1561163</v>
      </c>
      <c r="EI171" s="229">
        <v>5.21E-2</v>
      </c>
      <c r="EJ171" s="229">
        <v>0.29170000000000001</v>
      </c>
      <c r="EK171" s="228">
        <v>472.03</v>
      </c>
      <c r="EL171" s="228">
        <v>432.87</v>
      </c>
      <c r="EM171" s="228">
        <v>474.13</v>
      </c>
      <c r="EN171" s="228">
        <v>26.53</v>
      </c>
      <c r="EO171" s="231">
        <v>1379.03</v>
      </c>
      <c r="EP171" s="231">
        <v>1181.1199999999999</v>
      </c>
      <c r="EQ171" s="228">
        <v>197.91</v>
      </c>
      <c r="ER171" s="229">
        <v>0.1676</v>
      </c>
      <c r="ES171" s="228">
        <v>865.53</v>
      </c>
      <c r="ET171" s="228">
        <v>516.66999999999996</v>
      </c>
      <c r="EU171" s="231">
        <v>2309.46</v>
      </c>
      <c r="EV171" s="231">
        <v>91351468</v>
      </c>
      <c r="EW171" s="231">
        <v>3691.65</v>
      </c>
      <c r="EX171" s="231">
        <v>3556.43</v>
      </c>
      <c r="EY171" s="228">
        <v>135.22</v>
      </c>
      <c r="EZ171" s="229">
        <v>3.7999999999999999E-2</v>
      </c>
      <c r="FA171" s="229">
        <v>1.3366</v>
      </c>
      <c r="FB171" s="227" t="s">
        <v>567</v>
      </c>
      <c r="FC171">
        <f t="shared" si="3"/>
        <v>0</v>
      </c>
    </row>
    <row r="172" spans="1:159" ht="17.25" thickBot="1" x14ac:dyDescent="0.3">
      <c r="A172" s="226">
        <v>46008</v>
      </c>
      <c r="B172" s="227" t="s">
        <v>175</v>
      </c>
      <c r="C172" s="227" t="s">
        <v>280</v>
      </c>
      <c r="D172" s="228">
        <v>1275</v>
      </c>
      <c r="E172" s="228">
        <v>13</v>
      </c>
      <c r="F172" s="228">
        <v>334.5</v>
      </c>
      <c r="G172" s="228">
        <v>335.95</v>
      </c>
      <c r="H172" s="228">
        <v>-1.45</v>
      </c>
      <c r="I172" s="229">
        <v>-4.3E-3</v>
      </c>
      <c r="J172" s="228">
        <v>333.95</v>
      </c>
      <c r="K172" s="228">
        <v>335.4</v>
      </c>
      <c r="L172" s="228">
        <v>-1.45</v>
      </c>
      <c r="M172" s="229">
        <v>-4.3E-3</v>
      </c>
      <c r="N172" s="228">
        <v>334.5</v>
      </c>
      <c r="O172" s="228">
        <v>335.95</v>
      </c>
      <c r="P172" s="228">
        <v>-1.45</v>
      </c>
      <c r="Q172" s="229">
        <v>-4.3E-3</v>
      </c>
      <c r="R172" s="228">
        <v>336.5</v>
      </c>
      <c r="S172" s="228">
        <v>338.25</v>
      </c>
      <c r="T172" s="228">
        <v>-1.75</v>
      </c>
      <c r="U172" s="229">
        <v>-5.1999999999999998E-3</v>
      </c>
      <c r="V172" s="228">
        <v>335.9</v>
      </c>
      <c r="W172" s="228">
        <v>338.65</v>
      </c>
      <c r="X172" s="228">
        <v>-2.75</v>
      </c>
      <c r="Y172" s="229">
        <v>-8.0999999999999996E-3</v>
      </c>
      <c r="Z172" s="228">
        <v>0.55000000000000004</v>
      </c>
      <c r="AA172" s="228">
        <v>0.55000000000000004</v>
      </c>
      <c r="AB172" s="228">
        <v>0</v>
      </c>
      <c r="AC172" s="229">
        <v>1.6000000000000001E-3</v>
      </c>
      <c r="AD172" s="228">
        <v>0.55000000000000004</v>
      </c>
      <c r="AE172" s="228">
        <v>0.55000000000000004</v>
      </c>
      <c r="AF172" s="228">
        <v>0</v>
      </c>
      <c r="AG172" s="229">
        <v>1.6000000000000001E-3</v>
      </c>
      <c r="AH172" s="228">
        <v>2.5499999999999998</v>
      </c>
      <c r="AI172" s="228">
        <v>2.85</v>
      </c>
      <c r="AJ172" s="228">
        <v>-0.3</v>
      </c>
      <c r="AK172" s="229">
        <v>7.6E-3</v>
      </c>
      <c r="AL172" s="228">
        <v>1.95</v>
      </c>
      <c r="AM172" s="228">
        <v>3.25</v>
      </c>
      <c r="AN172" s="228">
        <v>-1.3</v>
      </c>
      <c r="AO172" s="229">
        <v>5.7999999999999996E-3</v>
      </c>
      <c r="AP172" s="228">
        <v>335.12</v>
      </c>
      <c r="AQ172" s="228">
        <v>337.09</v>
      </c>
      <c r="AR172" s="228">
        <v>0</v>
      </c>
      <c r="AS172" s="228">
        <v>235</v>
      </c>
      <c r="AT172" s="228">
        <v>350</v>
      </c>
      <c r="AU172" s="228">
        <v>-115</v>
      </c>
      <c r="AV172" s="229">
        <v>-0.3286</v>
      </c>
      <c r="AW172" s="228">
        <v>171</v>
      </c>
      <c r="AX172" s="228">
        <v>270</v>
      </c>
      <c r="AY172" s="228">
        <v>-99</v>
      </c>
      <c r="AZ172" s="229">
        <v>-0.36609999999999998</v>
      </c>
      <c r="BA172" s="228">
        <v>49</v>
      </c>
      <c r="BB172" s="228">
        <v>63</v>
      </c>
      <c r="BC172" s="228">
        <v>-14</v>
      </c>
      <c r="BD172" s="229">
        <v>-0.21590000000000001</v>
      </c>
      <c r="BE172" s="228">
        <v>14</v>
      </c>
      <c r="BF172" s="228">
        <v>17</v>
      </c>
      <c r="BG172" s="228">
        <v>-2</v>
      </c>
      <c r="BH172" s="229">
        <v>-0.1447</v>
      </c>
      <c r="BI172" s="230">
        <v>1045</v>
      </c>
      <c r="BJ172" s="230">
        <v>1005</v>
      </c>
      <c r="BK172" s="228">
        <v>40</v>
      </c>
      <c r="BL172" s="229">
        <v>3.9399999999999998E-2</v>
      </c>
      <c r="BM172" s="228">
        <v>473</v>
      </c>
      <c r="BN172" s="228">
        <v>447</v>
      </c>
      <c r="BO172" s="228">
        <v>27</v>
      </c>
      <c r="BP172" s="229">
        <v>5.9700000000000003E-2</v>
      </c>
      <c r="BQ172" s="230">
        <v>1753</v>
      </c>
      <c r="BR172" s="230">
        <v>1801</v>
      </c>
      <c r="BS172" s="228">
        <v>-49</v>
      </c>
      <c r="BT172" s="229">
        <v>-2.7E-2</v>
      </c>
      <c r="BU172" s="230">
        <v>4706395</v>
      </c>
      <c r="BV172" s="230">
        <v>6573745</v>
      </c>
      <c r="BW172" s="230">
        <v>-1867350</v>
      </c>
      <c r="BX172" s="229">
        <v>-0.28410000000000002</v>
      </c>
      <c r="BY172" s="230">
        <v>3445</v>
      </c>
      <c r="BZ172" s="230">
        <v>3430</v>
      </c>
      <c r="CA172" s="228">
        <v>14</v>
      </c>
      <c r="CB172" s="229">
        <v>4.1999999999999997E-3</v>
      </c>
      <c r="CC172" s="230">
        <v>3075</v>
      </c>
      <c r="CD172" s="230">
        <v>3078</v>
      </c>
      <c r="CE172" s="228">
        <v>-3</v>
      </c>
      <c r="CF172" s="229">
        <v>-1.1000000000000001E-3</v>
      </c>
      <c r="CG172" s="228">
        <v>307</v>
      </c>
      <c r="CH172" s="228">
        <v>294</v>
      </c>
      <c r="CI172" s="228">
        <v>12</v>
      </c>
      <c r="CJ172" s="229">
        <v>4.2000000000000003E-2</v>
      </c>
      <c r="CK172" s="228">
        <v>63</v>
      </c>
      <c r="CL172" s="228">
        <v>58</v>
      </c>
      <c r="CM172" s="228">
        <v>5</v>
      </c>
      <c r="CN172" s="229">
        <v>9.3600000000000003E-2</v>
      </c>
      <c r="CO172" s="230">
        <v>1705</v>
      </c>
      <c r="CP172" s="230">
        <v>1655</v>
      </c>
      <c r="CQ172" s="228">
        <v>50</v>
      </c>
      <c r="CR172" s="229">
        <v>3.0200000000000001E-2</v>
      </c>
      <c r="CS172" s="230">
        <v>1040</v>
      </c>
      <c r="CT172" s="230">
        <v>1008</v>
      </c>
      <c r="CU172" s="228">
        <v>31</v>
      </c>
      <c r="CV172" s="229">
        <v>3.1199999999999999E-2</v>
      </c>
      <c r="CW172" s="230">
        <v>6189</v>
      </c>
      <c r="CX172" s="230">
        <v>6093</v>
      </c>
      <c r="CY172" s="228">
        <v>96</v>
      </c>
      <c r="CZ172" s="229">
        <v>1.5699999999999999E-2</v>
      </c>
      <c r="DA172" s="228">
        <v>22.9</v>
      </c>
      <c r="DB172" s="228">
        <v>23.62</v>
      </c>
      <c r="DC172" s="228">
        <v>-0.72</v>
      </c>
      <c r="DD172" s="228">
        <v>-0.72</v>
      </c>
      <c r="DE172" s="228">
        <v>42.08</v>
      </c>
      <c r="DF172" s="228">
        <v>42.18</v>
      </c>
      <c r="DG172" s="228">
        <v>-19.18</v>
      </c>
      <c r="DH172" s="228">
        <v>-0.1</v>
      </c>
      <c r="DI172" s="228">
        <v>23.32</v>
      </c>
      <c r="DJ172" s="228">
        <v>24.59</v>
      </c>
      <c r="DK172" s="228">
        <v>-1.27</v>
      </c>
      <c r="DL172" s="228">
        <v>-1.27</v>
      </c>
      <c r="DM172" s="228">
        <v>21.95</v>
      </c>
      <c r="DN172" s="228">
        <v>21.45</v>
      </c>
      <c r="DO172" s="228">
        <v>0.5</v>
      </c>
      <c r="DP172" s="228">
        <v>0.5</v>
      </c>
      <c r="DQ172" s="228">
        <v>0.61</v>
      </c>
      <c r="DR172" s="228">
        <v>0.61</v>
      </c>
      <c r="DS172" s="228">
        <v>0</v>
      </c>
      <c r="DT172" s="229">
        <v>0</v>
      </c>
      <c r="DU172" s="228">
        <v>360</v>
      </c>
      <c r="DV172" s="228">
        <v>360</v>
      </c>
      <c r="DW172" s="228">
        <v>0.45</v>
      </c>
      <c r="DX172" s="228">
        <v>0.44</v>
      </c>
      <c r="DY172" s="228">
        <v>0.01</v>
      </c>
      <c r="DZ172" s="229">
        <v>2.2700000000000001E-2</v>
      </c>
      <c r="EA172" s="229">
        <v>0.10730000000000001</v>
      </c>
      <c r="EB172" s="230">
        <v>10514000</v>
      </c>
      <c r="EC172" s="229">
        <v>6.0000000000000001E-3</v>
      </c>
      <c r="ED172" s="229">
        <v>0.10730000000000001</v>
      </c>
      <c r="EE172" s="228">
        <v>1.97</v>
      </c>
      <c r="EF172" s="229">
        <v>5.8999999999999999E-3</v>
      </c>
      <c r="EG172" s="230">
        <v>2456635</v>
      </c>
      <c r="EH172" s="230">
        <v>4283846</v>
      </c>
      <c r="EI172" s="229">
        <v>-0.42649999999999999</v>
      </c>
      <c r="EJ172" s="229">
        <v>0.52200000000000002</v>
      </c>
      <c r="EK172" s="231">
        <v>1115.47</v>
      </c>
      <c r="EL172" s="228">
        <v>484.17</v>
      </c>
      <c r="EM172" s="228">
        <v>241.75</v>
      </c>
      <c r="EN172" s="228">
        <v>60.1</v>
      </c>
      <c r="EO172" s="231">
        <v>1841.39</v>
      </c>
      <c r="EP172" s="231">
        <v>1896.7</v>
      </c>
      <c r="EQ172" s="228">
        <v>-55.31</v>
      </c>
      <c r="ER172" s="229">
        <v>-2.92E-2</v>
      </c>
      <c r="ES172" s="231">
        <v>1869.73</v>
      </c>
      <c r="ET172" s="231">
        <v>1098.56</v>
      </c>
      <c r="EU172" s="231">
        <v>3446.64</v>
      </c>
      <c r="EV172" s="231">
        <v>187084550</v>
      </c>
      <c r="EW172" s="231">
        <v>6414.93</v>
      </c>
      <c r="EX172" s="231">
        <v>6336.4</v>
      </c>
      <c r="EY172" s="228">
        <v>78.53</v>
      </c>
      <c r="EZ172" s="229">
        <v>1.24E-2</v>
      </c>
      <c r="FA172" s="229">
        <v>0.98899999999999999</v>
      </c>
      <c r="FB172" s="227" t="s">
        <v>567</v>
      </c>
      <c r="FC172">
        <f t="shared" si="3"/>
        <v>0</v>
      </c>
    </row>
    <row r="173" spans="1:159" ht="17.25" thickBot="1" x14ac:dyDescent="0.3">
      <c r="A173" s="226">
        <v>46008</v>
      </c>
      <c r="B173" s="227" t="s">
        <v>193</v>
      </c>
      <c r="C173" s="227" t="s">
        <v>281</v>
      </c>
      <c r="D173" s="228">
        <v>500</v>
      </c>
      <c r="E173" s="228">
        <v>13</v>
      </c>
      <c r="F173" s="231">
        <v>1548.8</v>
      </c>
      <c r="G173" s="231">
        <v>1546.5</v>
      </c>
      <c r="H173" s="228">
        <v>2.2999999999999998</v>
      </c>
      <c r="I173" s="229">
        <v>1.5E-3</v>
      </c>
      <c r="J173" s="231">
        <v>1544.4</v>
      </c>
      <c r="K173" s="231">
        <v>1542.3</v>
      </c>
      <c r="L173" s="228">
        <v>2.1</v>
      </c>
      <c r="M173" s="229">
        <v>1.4E-3</v>
      </c>
      <c r="N173" s="231">
        <v>1548.8</v>
      </c>
      <c r="O173" s="231">
        <v>1546.5</v>
      </c>
      <c r="P173" s="228">
        <v>2.2999999999999998</v>
      </c>
      <c r="Q173" s="229">
        <v>1.5E-3</v>
      </c>
      <c r="R173" s="231">
        <v>1558.5</v>
      </c>
      <c r="S173" s="231">
        <v>1555.8</v>
      </c>
      <c r="T173" s="228">
        <v>2.7</v>
      </c>
      <c r="U173" s="229">
        <v>1.6999999999999999E-3</v>
      </c>
      <c r="V173" s="231">
        <v>1566.4</v>
      </c>
      <c r="W173" s="231">
        <v>1564.7</v>
      </c>
      <c r="X173" s="228">
        <v>1.7</v>
      </c>
      <c r="Y173" s="229">
        <v>1.1000000000000001E-3</v>
      </c>
      <c r="Z173" s="228">
        <v>4.4000000000000004</v>
      </c>
      <c r="AA173" s="228">
        <v>4.2</v>
      </c>
      <c r="AB173" s="228">
        <v>0.2</v>
      </c>
      <c r="AC173" s="229">
        <v>2.8E-3</v>
      </c>
      <c r="AD173" s="228">
        <v>4.4000000000000004</v>
      </c>
      <c r="AE173" s="228">
        <v>4.2</v>
      </c>
      <c r="AF173" s="228">
        <v>0.2</v>
      </c>
      <c r="AG173" s="229">
        <v>2.8E-3</v>
      </c>
      <c r="AH173" s="228">
        <v>14.1</v>
      </c>
      <c r="AI173" s="228">
        <v>13.5</v>
      </c>
      <c r="AJ173" s="228">
        <v>0.6</v>
      </c>
      <c r="AK173" s="229">
        <v>9.1000000000000004E-3</v>
      </c>
      <c r="AL173" s="228">
        <v>22</v>
      </c>
      <c r="AM173" s="228">
        <v>22.4</v>
      </c>
      <c r="AN173" s="228">
        <v>-0.4</v>
      </c>
      <c r="AO173" s="229">
        <v>1.4200000000000001E-2</v>
      </c>
      <c r="AP173" s="231">
        <v>1548.61</v>
      </c>
      <c r="AQ173" s="231">
        <v>1558.14</v>
      </c>
      <c r="AR173" s="228">
        <v>0</v>
      </c>
      <c r="AS173" s="230">
        <v>1171</v>
      </c>
      <c r="AT173" s="230">
        <v>1608</v>
      </c>
      <c r="AU173" s="228">
        <v>-436</v>
      </c>
      <c r="AV173" s="229">
        <v>-0.27129999999999999</v>
      </c>
      <c r="AW173" s="228">
        <v>879</v>
      </c>
      <c r="AX173" s="230">
        <v>1417</v>
      </c>
      <c r="AY173" s="228">
        <v>-537</v>
      </c>
      <c r="AZ173" s="229">
        <v>-0.37930000000000003</v>
      </c>
      <c r="BA173" s="228">
        <v>280</v>
      </c>
      <c r="BB173" s="228">
        <v>181</v>
      </c>
      <c r="BC173" s="228">
        <v>99</v>
      </c>
      <c r="BD173" s="229">
        <v>0.54969999999999997</v>
      </c>
      <c r="BE173" s="228">
        <v>12</v>
      </c>
      <c r="BF173" s="228">
        <v>10</v>
      </c>
      <c r="BG173" s="228">
        <v>2</v>
      </c>
      <c r="BH173" s="229">
        <v>0.16789999999999999</v>
      </c>
      <c r="BI173" s="230">
        <v>5160</v>
      </c>
      <c r="BJ173" s="230">
        <v>5867</v>
      </c>
      <c r="BK173" s="228">
        <v>-707</v>
      </c>
      <c r="BL173" s="229">
        <v>-0.12039999999999999</v>
      </c>
      <c r="BM173" s="230">
        <v>3132</v>
      </c>
      <c r="BN173" s="230">
        <v>4018</v>
      </c>
      <c r="BO173" s="228">
        <v>-887</v>
      </c>
      <c r="BP173" s="229">
        <v>-0.22059999999999999</v>
      </c>
      <c r="BQ173" s="230">
        <v>9463</v>
      </c>
      <c r="BR173" s="230">
        <v>11493</v>
      </c>
      <c r="BS173" s="230">
        <v>-2029</v>
      </c>
      <c r="BT173" s="229">
        <v>-0.17660000000000001</v>
      </c>
      <c r="BU173" s="230">
        <v>7357454</v>
      </c>
      <c r="BV173" s="230">
        <v>11858789</v>
      </c>
      <c r="BW173" s="230">
        <v>-4501335</v>
      </c>
      <c r="BX173" s="229">
        <v>-0.37959999999999999</v>
      </c>
      <c r="BY173" s="230">
        <v>15364</v>
      </c>
      <c r="BZ173" s="230">
        <v>15397</v>
      </c>
      <c r="CA173" s="228">
        <v>-33</v>
      </c>
      <c r="CB173" s="229">
        <v>-2.2000000000000001E-3</v>
      </c>
      <c r="CC173" s="230">
        <v>13571</v>
      </c>
      <c r="CD173" s="230">
        <v>13816</v>
      </c>
      <c r="CE173" s="228">
        <v>-245</v>
      </c>
      <c r="CF173" s="229">
        <v>-1.77E-2</v>
      </c>
      <c r="CG173" s="230">
        <v>1638</v>
      </c>
      <c r="CH173" s="230">
        <v>1432</v>
      </c>
      <c r="CI173" s="228">
        <v>205</v>
      </c>
      <c r="CJ173" s="229">
        <v>0.14330000000000001</v>
      </c>
      <c r="CK173" s="228">
        <v>155</v>
      </c>
      <c r="CL173" s="228">
        <v>149</v>
      </c>
      <c r="CM173" s="228">
        <v>6</v>
      </c>
      <c r="CN173" s="229">
        <v>4.1599999999999998E-2</v>
      </c>
      <c r="CO173" s="230">
        <v>8031</v>
      </c>
      <c r="CP173" s="230">
        <v>8037</v>
      </c>
      <c r="CQ173" s="228">
        <v>-6</v>
      </c>
      <c r="CR173" s="229">
        <v>-6.9999999999999999E-4</v>
      </c>
      <c r="CS173" s="230">
        <v>4265</v>
      </c>
      <c r="CT173" s="230">
        <v>4139</v>
      </c>
      <c r="CU173" s="228">
        <v>126</v>
      </c>
      <c r="CV173" s="229">
        <v>3.0499999999999999E-2</v>
      </c>
      <c r="CW173" s="230">
        <v>27660</v>
      </c>
      <c r="CX173" s="230">
        <v>27573</v>
      </c>
      <c r="CY173" s="228">
        <v>87</v>
      </c>
      <c r="CZ173" s="229">
        <v>3.2000000000000002E-3</v>
      </c>
      <c r="DA173" s="228">
        <v>15.29</v>
      </c>
      <c r="DB173" s="228">
        <v>15.53</v>
      </c>
      <c r="DC173" s="228">
        <v>-0.24</v>
      </c>
      <c r="DD173" s="228">
        <v>-0.24</v>
      </c>
      <c r="DE173" s="228">
        <v>23.34</v>
      </c>
      <c r="DF173" s="228">
        <v>23.4</v>
      </c>
      <c r="DG173" s="228">
        <v>-8.0500000000000007</v>
      </c>
      <c r="DH173" s="228">
        <v>-0.06</v>
      </c>
      <c r="DI173" s="228">
        <v>15.01</v>
      </c>
      <c r="DJ173" s="228">
        <v>15.44</v>
      </c>
      <c r="DK173" s="228">
        <v>-0.43</v>
      </c>
      <c r="DL173" s="228">
        <v>-0.43</v>
      </c>
      <c r="DM173" s="228">
        <v>15.74</v>
      </c>
      <c r="DN173" s="228">
        <v>15.68</v>
      </c>
      <c r="DO173" s="228">
        <v>0.06</v>
      </c>
      <c r="DP173" s="228">
        <v>0.06</v>
      </c>
      <c r="DQ173" s="228">
        <v>0.53</v>
      </c>
      <c r="DR173" s="228">
        <v>0.52</v>
      </c>
      <c r="DS173" s="228">
        <v>0.01</v>
      </c>
      <c r="DT173" s="229">
        <v>1.9199999999999998E-2</v>
      </c>
      <c r="DU173" s="231">
        <v>1600</v>
      </c>
      <c r="DV173" s="231">
        <v>1500</v>
      </c>
      <c r="DW173" s="228">
        <v>0.61</v>
      </c>
      <c r="DX173" s="228">
        <v>0.68</v>
      </c>
      <c r="DY173" s="228">
        <v>-7.0000000000000007E-2</v>
      </c>
      <c r="DZ173" s="229">
        <v>-0.10290000000000001</v>
      </c>
      <c r="EA173" s="229">
        <v>0.1167</v>
      </c>
      <c r="EB173" s="230">
        <v>10210500</v>
      </c>
      <c r="EC173" s="229">
        <v>6.3E-3</v>
      </c>
      <c r="ED173" s="229">
        <v>0.1167</v>
      </c>
      <c r="EE173" s="228">
        <v>9.5299999999999994</v>
      </c>
      <c r="EF173" s="229">
        <v>6.1999999999999998E-3</v>
      </c>
      <c r="EG173" s="230">
        <v>3907222</v>
      </c>
      <c r="EH173" s="230">
        <v>4468989</v>
      </c>
      <c r="EI173" s="229">
        <v>-0.12570000000000001</v>
      </c>
      <c r="EJ173" s="229">
        <v>0.53110000000000002</v>
      </c>
      <c r="EK173" s="231">
        <v>5270.3</v>
      </c>
      <c r="EL173" s="231">
        <v>3111.32</v>
      </c>
      <c r="EM173" s="231">
        <v>1173.1600000000001</v>
      </c>
      <c r="EN173" s="228">
        <v>172.63</v>
      </c>
      <c r="EO173" s="231">
        <v>9554.7900000000009</v>
      </c>
      <c r="EP173" s="231">
        <v>11599.54</v>
      </c>
      <c r="EQ173" s="231">
        <v>-2044.76</v>
      </c>
      <c r="ER173" s="229">
        <v>-0.17630000000000001</v>
      </c>
      <c r="ES173" s="231">
        <v>8182.08</v>
      </c>
      <c r="ET173" s="231">
        <v>4154.4799999999996</v>
      </c>
      <c r="EU173" s="231">
        <v>15375.96</v>
      </c>
      <c r="EV173" s="231">
        <v>662701060</v>
      </c>
      <c r="EW173" s="231">
        <v>27712.52</v>
      </c>
      <c r="EX173" s="231">
        <v>27599.68</v>
      </c>
      <c r="EY173" s="228">
        <v>112.84</v>
      </c>
      <c r="EZ173" s="229">
        <v>4.1000000000000003E-3</v>
      </c>
      <c r="FA173" s="229">
        <v>0.26950000000000002</v>
      </c>
      <c r="FB173" s="227" t="s">
        <v>556</v>
      </c>
      <c r="FC173">
        <f t="shared" si="3"/>
        <v>0</v>
      </c>
    </row>
    <row r="174" spans="1:159" ht="17.25" thickBot="1" x14ac:dyDescent="0.3">
      <c r="A174" s="226">
        <v>46008</v>
      </c>
      <c r="B174" s="227" t="s">
        <v>215</v>
      </c>
      <c r="C174" s="227" t="s">
        <v>676</v>
      </c>
      <c r="D174" s="228">
        <v>1375</v>
      </c>
      <c r="E174" s="228">
        <v>13</v>
      </c>
      <c r="F174" s="228">
        <v>305.39999999999998</v>
      </c>
      <c r="G174" s="228">
        <v>308.05</v>
      </c>
      <c r="H174" s="228">
        <v>-2.65</v>
      </c>
      <c r="I174" s="229">
        <v>-8.6E-3</v>
      </c>
      <c r="J174" s="228">
        <v>307.25</v>
      </c>
      <c r="K174" s="228">
        <v>309.39999999999998</v>
      </c>
      <c r="L174" s="228">
        <v>-2.15</v>
      </c>
      <c r="M174" s="229">
        <v>-6.8999999999999999E-3</v>
      </c>
      <c r="N174" s="228">
        <v>305.39999999999998</v>
      </c>
      <c r="O174" s="228">
        <v>308.05</v>
      </c>
      <c r="P174" s="228">
        <v>-2.65</v>
      </c>
      <c r="Q174" s="229">
        <v>-8.6E-3</v>
      </c>
      <c r="R174" s="228">
        <v>299.95</v>
      </c>
      <c r="S174" s="228">
        <v>303.5</v>
      </c>
      <c r="T174" s="228">
        <v>-3.55</v>
      </c>
      <c r="U174" s="229">
        <v>-1.17E-2</v>
      </c>
      <c r="V174" s="228">
        <v>295.2</v>
      </c>
      <c r="W174" s="228">
        <v>298.95</v>
      </c>
      <c r="X174" s="228">
        <v>-3.75</v>
      </c>
      <c r="Y174" s="229">
        <v>-1.2500000000000001E-2</v>
      </c>
      <c r="Z174" s="228">
        <v>-1.85</v>
      </c>
      <c r="AA174" s="228">
        <v>-1.35</v>
      </c>
      <c r="AB174" s="228">
        <v>-0.5</v>
      </c>
      <c r="AC174" s="229">
        <v>-6.0000000000000001E-3</v>
      </c>
      <c r="AD174" s="228">
        <v>-1.85</v>
      </c>
      <c r="AE174" s="228">
        <v>-1.35</v>
      </c>
      <c r="AF174" s="228">
        <v>-0.5</v>
      </c>
      <c r="AG174" s="229">
        <v>-6.0000000000000001E-3</v>
      </c>
      <c r="AH174" s="228">
        <v>-7.3</v>
      </c>
      <c r="AI174" s="228">
        <v>-5.9</v>
      </c>
      <c r="AJ174" s="228">
        <v>-1.4</v>
      </c>
      <c r="AK174" s="229">
        <v>-2.3800000000000002E-2</v>
      </c>
      <c r="AL174" s="228">
        <v>-12.05</v>
      </c>
      <c r="AM174" s="228">
        <v>-10.45</v>
      </c>
      <c r="AN174" s="228">
        <v>-1.6</v>
      </c>
      <c r="AO174" s="229">
        <v>-3.9199999999999999E-2</v>
      </c>
      <c r="AP174" s="228">
        <v>306.57</v>
      </c>
      <c r="AQ174" s="228">
        <v>301.24</v>
      </c>
      <c r="AR174" s="228">
        <v>0</v>
      </c>
      <c r="AS174" s="228">
        <v>135</v>
      </c>
      <c r="AT174" s="228">
        <v>107</v>
      </c>
      <c r="AU174" s="228">
        <v>28</v>
      </c>
      <c r="AV174" s="229">
        <v>0.26119999999999999</v>
      </c>
      <c r="AW174" s="228">
        <v>87</v>
      </c>
      <c r="AX174" s="228">
        <v>76</v>
      </c>
      <c r="AY174" s="228">
        <v>10</v>
      </c>
      <c r="AZ174" s="229">
        <v>0.13619999999999999</v>
      </c>
      <c r="BA174" s="228">
        <v>44</v>
      </c>
      <c r="BB174" s="228">
        <v>28</v>
      </c>
      <c r="BC174" s="228">
        <v>16</v>
      </c>
      <c r="BD174" s="229">
        <v>0.59030000000000005</v>
      </c>
      <c r="BE174" s="228">
        <v>5</v>
      </c>
      <c r="BF174" s="228">
        <v>4</v>
      </c>
      <c r="BG174" s="228">
        <v>1</v>
      </c>
      <c r="BH174" s="229">
        <v>0.3765</v>
      </c>
      <c r="BI174" s="228">
        <v>278</v>
      </c>
      <c r="BJ174" s="228">
        <v>227</v>
      </c>
      <c r="BK174" s="228">
        <v>51</v>
      </c>
      <c r="BL174" s="229">
        <v>0.2228</v>
      </c>
      <c r="BM174" s="228">
        <v>61</v>
      </c>
      <c r="BN174" s="228">
        <v>89</v>
      </c>
      <c r="BO174" s="228">
        <v>-29</v>
      </c>
      <c r="BP174" s="229">
        <v>-0.32019999999999998</v>
      </c>
      <c r="BQ174" s="228">
        <v>474</v>
      </c>
      <c r="BR174" s="228">
        <v>424</v>
      </c>
      <c r="BS174" s="228">
        <v>50</v>
      </c>
      <c r="BT174" s="229">
        <v>0.1182</v>
      </c>
      <c r="BU174" s="230">
        <v>2155109</v>
      </c>
      <c r="BV174" s="230">
        <v>1690128</v>
      </c>
      <c r="BW174" s="230">
        <v>464981</v>
      </c>
      <c r="BX174" s="229">
        <v>0.27510000000000001</v>
      </c>
      <c r="BY174" s="230">
        <v>1468</v>
      </c>
      <c r="BZ174" s="230">
        <v>1441</v>
      </c>
      <c r="CA174" s="228">
        <v>27</v>
      </c>
      <c r="CB174" s="229">
        <v>1.89E-2</v>
      </c>
      <c r="CC174" s="230">
        <v>1193</v>
      </c>
      <c r="CD174" s="230">
        <v>1189</v>
      </c>
      <c r="CE174" s="228">
        <v>3</v>
      </c>
      <c r="CF174" s="229">
        <v>2.8E-3</v>
      </c>
      <c r="CG174" s="228">
        <v>244</v>
      </c>
      <c r="CH174" s="228">
        <v>223</v>
      </c>
      <c r="CI174" s="228">
        <v>21</v>
      </c>
      <c r="CJ174" s="229">
        <v>9.5699999999999993E-2</v>
      </c>
      <c r="CK174" s="228">
        <v>31</v>
      </c>
      <c r="CL174" s="228">
        <v>29</v>
      </c>
      <c r="CM174" s="228">
        <v>3</v>
      </c>
      <c r="CN174" s="229">
        <v>8.9099999999999999E-2</v>
      </c>
      <c r="CO174" s="228">
        <v>658</v>
      </c>
      <c r="CP174" s="228">
        <v>622</v>
      </c>
      <c r="CQ174" s="228">
        <v>36</v>
      </c>
      <c r="CR174" s="229">
        <v>5.8400000000000001E-2</v>
      </c>
      <c r="CS174" s="228">
        <v>300</v>
      </c>
      <c r="CT174" s="228">
        <v>302</v>
      </c>
      <c r="CU174" s="228">
        <v>-2</v>
      </c>
      <c r="CV174" s="229">
        <v>-5.4999999999999997E-3</v>
      </c>
      <c r="CW174" s="230">
        <v>2426</v>
      </c>
      <c r="CX174" s="230">
        <v>2365</v>
      </c>
      <c r="CY174" s="228">
        <v>62</v>
      </c>
      <c r="CZ174" s="229">
        <v>2.6200000000000001E-2</v>
      </c>
      <c r="DA174" s="228">
        <v>30.68</v>
      </c>
      <c r="DB174" s="228">
        <v>30.6</v>
      </c>
      <c r="DC174" s="228">
        <v>0.08</v>
      </c>
      <c r="DD174" s="228">
        <v>0.08</v>
      </c>
      <c r="DE174" s="228">
        <v>53.97</v>
      </c>
      <c r="DF174" s="228">
        <v>54.1</v>
      </c>
      <c r="DG174" s="228">
        <v>-23.29</v>
      </c>
      <c r="DH174" s="228">
        <v>-0.13</v>
      </c>
      <c r="DI174" s="228">
        <v>31.25</v>
      </c>
      <c r="DJ174" s="228">
        <v>31.35</v>
      </c>
      <c r="DK174" s="228">
        <v>-0.1</v>
      </c>
      <c r="DL174" s="228">
        <v>-0.1</v>
      </c>
      <c r="DM174" s="228">
        <v>28.08</v>
      </c>
      <c r="DN174" s="228">
        <v>28.69</v>
      </c>
      <c r="DO174" s="228">
        <v>-0.61</v>
      </c>
      <c r="DP174" s="228">
        <v>-0.61</v>
      </c>
      <c r="DQ174" s="228">
        <v>0.46</v>
      </c>
      <c r="DR174" s="228">
        <v>0.49</v>
      </c>
      <c r="DS174" s="228">
        <v>-0.03</v>
      </c>
      <c r="DT174" s="229">
        <v>-6.1199999999999997E-2</v>
      </c>
      <c r="DU174" s="228">
        <v>330</v>
      </c>
      <c r="DV174" s="228">
        <v>290</v>
      </c>
      <c r="DW174" s="228">
        <v>0.22</v>
      </c>
      <c r="DX174" s="228">
        <v>0.39</v>
      </c>
      <c r="DY174" s="228">
        <v>-0.17</v>
      </c>
      <c r="DZ174" s="229">
        <v>-0.43590000000000001</v>
      </c>
      <c r="EA174" s="229">
        <v>0.18770000000000001</v>
      </c>
      <c r="EB174" s="230">
        <v>8242625</v>
      </c>
      <c r="EC174" s="229">
        <v>-1.78E-2</v>
      </c>
      <c r="ED174" s="229">
        <v>0.18770000000000001</v>
      </c>
      <c r="EE174" s="228">
        <v>-5.33</v>
      </c>
      <c r="EF174" s="229">
        <v>-1.7399999999999999E-2</v>
      </c>
      <c r="EG174" s="230">
        <v>830614</v>
      </c>
      <c r="EH174" s="230">
        <v>745983</v>
      </c>
      <c r="EI174" s="229">
        <v>0.1134</v>
      </c>
      <c r="EJ174" s="229">
        <v>0.38540000000000002</v>
      </c>
      <c r="EK174" s="228">
        <v>299.70999999999998</v>
      </c>
      <c r="EL174" s="228">
        <v>61.2</v>
      </c>
      <c r="EM174" s="228">
        <v>140.26</v>
      </c>
      <c r="EN174" s="228">
        <v>28.75</v>
      </c>
      <c r="EO174" s="228">
        <v>501.18</v>
      </c>
      <c r="EP174" s="228">
        <v>447.78</v>
      </c>
      <c r="EQ174" s="228">
        <v>53.4</v>
      </c>
      <c r="ER174" s="229">
        <v>0.1193</v>
      </c>
      <c r="ES174" s="228">
        <v>707.75</v>
      </c>
      <c r="ET174" s="228">
        <v>297.98</v>
      </c>
      <c r="EU174" s="231">
        <v>1462.85</v>
      </c>
      <c r="EV174" s="231">
        <v>84941460</v>
      </c>
      <c r="EW174" s="231">
        <v>2468.5700000000002</v>
      </c>
      <c r="EX174" s="231">
        <v>2419.5</v>
      </c>
      <c r="EY174" s="228">
        <v>49.07</v>
      </c>
      <c r="EZ174" s="229">
        <v>2.0299999999999999E-2</v>
      </c>
      <c r="FA174" s="229">
        <v>0.93540000000000001</v>
      </c>
      <c r="FB174" s="227" t="s">
        <v>567</v>
      </c>
      <c r="FC174">
        <f t="shared" si="3"/>
        <v>0</v>
      </c>
    </row>
    <row r="175" spans="1:159" ht="17.25" thickBot="1" x14ac:dyDescent="0.3">
      <c r="A175" s="226">
        <v>46008</v>
      </c>
      <c r="B175" s="227" t="s">
        <v>227</v>
      </c>
      <c r="C175" s="227" t="s">
        <v>282</v>
      </c>
      <c r="D175" s="228">
        <v>4700</v>
      </c>
      <c r="E175" s="228">
        <v>13</v>
      </c>
      <c r="F175" s="228">
        <v>130.31</v>
      </c>
      <c r="G175" s="228">
        <v>129.81</v>
      </c>
      <c r="H175" s="228">
        <v>0.5</v>
      </c>
      <c r="I175" s="229">
        <v>3.8999999999999998E-3</v>
      </c>
      <c r="J175" s="228">
        <v>130.19999999999999</v>
      </c>
      <c r="K175" s="228">
        <v>129.68</v>
      </c>
      <c r="L175" s="228">
        <v>0.52</v>
      </c>
      <c r="M175" s="229">
        <v>4.0000000000000001E-3</v>
      </c>
      <c r="N175" s="228">
        <v>130.31</v>
      </c>
      <c r="O175" s="228">
        <v>129.81</v>
      </c>
      <c r="P175" s="228">
        <v>0.5</v>
      </c>
      <c r="Q175" s="229">
        <v>3.8999999999999998E-3</v>
      </c>
      <c r="R175" s="228">
        <v>131.13999999999999</v>
      </c>
      <c r="S175" s="228">
        <v>130.76</v>
      </c>
      <c r="T175" s="228">
        <v>0.38</v>
      </c>
      <c r="U175" s="229">
        <v>2.8999999999999998E-3</v>
      </c>
      <c r="V175" s="228">
        <v>131.72999999999999</v>
      </c>
      <c r="W175" s="228">
        <v>131.44</v>
      </c>
      <c r="X175" s="228">
        <v>0.28999999999999998</v>
      </c>
      <c r="Y175" s="229">
        <v>2.2000000000000001E-3</v>
      </c>
      <c r="Z175" s="228">
        <v>0.11</v>
      </c>
      <c r="AA175" s="228">
        <v>0.13</v>
      </c>
      <c r="AB175" s="228">
        <v>-0.02</v>
      </c>
      <c r="AC175" s="229">
        <v>8.0000000000000004E-4</v>
      </c>
      <c r="AD175" s="228">
        <v>0.11</v>
      </c>
      <c r="AE175" s="228">
        <v>0.13</v>
      </c>
      <c r="AF175" s="228">
        <v>-0.02</v>
      </c>
      <c r="AG175" s="229">
        <v>8.0000000000000004E-4</v>
      </c>
      <c r="AH175" s="228">
        <v>0.94</v>
      </c>
      <c r="AI175" s="228">
        <v>1.08</v>
      </c>
      <c r="AJ175" s="228">
        <v>-0.14000000000000001</v>
      </c>
      <c r="AK175" s="229">
        <v>7.1999999999999998E-3</v>
      </c>
      <c r="AL175" s="228">
        <v>1.53</v>
      </c>
      <c r="AM175" s="228">
        <v>1.76</v>
      </c>
      <c r="AN175" s="228">
        <v>-0.23</v>
      </c>
      <c r="AO175" s="229">
        <v>1.18E-2</v>
      </c>
      <c r="AP175" s="228">
        <v>129.97999999999999</v>
      </c>
      <c r="AQ175" s="228">
        <v>130.75</v>
      </c>
      <c r="AR175" s="228">
        <v>0</v>
      </c>
      <c r="AS175" s="228">
        <v>186</v>
      </c>
      <c r="AT175" s="228">
        <v>318</v>
      </c>
      <c r="AU175" s="228">
        <v>-133</v>
      </c>
      <c r="AV175" s="229">
        <v>-0.41699999999999998</v>
      </c>
      <c r="AW175" s="228">
        <v>144</v>
      </c>
      <c r="AX175" s="228">
        <v>229</v>
      </c>
      <c r="AY175" s="228">
        <v>-85</v>
      </c>
      <c r="AZ175" s="229">
        <v>-0.37040000000000001</v>
      </c>
      <c r="BA175" s="228">
        <v>34</v>
      </c>
      <c r="BB175" s="228">
        <v>64</v>
      </c>
      <c r="BC175" s="228">
        <v>-30</v>
      </c>
      <c r="BD175" s="229">
        <v>-0.47139999999999999</v>
      </c>
      <c r="BE175" s="228">
        <v>7</v>
      </c>
      <c r="BF175" s="228">
        <v>25</v>
      </c>
      <c r="BG175" s="228">
        <v>-18</v>
      </c>
      <c r="BH175" s="229">
        <v>-0.70420000000000005</v>
      </c>
      <c r="BI175" s="228">
        <v>283</v>
      </c>
      <c r="BJ175" s="228">
        <v>430</v>
      </c>
      <c r="BK175" s="228">
        <v>-147</v>
      </c>
      <c r="BL175" s="229">
        <v>-0.34179999999999999</v>
      </c>
      <c r="BM175" s="228">
        <v>87</v>
      </c>
      <c r="BN175" s="228">
        <v>173</v>
      </c>
      <c r="BO175" s="228">
        <v>-86</v>
      </c>
      <c r="BP175" s="229">
        <v>-0.49719999999999998</v>
      </c>
      <c r="BQ175" s="228">
        <v>555</v>
      </c>
      <c r="BR175" s="228">
        <v>921</v>
      </c>
      <c r="BS175" s="228">
        <v>-366</v>
      </c>
      <c r="BT175" s="229">
        <v>-0.39700000000000002</v>
      </c>
      <c r="BU175" s="230">
        <v>8790384</v>
      </c>
      <c r="BV175" s="230">
        <v>13894583</v>
      </c>
      <c r="BW175" s="230">
        <v>-5104199</v>
      </c>
      <c r="BX175" s="229">
        <v>-0.3674</v>
      </c>
      <c r="BY175" s="230">
        <v>2291</v>
      </c>
      <c r="BZ175" s="230">
        <v>2315</v>
      </c>
      <c r="CA175" s="228">
        <v>-23</v>
      </c>
      <c r="CB175" s="229">
        <v>-1.01E-2</v>
      </c>
      <c r="CC175" s="230">
        <v>2040</v>
      </c>
      <c r="CD175" s="230">
        <v>2079</v>
      </c>
      <c r="CE175" s="228">
        <v>-38</v>
      </c>
      <c r="CF175" s="229">
        <v>-1.84E-2</v>
      </c>
      <c r="CG175" s="228">
        <v>206</v>
      </c>
      <c r="CH175" s="228">
        <v>192</v>
      </c>
      <c r="CI175" s="228">
        <v>14</v>
      </c>
      <c r="CJ175" s="229">
        <v>7.2800000000000004E-2</v>
      </c>
      <c r="CK175" s="228">
        <v>45</v>
      </c>
      <c r="CL175" s="228">
        <v>44</v>
      </c>
      <c r="CM175" s="228">
        <v>1</v>
      </c>
      <c r="CN175" s="229">
        <v>2.0799999999999999E-2</v>
      </c>
      <c r="CO175" s="228">
        <v>689</v>
      </c>
      <c r="CP175" s="228">
        <v>694</v>
      </c>
      <c r="CQ175" s="228">
        <v>-5</v>
      </c>
      <c r="CR175" s="229">
        <v>-7.7000000000000002E-3</v>
      </c>
      <c r="CS175" s="228">
        <v>388</v>
      </c>
      <c r="CT175" s="228">
        <v>388</v>
      </c>
      <c r="CU175" s="228">
        <v>0</v>
      </c>
      <c r="CV175" s="229">
        <v>8.9999999999999998E-4</v>
      </c>
      <c r="CW175" s="230">
        <v>3368</v>
      </c>
      <c r="CX175" s="230">
        <v>3397</v>
      </c>
      <c r="CY175" s="228">
        <v>-28</v>
      </c>
      <c r="CZ175" s="229">
        <v>-8.3000000000000001E-3</v>
      </c>
      <c r="DA175" s="228">
        <v>28.21</v>
      </c>
      <c r="DB175" s="228">
        <v>30.2</v>
      </c>
      <c r="DC175" s="228">
        <v>-1.99</v>
      </c>
      <c r="DD175" s="228">
        <v>-1.99</v>
      </c>
      <c r="DE175" s="228">
        <v>43.35</v>
      </c>
      <c r="DF175" s="228">
        <v>43.46</v>
      </c>
      <c r="DG175" s="228">
        <v>-15.14</v>
      </c>
      <c r="DH175" s="228">
        <v>-0.11</v>
      </c>
      <c r="DI175" s="228">
        <v>28.58</v>
      </c>
      <c r="DJ175" s="228">
        <v>30.92</v>
      </c>
      <c r="DK175" s="228">
        <v>-2.34</v>
      </c>
      <c r="DL175" s="228">
        <v>-2.34</v>
      </c>
      <c r="DM175" s="228">
        <v>27.03</v>
      </c>
      <c r="DN175" s="228">
        <v>28.4</v>
      </c>
      <c r="DO175" s="228">
        <v>-1.37</v>
      </c>
      <c r="DP175" s="228">
        <v>-1.37</v>
      </c>
      <c r="DQ175" s="228">
        <v>0.56000000000000005</v>
      </c>
      <c r="DR175" s="228">
        <v>0.56000000000000005</v>
      </c>
      <c r="DS175" s="228">
        <v>0</v>
      </c>
      <c r="DT175" s="229">
        <v>0</v>
      </c>
      <c r="DU175" s="228">
        <v>140</v>
      </c>
      <c r="DV175" s="228">
        <v>125</v>
      </c>
      <c r="DW175" s="228">
        <v>0.31</v>
      </c>
      <c r="DX175" s="228">
        <v>0.4</v>
      </c>
      <c r="DY175" s="228">
        <v>-0.09</v>
      </c>
      <c r="DZ175" s="229">
        <v>-0.22500000000000001</v>
      </c>
      <c r="EA175" s="229">
        <v>0.1094</v>
      </c>
      <c r="EB175" s="230">
        <v>18099700</v>
      </c>
      <c r="EC175" s="229">
        <v>6.4000000000000003E-3</v>
      </c>
      <c r="ED175" s="229">
        <v>0.1094</v>
      </c>
      <c r="EE175" s="228">
        <v>0.77</v>
      </c>
      <c r="EF175" s="229">
        <v>5.8999999999999999E-3</v>
      </c>
      <c r="EG175" s="230">
        <v>4118739</v>
      </c>
      <c r="EH175" s="230">
        <v>6302117</v>
      </c>
      <c r="EI175" s="229">
        <v>-0.34649999999999997</v>
      </c>
      <c r="EJ175" s="229">
        <v>0.46860000000000002</v>
      </c>
      <c r="EK175" s="228">
        <v>296.27999999999997</v>
      </c>
      <c r="EL175" s="228">
        <v>86.97</v>
      </c>
      <c r="EM175" s="228">
        <v>185.44</v>
      </c>
      <c r="EN175" s="228">
        <v>40.9</v>
      </c>
      <c r="EO175" s="228">
        <v>568.70000000000005</v>
      </c>
      <c r="EP175" s="228">
        <v>940.83</v>
      </c>
      <c r="EQ175" s="228">
        <v>-372.14</v>
      </c>
      <c r="ER175" s="229">
        <v>-0.39550000000000002</v>
      </c>
      <c r="ES175" s="228">
        <v>737.26</v>
      </c>
      <c r="ET175" s="228">
        <v>386.93</v>
      </c>
      <c r="EU175" s="231">
        <v>2292.94</v>
      </c>
      <c r="EV175" s="231">
        <v>216861410</v>
      </c>
      <c r="EW175" s="231">
        <v>3417.13</v>
      </c>
      <c r="EX175" s="231">
        <v>3438.13</v>
      </c>
      <c r="EY175" s="228">
        <v>-21</v>
      </c>
      <c r="EZ175" s="229">
        <v>-6.1000000000000004E-3</v>
      </c>
      <c r="FA175" s="229">
        <v>1.1919</v>
      </c>
      <c r="FB175" s="227" t="s">
        <v>556</v>
      </c>
      <c r="FC175">
        <f t="shared" si="3"/>
        <v>0</v>
      </c>
    </row>
    <row r="176" spans="1:159" ht="17.25" thickBot="1" x14ac:dyDescent="0.3">
      <c r="A176" s="226">
        <v>46008</v>
      </c>
      <c r="B176" s="227" t="s">
        <v>175</v>
      </c>
      <c r="C176" s="227" t="s">
        <v>687</v>
      </c>
      <c r="D176" s="228">
        <v>4300</v>
      </c>
      <c r="E176" s="228">
        <v>13</v>
      </c>
      <c r="F176" s="228">
        <v>146.19</v>
      </c>
      <c r="G176" s="228">
        <v>147.51</v>
      </c>
      <c r="H176" s="228">
        <v>-1.32</v>
      </c>
      <c r="I176" s="229">
        <v>-8.8999999999999999E-3</v>
      </c>
      <c r="J176" s="228">
        <v>145.78</v>
      </c>
      <c r="K176" s="228">
        <v>146.88999999999999</v>
      </c>
      <c r="L176" s="228">
        <v>-1.1100000000000001</v>
      </c>
      <c r="M176" s="229">
        <v>-7.6E-3</v>
      </c>
      <c r="N176" s="228">
        <v>146.19</v>
      </c>
      <c r="O176" s="228">
        <v>147.51</v>
      </c>
      <c r="P176" s="228">
        <v>-1.32</v>
      </c>
      <c r="Q176" s="229">
        <v>-8.8999999999999999E-3</v>
      </c>
      <c r="R176" s="228">
        <v>147.16999999999999</v>
      </c>
      <c r="S176" s="228">
        <v>148.44999999999999</v>
      </c>
      <c r="T176" s="228">
        <v>-1.28</v>
      </c>
      <c r="U176" s="229">
        <v>-8.6E-3</v>
      </c>
      <c r="V176" s="228">
        <v>147.65</v>
      </c>
      <c r="W176" s="228">
        <v>149.46</v>
      </c>
      <c r="X176" s="228">
        <v>-1.81</v>
      </c>
      <c r="Y176" s="229">
        <v>-1.21E-2</v>
      </c>
      <c r="Z176" s="228">
        <v>0.41</v>
      </c>
      <c r="AA176" s="228">
        <v>0.62</v>
      </c>
      <c r="AB176" s="228">
        <v>-0.21</v>
      </c>
      <c r="AC176" s="229">
        <v>2.8E-3</v>
      </c>
      <c r="AD176" s="228">
        <v>0.41</v>
      </c>
      <c r="AE176" s="228">
        <v>0.62</v>
      </c>
      <c r="AF176" s="228">
        <v>-0.21</v>
      </c>
      <c r="AG176" s="229">
        <v>2.8E-3</v>
      </c>
      <c r="AH176" s="228">
        <v>1.39</v>
      </c>
      <c r="AI176" s="228">
        <v>1.56</v>
      </c>
      <c r="AJ176" s="228">
        <v>-0.17</v>
      </c>
      <c r="AK176" s="229">
        <v>9.4999999999999998E-3</v>
      </c>
      <c r="AL176" s="228">
        <v>1.87</v>
      </c>
      <c r="AM176" s="228">
        <v>2.57</v>
      </c>
      <c r="AN176" s="228">
        <v>-0.7</v>
      </c>
      <c r="AO176" s="229">
        <v>1.2800000000000001E-2</v>
      </c>
      <c r="AP176" s="228">
        <v>147.46</v>
      </c>
      <c r="AQ176" s="228">
        <v>148</v>
      </c>
      <c r="AR176" s="228">
        <v>0</v>
      </c>
      <c r="AS176" s="230">
        <v>1199</v>
      </c>
      <c r="AT176" s="228">
        <v>257</v>
      </c>
      <c r="AU176" s="228">
        <v>942</v>
      </c>
      <c r="AV176" s="229">
        <v>3.6621000000000001</v>
      </c>
      <c r="AW176" s="228">
        <v>857</v>
      </c>
      <c r="AX176" s="228">
        <v>176</v>
      </c>
      <c r="AY176" s="228">
        <v>681</v>
      </c>
      <c r="AZ176" s="229">
        <v>3.8714</v>
      </c>
      <c r="BA176" s="228">
        <v>323</v>
      </c>
      <c r="BB176" s="228">
        <v>79</v>
      </c>
      <c r="BC176" s="228">
        <v>244</v>
      </c>
      <c r="BD176" s="229">
        <v>3.0703999999999998</v>
      </c>
      <c r="BE176" s="228">
        <v>18</v>
      </c>
      <c r="BF176" s="228">
        <v>2</v>
      </c>
      <c r="BG176" s="228">
        <v>16</v>
      </c>
      <c r="BH176" s="229">
        <v>9.8846000000000007</v>
      </c>
      <c r="BI176" s="230">
        <v>3145</v>
      </c>
      <c r="BJ176" s="228">
        <v>510</v>
      </c>
      <c r="BK176" s="230">
        <v>2635</v>
      </c>
      <c r="BL176" s="229">
        <v>5.1707000000000001</v>
      </c>
      <c r="BM176" s="230">
        <v>1783</v>
      </c>
      <c r="BN176" s="228">
        <v>165</v>
      </c>
      <c r="BO176" s="230">
        <v>1618</v>
      </c>
      <c r="BP176" s="229">
        <v>9.7952999999999992</v>
      </c>
      <c r="BQ176" s="230">
        <v>6127</v>
      </c>
      <c r="BR176" s="228">
        <v>932</v>
      </c>
      <c r="BS176" s="230">
        <v>5195</v>
      </c>
      <c r="BT176" s="229">
        <v>5.5743</v>
      </c>
      <c r="BU176" s="230">
        <v>41847304</v>
      </c>
      <c r="BV176" s="230">
        <v>7762087</v>
      </c>
      <c r="BW176" s="230">
        <v>34085217</v>
      </c>
      <c r="BX176" s="229">
        <v>4.3912000000000004</v>
      </c>
      <c r="BY176" s="230">
        <v>1669</v>
      </c>
      <c r="BZ176" s="230">
        <v>1536</v>
      </c>
      <c r="CA176" s="228">
        <v>133</v>
      </c>
      <c r="CB176" s="229">
        <v>8.6499999999999994E-2</v>
      </c>
      <c r="CC176" s="230">
        <v>1247</v>
      </c>
      <c r="CD176" s="230">
        <v>1308</v>
      </c>
      <c r="CE176" s="228">
        <v>-61</v>
      </c>
      <c r="CF176" s="229">
        <v>-4.6899999999999997E-2</v>
      </c>
      <c r="CG176" s="228">
        <v>405</v>
      </c>
      <c r="CH176" s="228">
        <v>224</v>
      </c>
      <c r="CI176" s="228">
        <v>181</v>
      </c>
      <c r="CJ176" s="229">
        <v>0.80730000000000002</v>
      </c>
      <c r="CK176" s="228">
        <v>17</v>
      </c>
      <c r="CL176" s="228">
        <v>4</v>
      </c>
      <c r="CM176" s="228">
        <v>13</v>
      </c>
      <c r="CN176" s="229">
        <v>3.4754</v>
      </c>
      <c r="CO176" s="228">
        <v>955</v>
      </c>
      <c r="CP176" s="228">
        <v>794</v>
      </c>
      <c r="CQ176" s="228">
        <v>160</v>
      </c>
      <c r="CR176" s="229">
        <v>0.20169999999999999</v>
      </c>
      <c r="CS176" s="228">
        <v>600</v>
      </c>
      <c r="CT176" s="228">
        <v>433</v>
      </c>
      <c r="CU176" s="228">
        <v>168</v>
      </c>
      <c r="CV176" s="229">
        <v>0.38700000000000001</v>
      </c>
      <c r="CW176" s="230">
        <v>3224</v>
      </c>
      <c r="CX176" s="230">
        <v>2764</v>
      </c>
      <c r="CY176" s="228">
        <v>461</v>
      </c>
      <c r="CZ176" s="229">
        <v>0.16669999999999999</v>
      </c>
      <c r="DA176" s="228">
        <v>46.62</v>
      </c>
      <c r="DB176" s="228">
        <v>55.05</v>
      </c>
      <c r="DC176" s="228">
        <v>-8.43</v>
      </c>
      <c r="DD176" s="228">
        <v>-8.43</v>
      </c>
      <c r="DE176" s="228">
        <v>57.49</v>
      </c>
      <c r="DF176" s="228">
        <v>57.63</v>
      </c>
      <c r="DG176" s="228">
        <v>-10.87</v>
      </c>
      <c r="DH176" s="228">
        <v>-0.14000000000000001</v>
      </c>
      <c r="DI176" s="228">
        <v>47.54</v>
      </c>
      <c r="DJ176" s="228">
        <v>55.13</v>
      </c>
      <c r="DK176" s="228">
        <v>-7.59</v>
      </c>
      <c r="DL176" s="228">
        <v>-7.59</v>
      </c>
      <c r="DM176" s="228">
        <v>45</v>
      </c>
      <c r="DN176" s="228">
        <v>54.78</v>
      </c>
      <c r="DO176" s="228">
        <v>-9.7799999999999994</v>
      </c>
      <c r="DP176" s="228">
        <v>-9.7799999999999994</v>
      </c>
      <c r="DQ176" s="228">
        <v>0.63</v>
      </c>
      <c r="DR176" s="228">
        <v>0.54</v>
      </c>
      <c r="DS176" s="228">
        <v>0.09</v>
      </c>
      <c r="DT176" s="229">
        <v>0.16669999999999999</v>
      </c>
      <c r="DU176" s="228">
        <v>155</v>
      </c>
      <c r="DV176" s="228">
        <v>140</v>
      </c>
      <c r="DW176" s="228">
        <v>0.56999999999999995</v>
      </c>
      <c r="DX176" s="228">
        <v>0.32</v>
      </c>
      <c r="DY176" s="228">
        <v>0.25</v>
      </c>
      <c r="DZ176" s="229">
        <v>0.78120000000000001</v>
      </c>
      <c r="EA176" s="229">
        <v>0.253</v>
      </c>
      <c r="EB176" s="230">
        <v>15596100</v>
      </c>
      <c r="EC176" s="229">
        <v>6.7000000000000002E-3</v>
      </c>
      <c r="ED176" s="229">
        <v>0.253</v>
      </c>
      <c r="EE176" s="228">
        <v>0.54</v>
      </c>
      <c r="EF176" s="229">
        <v>3.7000000000000002E-3</v>
      </c>
      <c r="EG176" s="230">
        <v>8582370</v>
      </c>
      <c r="EH176" s="230">
        <v>2793159</v>
      </c>
      <c r="EI176" s="229">
        <v>2.0726</v>
      </c>
      <c r="EJ176" s="229">
        <v>0.2051</v>
      </c>
      <c r="EK176" s="231">
        <v>3480.97</v>
      </c>
      <c r="EL176" s="231">
        <v>1763.84</v>
      </c>
      <c r="EM176" s="231">
        <v>1210.3900000000001</v>
      </c>
      <c r="EN176" s="228">
        <v>47.01</v>
      </c>
      <c r="EO176" s="231">
        <v>6455.2</v>
      </c>
      <c r="EP176" s="228">
        <v>995.36</v>
      </c>
      <c r="EQ176" s="231">
        <v>5459.84</v>
      </c>
      <c r="ER176" s="229">
        <v>5.4852999999999996</v>
      </c>
      <c r="ES176" s="231">
        <v>1092.67</v>
      </c>
      <c r="ET176" s="228">
        <v>619.54</v>
      </c>
      <c r="EU176" s="231">
        <v>1672.24</v>
      </c>
      <c r="EV176" s="231">
        <v>122326971</v>
      </c>
      <c r="EW176" s="231">
        <v>3384.45</v>
      </c>
      <c r="EX176" s="231">
        <v>2930.56</v>
      </c>
      <c r="EY176" s="228">
        <v>453.89</v>
      </c>
      <c r="EZ176" s="229">
        <v>0.15490000000000001</v>
      </c>
      <c r="FA176" s="229">
        <v>1.8030999999999999</v>
      </c>
      <c r="FB176" s="227" t="s">
        <v>567</v>
      </c>
      <c r="FC176">
        <f t="shared" si="3"/>
        <v>0</v>
      </c>
    </row>
    <row r="177" spans="1:159" ht="17.25" thickBot="1" x14ac:dyDescent="0.3">
      <c r="A177" s="226">
        <v>46008</v>
      </c>
      <c r="B177" s="227" t="s">
        <v>175</v>
      </c>
      <c r="C177" s="227" t="s">
        <v>536</v>
      </c>
      <c r="D177" s="228">
        <v>800</v>
      </c>
      <c r="E177" s="228">
        <v>13</v>
      </c>
      <c r="F177" s="228">
        <v>836.55</v>
      </c>
      <c r="G177" s="228">
        <v>847.6</v>
      </c>
      <c r="H177" s="228">
        <v>-11.05</v>
      </c>
      <c r="I177" s="229">
        <v>-1.2999999999999999E-2</v>
      </c>
      <c r="J177" s="228">
        <v>834.4</v>
      </c>
      <c r="K177" s="228">
        <v>847.7</v>
      </c>
      <c r="L177" s="228">
        <v>-13.3</v>
      </c>
      <c r="M177" s="229">
        <v>-1.5699999999999999E-2</v>
      </c>
      <c r="N177" s="228">
        <v>836.55</v>
      </c>
      <c r="O177" s="228">
        <v>847.6</v>
      </c>
      <c r="P177" s="228">
        <v>-11.05</v>
      </c>
      <c r="Q177" s="229">
        <v>-1.2999999999999999E-2</v>
      </c>
      <c r="R177" s="228">
        <v>836.75</v>
      </c>
      <c r="S177" s="228">
        <v>848.6</v>
      </c>
      <c r="T177" s="228">
        <v>-11.85</v>
      </c>
      <c r="U177" s="229">
        <v>-1.4E-2</v>
      </c>
      <c r="V177" s="228">
        <v>838</v>
      </c>
      <c r="W177" s="228">
        <v>849.85</v>
      </c>
      <c r="X177" s="228">
        <v>-11.85</v>
      </c>
      <c r="Y177" s="229">
        <v>-1.3899999999999999E-2</v>
      </c>
      <c r="Z177" s="228">
        <v>2.15</v>
      </c>
      <c r="AA177" s="228">
        <v>-0.1</v>
      </c>
      <c r="AB177" s="228">
        <v>2.25</v>
      </c>
      <c r="AC177" s="229">
        <v>2.5999999999999999E-3</v>
      </c>
      <c r="AD177" s="228">
        <v>2.15</v>
      </c>
      <c r="AE177" s="228">
        <v>-0.1</v>
      </c>
      <c r="AF177" s="228">
        <v>2.25</v>
      </c>
      <c r="AG177" s="229">
        <v>2.5999999999999999E-3</v>
      </c>
      <c r="AH177" s="228">
        <v>2.35</v>
      </c>
      <c r="AI177" s="228">
        <v>0.9</v>
      </c>
      <c r="AJ177" s="228">
        <v>1.45</v>
      </c>
      <c r="AK177" s="229">
        <v>2.8E-3</v>
      </c>
      <c r="AL177" s="228">
        <v>3.6</v>
      </c>
      <c r="AM177" s="228">
        <v>2.15</v>
      </c>
      <c r="AN177" s="228">
        <v>1.45</v>
      </c>
      <c r="AO177" s="229">
        <v>4.3E-3</v>
      </c>
      <c r="AP177" s="228">
        <v>839.75</v>
      </c>
      <c r="AQ177" s="228">
        <v>840.28</v>
      </c>
      <c r="AR177" s="228">
        <v>0</v>
      </c>
      <c r="AS177" s="228">
        <v>206</v>
      </c>
      <c r="AT177" s="228">
        <v>226</v>
      </c>
      <c r="AU177" s="228">
        <v>-20</v>
      </c>
      <c r="AV177" s="229">
        <v>-8.8499999999999995E-2</v>
      </c>
      <c r="AW177" s="228">
        <v>169</v>
      </c>
      <c r="AX177" s="228">
        <v>183</v>
      </c>
      <c r="AY177" s="228">
        <v>-14</v>
      </c>
      <c r="AZ177" s="229">
        <v>-7.8700000000000006E-2</v>
      </c>
      <c r="BA177" s="228">
        <v>36</v>
      </c>
      <c r="BB177" s="228">
        <v>38</v>
      </c>
      <c r="BC177" s="228">
        <v>-2</v>
      </c>
      <c r="BD177" s="229">
        <v>-5.1299999999999998E-2</v>
      </c>
      <c r="BE177" s="228">
        <v>2</v>
      </c>
      <c r="BF177" s="228">
        <v>5</v>
      </c>
      <c r="BG177" s="228">
        <v>-4</v>
      </c>
      <c r="BH177" s="229">
        <v>-0.67069999999999996</v>
      </c>
      <c r="BI177" s="228">
        <v>606</v>
      </c>
      <c r="BJ177" s="228">
        <v>547</v>
      </c>
      <c r="BK177" s="228">
        <v>59</v>
      </c>
      <c r="BL177" s="229">
        <v>0.1082</v>
      </c>
      <c r="BM177" s="228">
        <v>540</v>
      </c>
      <c r="BN177" s="228">
        <v>300</v>
      </c>
      <c r="BO177" s="228">
        <v>240</v>
      </c>
      <c r="BP177" s="229">
        <v>0.80069999999999997</v>
      </c>
      <c r="BQ177" s="230">
        <v>1353</v>
      </c>
      <c r="BR177" s="230">
        <v>1073</v>
      </c>
      <c r="BS177" s="228">
        <v>279</v>
      </c>
      <c r="BT177" s="229">
        <v>0.26040000000000002</v>
      </c>
      <c r="BU177" s="230">
        <v>912830</v>
      </c>
      <c r="BV177" s="230">
        <v>829183</v>
      </c>
      <c r="BW177" s="230">
        <v>83647</v>
      </c>
      <c r="BX177" s="229">
        <v>0.1009</v>
      </c>
      <c r="BY177" s="230">
        <v>1414</v>
      </c>
      <c r="BZ177" s="230">
        <v>1389</v>
      </c>
      <c r="CA177" s="228">
        <v>25</v>
      </c>
      <c r="CB177" s="229">
        <v>1.78E-2</v>
      </c>
      <c r="CC177" s="230">
        <v>1296</v>
      </c>
      <c r="CD177" s="230">
        <v>1284</v>
      </c>
      <c r="CE177" s="228">
        <v>12</v>
      </c>
      <c r="CF177" s="229">
        <v>9.5999999999999992E-3</v>
      </c>
      <c r="CG177" s="228">
        <v>109</v>
      </c>
      <c r="CH177" s="228">
        <v>97</v>
      </c>
      <c r="CI177" s="228">
        <v>12</v>
      </c>
      <c r="CJ177" s="229">
        <v>0.12280000000000001</v>
      </c>
      <c r="CK177" s="228">
        <v>9</v>
      </c>
      <c r="CL177" s="228">
        <v>9</v>
      </c>
      <c r="CM177" s="228">
        <v>1</v>
      </c>
      <c r="CN177" s="229">
        <v>6.1499999999999999E-2</v>
      </c>
      <c r="CO177" s="228">
        <v>551</v>
      </c>
      <c r="CP177" s="228">
        <v>515</v>
      </c>
      <c r="CQ177" s="228">
        <v>36</v>
      </c>
      <c r="CR177" s="229">
        <v>6.9199999999999998E-2</v>
      </c>
      <c r="CS177" s="228">
        <v>364</v>
      </c>
      <c r="CT177" s="228">
        <v>361</v>
      </c>
      <c r="CU177" s="228">
        <v>3</v>
      </c>
      <c r="CV177" s="229">
        <v>7.7999999999999996E-3</v>
      </c>
      <c r="CW177" s="230">
        <v>2329</v>
      </c>
      <c r="CX177" s="230">
        <v>2266</v>
      </c>
      <c r="CY177" s="228">
        <v>63</v>
      </c>
      <c r="CZ177" s="229">
        <v>2.7900000000000001E-2</v>
      </c>
      <c r="DA177" s="228">
        <v>23.93</v>
      </c>
      <c r="DB177" s="228">
        <v>24.01</v>
      </c>
      <c r="DC177" s="228">
        <v>-0.08</v>
      </c>
      <c r="DD177" s="228">
        <v>-0.08</v>
      </c>
      <c r="DE177" s="228">
        <v>29.3</v>
      </c>
      <c r="DF177" s="228">
        <v>29.3</v>
      </c>
      <c r="DG177" s="228">
        <v>-5.37</v>
      </c>
      <c r="DH177" s="228">
        <v>0</v>
      </c>
      <c r="DI177" s="228">
        <v>25.19</v>
      </c>
      <c r="DJ177" s="228">
        <v>24.67</v>
      </c>
      <c r="DK177" s="228">
        <v>0.52</v>
      </c>
      <c r="DL177" s="228">
        <v>0.52</v>
      </c>
      <c r="DM177" s="228">
        <v>22.53</v>
      </c>
      <c r="DN177" s="228">
        <v>22.8</v>
      </c>
      <c r="DO177" s="228">
        <v>-0.27</v>
      </c>
      <c r="DP177" s="228">
        <v>-0.27</v>
      </c>
      <c r="DQ177" s="228">
        <v>0.66</v>
      </c>
      <c r="DR177" s="228">
        <v>0.7</v>
      </c>
      <c r="DS177" s="228">
        <v>-0.04</v>
      </c>
      <c r="DT177" s="229">
        <v>-5.7099999999999998E-2</v>
      </c>
      <c r="DU177" s="228">
        <v>900</v>
      </c>
      <c r="DV177" s="228">
        <v>800</v>
      </c>
      <c r="DW177" s="228">
        <v>0.89</v>
      </c>
      <c r="DX177" s="228">
        <v>0.55000000000000004</v>
      </c>
      <c r="DY177" s="228">
        <v>0.34</v>
      </c>
      <c r="DZ177" s="229">
        <v>0.61819999999999997</v>
      </c>
      <c r="EA177" s="229">
        <v>8.3500000000000005E-2</v>
      </c>
      <c r="EB177" s="230">
        <v>1263200</v>
      </c>
      <c r="EC177" s="229">
        <v>2.0000000000000001E-4</v>
      </c>
      <c r="ED177" s="229">
        <v>8.3500000000000005E-2</v>
      </c>
      <c r="EE177" s="228">
        <v>0.53</v>
      </c>
      <c r="EF177" s="229">
        <v>5.9999999999999995E-4</v>
      </c>
      <c r="EG177" s="230">
        <v>536389</v>
      </c>
      <c r="EH177" s="230">
        <v>383977</v>
      </c>
      <c r="EI177" s="229">
        <v>0.39689999999999998</v>
      </c>
      <c r="EJ177" s="229">
        <v>0.58760000000000001</v>
      </c>
      <c r="EK177" s="228">
        <v>640.69000000000005</v>
      </c>
      <c r="EL177" s="228">
        <v>543.63</v>
      </c>
      <c r="EM177" s="228">
        <v>207.01</v>
      </c>
      <c r="EN177" s="228">
        <v>28.51</v>
      </c>
      <c r="EO177" s="231">
        <v>1391.32</v>
      </c>
      <c r="EP177" s="231">
        <v>1122.6300000000001</v>
      </c>
      <c r="EQ177" s="228">
        <v>268.68</v>
      </c>
      <c r="ER177" s="229">
        <v>0.23930000000000001</v>
      </c>
      <c r="ES177" s="228">
        <v>597.30999999999995</v>
      </c>
      <c r="ET177" s="228">
        <v>362.81</v>
      </c>
      <c r="EU177" s="231">
        <v>1414.01</v>
      </c>
      <c r="EV177" s="231">
        <v>39583537</v>
      </c>
      <c r="EW177" s="231">
        <v>2374.13</v>
      </c>
      <c r="EX177" s="231">
        <v>2332.4499999999998</v>
      </c>
      <c r="EY177" s="228">
        <v>41.68</v>
      </c>
      <c r="EZ177" s="229">
        <v>1.7899999999999999E-2</v>
      </c>
      <c r="FA177" s="229">
        <v>0.70340000000000003</v>
      </c>
      <c r="FB177" s="227" t="s">
        <v>567</v>
      </c>
      <c r="FC177">
        <f t="shared" si="3"/>
        <v>0</v>
      </c>
    </row>
    <row r="178" spans="1:159" ht="17.25" thickBot="1" x14ac:dyDescent="0.3">
      <c r="A178" s="226">
        <v>46008</v>
      </c>
      <c r="B178" s="227" t="s">
        <v>175</v>
      </c>
      <c r="C178" s="227" t="s">
        <v>462</v>
      </c>
      <c r="D178" s="228">
        <v>375</v>
      </c>
      <c r="E178" s="228">
        <v>13</v>
      </c>
      <c r="F178" s="231">
        <v>2016.3</v>
      </c>
      <c r="G178" s="231">
        <v>2035.8</v>
      </c>
      <c r="H178" s="228">
        <v>-19.5</v>
      </c>
      <c r="I178" s="229">
        <v>-9.5999999999999992E-3</v>
      </c>
      <c r="J178" s="231">
        <v>2010.2</v>
      </c>
      <c r="K178" s="231">
        <v>2036</v>
      </c>
      <c r="L178" s="228">
        <v>-25.8</v>
      </c>
      <c r="M178" s="229">
        <v>-1.2699999999999999E-2</v>
      </c>
      <c r="N178" s="231">
        <v>2016.3</v>
      </c>
      <c r="O178" s="231">
        <v>2035.8</v>
      </c>
      <c r="P178" s="228">
        <v>-19.5</v>
      </c>
      <c r="Q178" s="229">
        <v>-9.5999999999999992E-3</v>
      </c>
      <c r="R178" s="231">
        <v>2028.3</v>
      </c>
      <c r="S178" s="231">
        <v>2048.3000000000002</v>
      </c>
      <c r="T178" s="228">
        <v>-20</v>
      </c>
      <c r="U178" s="229">
        <v>-9.7999999999999997E-3</v>
      </c>
      <c r="V178" s="231">
        <v>2040.7</v>
      </c>
      <c r="W178" s="231">
        <v>2061.3000000000002</v>
      </c>
      <c r="X178" s="228">
        <v>-20.6</v>
      </c>
      <c r="Y178" s="229">
        <v>-0.01</v>
      </c>
      <c r="Z178" s="228">
        <v>6.1</v>
      </c>
      <c r="AA178" s="228">
        <v>-0.2</v>
      </c>
      <c r="AB178" s="228">
        <v>6.3</v>
      </c>
      <c r="AC178" s="229">
        <v>3.0000000000000001E-3</v>
      </c>
      <c r="AD178" s="228">
        <v>6.1</v>
      </c>
      <c r="AE178" s="228">
        <v>-0.2</v>
      </c>
      <c r="AF178" s="228">
        <v>6.3</v>
      </c>
      <c r="AG178" s="229">
        <v>3.0000000000000001E-3</v>
      </c>
      <c r="AH178" s="228">
        <v>18.100000000000001</v>
      </c>
      <c r="AI178" s="228">
        <v>12.3</v>
      </c>
      <c r="AJ178" s="228">
        <v>5.8</v>
      </c>
      <c r="AK178" s="229">
        <v>8.9999999999999993E-3</v>
      </c>
      <c r="AL178" s="228">
        <v>30.5</v>
      </c>
      <c r="AM178" s="228">
        <v>25.3</v>
      </c>
      <c r="AN178" s="228">
        <v>5.2</v>
      </c>
      <c r="AO178" s="229">
        <v>1.52E-2</v>
      </c>
      <c r="AP178" s="231">
        <v>2015.55</v>
      </c>
      <c r="AQ178" s="231">
        <v>2030.17</v>
      </c>
      <c r="AR178" s="228">
        <v>0</v>
      </c>
      <c r="AS178" s="228">
        <v>307</v>
      </c>
      <c r="AT178" s="228">
        <v>255</v>
      </c>
      <c r="AU178" s="228">
        <v>52</v>
      </c>
      <c r="AV178" s="229">
        <v>0.20519999999999999</v>
      </c>
      <c r="AW178" s="228">
        <v>269</v>
      </c>
      <c r="AX178" s="228">
        <v>228</v>
      </c>
      <c r="AY178" s="228">
        <v>40</v>
      </c>
      <c r="AZ178" s="229">
        <v>0.1764</v>
      </c>
      <c r="BA178" s="228">
        <v>35</v>
      </c>
      <c r="BB178" s="228">
        <v>22</v>
      </c>
      <c r="BC178" s="228">
        <v>13</v>
      </c>
      <c r="BD178" s="229">
        <v>0.60489999999999999</v>
      </c>
      <c r="BE178" s="228">
        <v>4</v>
      </c>
      <c r="BF178" s="228">
        <v>5</v>
      </c>
      <c r="BG178" s="228">
        <v>-1</v>
      </c>
      <c r="BH178" s="229">
        <v>-0.21879999999999999</v>
      </c>
      <c r="BI178" s="230">
        <v>1179</v>
      </c>
      <c r="BJ178" s="230">
        <v>1455</v>
      </c>
      <c r="BK178" s="228">
        <v>-276</v>
      </c>
      <c r="BL178" s="229">
        <v>-0.18990000000000001</v>
      </c>
      <c r="BM178" s="230">
        <v>1205</v>
      </c>
      <c r="BN178" s="228">
        <v>480</v>
      </c>
      <c r="BO178" s="228">
        <v>725</v>
      </c>
      <c r="BP178" s="229">
        <v>1.5084</v>
      </c>
      <c r="BQ178" s="230">
        <v>2691</v>
      </c>
      <c r="BR178" s="230">
        <v>2190</v>
      </c>
      <c r="BS178" s="228">
        <v>501</v>
      </c>
      <c r="BT178" s="229">
        <v>0.22850000000000001</v>
      </c>
      <c r="BU178" s="230">
        <v>1004015</v>
      </c>
      <c r="BV178" s="230">
        <v>824016</v>
      </c>
      <c r="BW178" s="230">
        <v>179999</v>
      </c>
      <c r="BX178" s="229">
        <v>0.21840000000000001</v>
      </c>
      <c r="BY178" s="230">
        <v>1595</v>
      </c>
      <c r="BZ178" s="230">
        <v>1606</v>
      </c>
      <c r="CA178" s="228">
        <v>-11</v>
      </c>
      <c r="CB178" s="229">
        <v>-7.0000000000000001E-3</v>
      </c>
      <c r="CC178" s="230">
        <v>1508</v>
      </c>
      <c r="CD178" s="230">
        <v>1535</v>
      </c>
      <c r="CE178" s="228">
        <v>-27</v>
      </c>
      <c r="CF178" s="229">
        <v>-1.78E-2</v>
      </c>
      <c r="CG178" s="228">
        <v>73</v>
      </c>
      <c r="CH178" s="228">
        <v>59</v>
      </c>
      <c r="CI178" s="228">
        <v>15</v>
      </c>
      <c r="CJ178" s="229">
        <v>0.24970000000000001</v>
      </c>
      <c r="CK178" s="228">
        <v>13</v>
      </c>
      <c r="CL178" s="228">
        <v>12</v>
      </c>
      <c r="CM178" s="228">
        <v>2</v>
      </c>
      <c r="CN178" s="229">
        <v>0.12740000000000001</v>
      </c>
      <c r="CO178" s="228">
        <v>889</v>
      </c>
      <c r="CP178" s="228">
        <v>940</v>
      </c>
      <c r="CQ178" s="228">
        <v>-51</v>
      </c>
      <c r="CR178" s="229">
        <v>-5.3800000000000001E-2</v>
      </c>
      <c r="CS178" s="228">
        <v>428</v>
      </c>
      <c r="CT178" s="228">
        <v>495</v>
      </c>
      <c r="CU178" s="228">
        <v>-67</v>
      </c>
      <c r="CV178" s="229">
        <v>-0.13539999999999999</v>
      </c>
      <c r="CW178" s="230">
        <v>2913</v>
      </c>
      <c r="CX178" s="230">
        <v>3041</v>
      </c>
      <c r="CY178" s="228">
        <v>-129</v>
      </c>
      <c r="CZ178" s="229">
        <v>-4.24E-2</v>
      </c>
      <c r="DA178" s="228">
        <v>15.66</v>
      </c>
      <c r="DB178" s="228">
        <v>15.45</v>
      </c>
      <c r="DC178" s="228">
        <v>0.21</v>
      </c>
      <c r="DD178" s="228">
        <v>0.21</v>
      </c>
      <c r="DE178" s="228">
        <v>24.38</v>
      </c>
      <c r="DF178" s="228">
        <v>24.38</v>
      </c>
      <c r="DG178" s="228">
        <v>-8.7200000000000006</v>
      </c>
      <c r="DH178" s="228">
        <v>0</v>
      </c>
      <c r="DI178" s="228">
        <v>15.69</v>
      </c>
      <c r="DJ178" s="228">
        <v>15.3</v>
      </c>
      <c r="DK178" s="228">
        <v>0.39</v>
      </c>
      <c r="DL178" s="228">
        <v>0.39</v>
      </c>
      <c r="DM178" s="228">
        <v>15.63</v>
      </c>
      <c r="DN178" s="228">
        <v>15.91</v>
      </c>
      <c r="DO178" s="228">
        <v>-0.28000000000000003</v>
      </c>
      <c r="DP178" s="228">
        <v>-0.28000000000000003</v>
      </c>
      <c r="DQ178" s="228">
        <v>0.48</v>
      </c>
      <c r="DR178" s="228">
        <v>0.53</v>
      </c>
      <c r="DS178" s="228">
        <v>-0.05</v>
      </c>
      <c r="DT178" s="229">
        <v>-9.4299999999999995E-2</v>
      </c>
      <c r="DU178" s="231">
        <v>2040</v>
      </c>
      <c r="DV178" s="231">
        <v>1840</v>
      </c>
      <c r="DW178" s="228">
        <v>1.02</v>
      </c>
      <c r="DX178" s="228">
        <v>0.33</v>
      </c>
      <c r="DY178" s="228">
        <v>0.69</v>
      </c>
      <c r="DZ178" s="229">
        <v>2.0909</v>
      </c>
      <c r="EA178" s="229">
        <v>5.4399999999999997E-2</v>
      </c>
      <c r="EB178" s="230">
        <v>350250</v>
      </c>
      <c r="EC178" s="229">
        <v>6.0000000000000001E-3</v>
      </c>
      <c r="ED178" s="229">
        <v>5.4399999999999997E-2</v>
      </c>
      <c r="EE178" s="228">
        <v>14.62</v>
      </c>
      <c r="EF178" s="229">
        <v>7.3000000000000001E-3</v>
      </c>
      <c r="EG178" s="230">
        <v>695607</v>
      </c>
      <c r="EH178" s="230">
        <v>507092</v>
      </c>
      <c r="EI178" s="229">
        <v>0.37180000000000002</v>
      </c>
      <c r="EJ178" s="229">
        <v>0.69279999999999997</v>
      </c>
      <c r="EK178" s="231">
        <v>1210.93</v>
      </c>
      <c r="EL178" s="231">
        <v>1203.58</v>
      </c>
      <c r="EM178" s="228">
        <v>307.47000000000003</v>
      </c>
      <c r="EN178" s="228">
        <v>25.63</v>
      </c>
      <c r="EO178" s="231">
        <v>2721.98</v>
      </c>
      <c r="EP178" s="231">
        <v>2246.33</v>
      </c>
      <c r="EQ178" s="228">
        <v>475.65</v>
      </c>
      <c r="ER178" s="229">
        <v>0.2117</v>
      </c>
      <c r="ES178" s="228">
        <v>916.4</v>
      </c>
      <c r="ET178" s="228">
        <v>412.23</v>
      </c>
      <c r="EU178" s="231">
        <v>1595.32</v>
      </c>
      <c r="EV178" s="231">
        <v>44735132</v>
      </c>
      <c r="EW178" s="231">
        <v>2923.94</v>
      </c>
      <c r="EX178" s="231">
        <v>3069.66</v>
      </c>
      <c r="EY178" s="228">
        <v>-145.72</v>
      </c>
      <c r="EZ178" s="229">
        <v>-4.7500000000000001E-2</v>
      </c>
      <c r="FA178" s="229">
        <v>0.32290000000000002</v>
      </c>
      <c r="FB178" s="227" t="s">
        <v>568</v>
      </c>
      <c r="FC178">
        <f t="shared" si="3"/>
        <v>0</v>
      </c>
    </row>
    <row r="179" spans="1:159" ht="17.25" thickBot="1" x14ac:dyDescent="0.3">
      <c r="A179" s="226">
        <v>46008</v>
      </c>
      <c r="B179" s="227" t="s">
        <v>172</v>
      </c>
      <c r="C179" s="227" t="s">
        <v>283</v>
      </c>
      <c r="D179" s="228">
        <v>750</v>
      </c>
      <c r="E179" s="228">
        <v>13</v>
      </c>
      <c r="F179" s="228">
        <v>977.5</v>
      </c>
      <c r="G179" s="228">
        <v>962.9</v>
      </c>
      <c r="H179" s="228">
        <v>14.6</v>
      </c>
      <c r="I179" s="229">
        <v>1.52E-2</v>
      </c>
      <c r="J179" s="228">
        <v>975.85</v>
      </c>
      <c r="K179" s="228">
        <v>961.15</v>
      </c>
      <c r="L179" s="228">
        <v>14.7</v>
      </c>
      <c r="M179" s="229">
        <v>1.5299999999999999E-2</v>
      </c>
      <c r="N179" s="228">
        <v>977.5</v>
      </c>
      <c r="O179" s="228">
        <v>962.9</v>
      </c>
      <c r="P179" s="228">
        <v>14.6</v>
      </c>
      <c r="Q179" s="229">
        <v>1.52E-2</v>
      </c>
      <c r="R179" s="228">
        <v>983.55</v>
      </c>
      <c r="S179" s="228">
        <v>968.6</v>
      </c>
      <c r="T179" s="228">
        <v>14.95</v>
      </c>
      <c r="U179" s="229">
        <v>1.54E-2</v>
      </c>
      <c r="V179" s="228">
        <v>988.95</v>
      </c>
      <c r="W179" s="228">
        <v>973.95</v>
      </c>
      <c r="X179" s="228">
        <v>15</v>
      </c>
      <c r="Y179" s="229">
        <v>1.54E-2</v>
      </c>
      <c r="Z179" s="228">
        <v>1.65</v>
      </c>
      <c r="AA179" s="228">
        <v>1.75</v>
      </c>
      <c r="AB179" s="228">
        <v>-0.1</v>
      </c>
      <c r="AC179" s="229">
        <v>1.6999999999999999E-3</v>
      </c>
      <c r="AD179" s="228">
        <v>1.65</v>
      </c>
      <c r="AE179" s="228">
        <v>1.75</v>
      </c>
      <c r="AF179" s="228">
        <v>-0.1</v>
      </c>
      <c r="AG179" s="229">
        <v>1.6999999999999999E-3</v>
      </c>
      <c r="AH179" s="228">
        <v>7.7</v>
      </c>
      <c r="AI179" s="228">
        <v>7.45</v>
      </c>
      <c r="AJ179" s="228">
        <v>0.25</v>
      </c>
      <c r="AK179" s="229">
        <v>7.9000000000000008E-3</v>
      </c>
      <c r="AL179" s="228">
        <v>13.1</v>
      </c>
      <c r="AM179" s="228">
        <v>12.8</v>
      </c>
      <c r="AN179" s="228">
        <v>0.3</v>
      </c>
      <c r="AO179" s="229">
        <v>1.34E-2</v>
      </c>
      <c r="AP179" s="228">
        <v>975.62</v>
      </c>
      <c r="AQ179" s="228">
        <v>981.95</v>
      </c>
      <c r="AR179" s="228">
        <v>0</v>
      </c>
      <c r="AS179" s="230">
        <v>1761</v>
      </c>
      <c r="AT179" s="230">
        <v>1173</v>
      </c>
      <c r="AU179" s="228">
        <v>588</v>
      </c>
      <c r="AV179" s="229">
        <v>0.50160000000000005</v>
      </c>
      <c r="AW179" s="230">
        <v>1403</v>
      </c>
      <c r="AX179" s="228">
        <v>965</v>
      </c>
      <c r="AY179" s="228">
        <v>438</v>
      </c>
      <c r="AZ179" s="229">
        <v>0.45350000000000001</v>
      </c>
      <c r="BA179" s="228">
        <v>341</v>
      </c>
      <c r="BB179" s="228">
        <v>204</v>
      </c>
      <c r="BC179" s="228">
        <v>137</v>
      </c>
      <c r="BD179" s="229">
        <v>0.67069999999999996</v>
      </c>
      <c r="BE179" s="228">
        <v>18</v>
      </c>
      <c r="BF179" s="228">
        <v>4</v>
      </c>
      <c r="BG179" s="228">
        <v>14</v>
      </c>
      <c r="BH179" s="229">
        <v>3.4106999999999998</v>
      </c>
      <c r="BI179" s="230">
        <v>10193</v>
      </c>
      <c r="BJ179" s="230">
        <v>3687</v>
      </c>
      <c r="BK179" s="230">
        <v>6506</v>
      </c>
      <c r="BL179" s="229">
        <v>1.7644</v>
      </c>
      <c r="BM179" s="230">
        <v>6006</v>
      </c>
      <c r="BN179" s="230">
        <v>2413</v>
      </c>
      <c r="BO179" s="230">
        <v>3593</v>
      </c>
      <c r="BP179" s="229">
        <v>1.4890000000000001</v>
      </c>
      <c r="BQ179" s="230">
        <v>17960</v>
      </c>
      <c r="BR179" s="230">
        <v>7273</v>
      </c>
      <c r="BS179" s="230">
        <v>10687</v>
      </c>
      <c r="BT179" s="229">
        <v>1.4694</v>
      </c>
      <c r="BU179" s="230">
        <v>8583243</v>
      </c>
      <c r="BV179" s="230">
        <v>4986867</v>
      </c>
      <c r="BW179" s="230">
        <v>3596376</v>
      </c>
      <c r="BX179" s="229">
        <v>0.72119999999999995</v>
      </c>
      <c r="BY179" s="230">
        <v>7230</v>
      </c>
      <c r="BZ179" s="230">
        <v>7382</v>
      </c>
      <c r="CA179" s="228">
        <v>-152</v>
      </c>
      <c r="CB179" s="229">
        <v>-2.06E-2</v>
      </c>
      <c r="CC179" s="230">
        <v>5895</v>
      </c>
      <c r="CD179" s="230">
        <v>6270</v>
      </c>
      <c r="CE179" s="228">
        <v>-375</v>
      </c>
      <c r="CF179" s="229">
        <v>-5.9799999999999999E-2</v>
      </c>
      <c r="CG179" s="230">
        <v>1253</v>
      </c>
      <c r="CH179" s="230">
        <v>1034</v>
      </c>
      <c r="CI179" s="228">
        <v>218</v>
      </c>
      <c r="CJ179" s="229">
        <v>0.21099999999999999</v>
      </c>
      <c r="CK179" s="228">
        <v>82</v>
      </c>
      <c r="CL179" s="228">
        <v>78</v>
      </c>
      <c r="CM179" s="228">
        <v>5</v>
      </c>
      <c r="CN179" s="229">
        <v>5.9499999999999997E-2</v>
      </c>
      <c r="CO179" s="230">
        <v>4718</v>
      </c>
      <c r="CP179" s="230">
        <v>5216</v>
      </c>
      <c r="CQ179" s="228">
        <v>-498</v>
      </c>
      <c r="CR179" s="229">
        <v>-9.5600000000000004E-2</v>
      </c>
      <c r="CS179" s="230">
        <v>3327</v>
      </c>
      <c r="CT179" s="230">
        <v>3165</v>
      </c>
      <c r="CU179" s="228">
        <v>161</v>
      </c>
      <c r="CV179" s="229">
        <v>5.0900000000000001E-2</v>
      </c>
      <c r="CW179" s="230">
        <v>15274</v>
      </c>
      <c r="CX179" s="230">
        <v>15764</v>
      </c>
      <c r="CY179" s="228">
        <v>-489</v>
      </c>
      <c r="CZ179" s="229">
        <v>-3.1E-2</v>
      </c>
      <c r="DA179" s="228">
        <v>15.72</v>
      </c>
      <c r="DB179" s="228">
        <v>16.13</v>
      </c>
      <c r="DC179" s="228">
        <v>-0.41</v>
      </c>
      <c r="DD179" s="228">
        <v>-0.41</v>
      </c>
      <c r="DE179" s="228">
        <v>24.82</v>
      </c>
      <c r="DF179" s="228">
        <v>24.8</v>
      </c>
      <c r="DG179" s="228">
        <v>-9.1</v>
      </c>
      <c r="DH179" s="228">
        <v>0.02</v>
      </c>
      <c r="DI179" s="228">
        <v>15.62</v>
      </c>
      <c r="DJ179" s="228">
        <v>16.57</v>
      </c>
      <c r="DK179" s="228">
        <v>-0.95</v>
      </c>
      <c r="DL179" s="228">
        <v>-0.95</v>
      </c>
      <c r="DM179" s="228">
        <v>15.9</v>
      </c>
      <c r="DN179" s="228">
        <v>15.46</v>
      </c>
      <c r="DO179" s="228">
        <v>0.44</v>
      </c>
      <c r="DP179" s="228">
        <v>0.44</v>
      </c>
      <c r="DQ179" s="228">
        <v>0.71</v>
      </c>
      <c r="DR179" s="228">
        <v>0.61</v>
      </c>
      <c r="DS179" s="228">
        <v>0.1</v>
      </c>
      <c r="DT179" s="229">
        <v>0.16389999999999999</v>
      </c>
      <c r="DU179" s="231">
        <v>1000</v>
      </c>
      <c r="DV179" s="228">
        <v>950</v>
      </c>
      <c r="DW179" s="228">
        <v>0.59</v>
      </c>
      <c r="DX179" s="228">
        <v>0.65</v>
      </c>
      <c r="DY179" s="228">
        <v>-0.06</v>
      </c>
      <c r="DZ179" s="229">
        <v>-9.2299999999999993E-2</v>
      </c>
      <c r="EA179" s="229">
        <v>0.18459999999999999</v>
      </c>
      <c r="EB179" s="230">
        <v>11376000</v>
      </c>
      <c r="EC179" s="229">
        <v>6.1999999999999998E-3</v>
      </c>
      <c r="ED179" s="229">
        <v>0.18459999999999999</v>
      </c>
      <c r="EE179" s="228">
        <v>6.33</v>
      </c>
      <c r="EF179" s="229">
        <v>6.4999999999999997E-3</v>
      </c>
      <c r="EG179" s="230">
        <v>4806961</v>
      </c>
      <c r="EH179" s="230">
        <v>2717788</v>
      </c>
      <c r="EI179" s="229">
        <v>0.76870000000000005</v>
      </c>
      <c r="EJ179" s="229">
        <v>0.56000000000000005</v>
      </c>
      <c r="EK179" s="231">
        <v>10383.69</v>
      </c>
      <c r="EL179" s="231">
        <v>5943.75</v>
      </c>
      <c r="EM179" s="231">
        <v>1760.45</v>
      </c>
      <c r="EN179" s="228">
        <v>124.33</v>
      </c>
      <c r="EO179" s="231">
        <v>18087.89</v>
      </c>
      <c r="EP179" s="231">
        <v>7267.7</v>
      </c>
      <c r="EQ179" s="231">
        <v>10820.19</v>
      </c>
      <c r="ER179" s="229">
        <v>1.4887999999999999</v>
      </c>
      <c r="ES179" s="231">
        <v>4811.62</v>
      </c>
      <c r="ET179" s="231">
        <v>3225.75</v>
      </c>
      <c r="EU179" s="231">
        <v>7238.72</v>
      </c>
      <c r="EV179" s="231">
        <v>407307212</v>
      </c>
      <c r="EW179" s="231">
        <v>15276.1</v>
      </c>
      <c r="EX179" s="231">
        <v>15652.44</v>
      </c>
      <c r="EY179" s="228">
        <v>-376.34</v>
      </c>
      <c r="EZ179" s="229">
        <v>-2.4E-2</v>
      </c>
      <c r="FA179" s="229">
        <v>0.3836</v>
      </c>
      <c r="FB179" s="227" t="s">
        <v>556</v>
      </c>
      <c r="FC179">
        <f t="shared" si="3"/>
        <v>0</v>
      </c>
    </row>
    <row r="180" spans="1:159" ht="17.25" thickBot="1" x14ac:dyDescent="0.3">
      <c r="A180" s="226">
        <v>46008</v>
      </c>
      <c r="B180" s="227" t="s">
        <v>157</v>
      </c>
      <c r="C180" s="227" t="s">
        <v>284</v>
      </c>
      <c r="D180" s="228">
        <v>25</v>
      </c>
      <c r="E180" s="228">
        <v>13</v>
      </c>
      <c r="F180" s="231">
        <v>26080</v>
      </c>
      <c r="G180" s="231">
        <v>26110</v>
      </c>
      <c r="H180" s="228">
        <v>-30</v>
      </c>
      <c r="I180" s="229">
        <v>-1.1000000000000001E-3</v>
      </c>
      <c r="J180" s="231">
        <v>26045</v>
      </c>
      <c r="K180" s="231">
        <v>25990</v>
      </c>
      <c r="L180" s="228">
        <v>55</v>
      </c>
      <c r="M180" s="229">
        <v>2.0999999999999999E-3</v>
      </c>
      <c r="N180" s="231">
        <v>26080</v>
      </c>
      <c r="O180" s="231">
        <v>26110</v>
      </c>
      <c r="P180" s="228">
        <v>-30</v>
      </c>
      <c r="Q180" s="229">
        <v>-1.1000000000000001E-3</v>
      </c>
      <c r="R180" s="231">
        <v>26140</v>
      </c>
      <c r="S180" s="231">
        <v>26185</v>
      </c>
      <c r="T180" s="228">
        <v>-45</v>
      </c>
      <c r="U180" s="229">
        <v>-1.6999999999999999E-3</v>
      </c>
      <c r="V180" s="231">
        <v>26270</v>
      </c>
      <c r="W180" s="231">
        <v>26260</v>
      </c>
      <c r="X180" s="228">
        <v>10</v>
      </c>
      <c r="Y180" s="229">
        <v>4.0000000000000002E-4</v>
      </c>
      <c r="Z180" s="228">
        <v>35</v>
      </c>
      <c r="AA180" s="228">
        <v>120</v>
      </c>
      <c r="AB180" s="228">
        <v>-85</v>
      </c>
      <c r="AC180" s="229">
        <v>1.2999999999999999E-3</v>
      </c>
      <c r="AD180" s="228">
        <v>35</v>
      </c>
      <c r="AE180" s="228">
        <v>120</v>
      </c>
      <c r="AF180" s="228">
        <v>-85</v>
      </c>
      <c r="AG180" s="229">
        <v>1.2999999999999999E-3</v>
      </c>
      <c r="AH180" s="228">
        <v>95</v>
      </c>
      <c r="AI180" s="228">
        <v>195</v>
      </c>
      <c r="AJ180" s="228">
        <v>-100</v>
      </c>
      <c r="AK180" s="229">
        <v>3.5999999999999999E-3</v>
      </c>
      <c r="AL180" s="228">
        <v>225</v>
      </c>
      <c r="AM180" s="228">
        <v>270</v>
      </c>
      <c r="AN180" s="228">
        <v>-45</v>
      </c>
      <c r="AO180" s="229">
        <v>8.6E-3</v>
      </c>
      <c r="AP180" s="231">
        <v>26110.46</v>
      </c>
      <c r="AQ180" s="231">
        <v>26176.05</v>
      </c>
      <c r="AR180" s="228">
        <v>0</v>
      </c>
      <c r="AS180" s="228">
        <v>98</v>
      </c>
      <c r="AT180" s="228">
        <v>182</v>
      </c>
      <c r="AU180" s="228">
        <v>-84</v>
      </c>
      <c r="AV180" s="229">
        <v>-0.46160000000000001</v>
      </c>
      <c r="AW180" s="228">
        <v>87</v>
      </c>
      <c r="AX180" s="228">
        <v>150</v>
      </c>
      <c r="AY180" s="228">
        <v>-63</v>
      </c>
      <c r="AZ180" s="229">
        <v>-0.41749999999999998</v>
      </c>
      <c r="BA180" s="228">
        <v>11</v>
      </c>
      <c r="BB180" s="228">
        <v>31</v>
      </c>
      <c r="BC180" s="228">
        <v>-20</v>
      </c>
      <c r="BD180" s="229">
        <v>-0.65610000000000002</v>
      </c>
      <c r="BE180" s="228">
        <v>0</v>
      </c>
      <c r="BF180" s="228">
        <v>1</v>
      </c>
      <c r="BG180" s="228">
        <v>-1</v>
      </c>
      <c r="BH180" s="229">
        <v>-0.90910000000000002</v>
      </c>
      <c r="BI180" s="228">
        <v>289</v>
      </c>
      <c r="BJ180" s="228">
        <v>783</v>
      </c>
      <c r="BK180" s="228">
        <v>-494</v>
      </c>
      <c r="BL180" s="229">
        <v>-0.63119999999999998</v>
      </c>
      <c r="BM180" s="228">
        <v>53</v>
      </c>
      <c r="BN180" s="228">
        <v>426</v>
      </c>
      <c r="BO180" s="228">
        <v>-372</v>
      </c>
      <c r="BP180" s="229">
        <v>-0.87480000000000002</v>
      </c>
      <c r="BQ180" s="228">
        <v>440</v>
      </c>
      <c r="BR180" s="230">
        <v>1391</v>
      </c>
      <c r="BS180" s="228">
        <v>-951</v>
      </c>
      <c r="BT180" s="229">
        <v>-0.6835</v>
      </c>
      <c r="BU180" s="230">
        <v>64632</v>
      </c>
      <c r="BV180" s="230">
        <v>30652</v>
      </c>
      <c r="BW180" s="230">
        <v>33980</v>
      </c>
      <c r="BX180" s="229">
        <v>1.1086</v>
      </c>
      <c r="BY180" s="228">
        <v>849</v>
      </c>
      <c r="BZ180" s="228">
        <v>835</v>
      </c>
      <c r="CA180" s="228">
        <v>14</v>
      </c>
      <c r="CB180" s="229">
        <v>1.72E-2</v>
      </c>
      <c r="CC180" s="228">
        <v>760</v>
      </c>
      <c r="CD180" s="228">
        <v>750</v>
      </c>
      <c r="CE180" s="228">
        <v>10</v>
      </c>
      <c r="CF180" s="229">
        <v>1.37E-2</v>
      </c>
      <c r="CG180" s="228">
        <v>84</v>
      </c>
      <c r="CH180" s="228">
        <v>80</v>
      </c>
      <c r="CI180" s="228">
        <v>4</v>
      </c>
      <c r="CJ180" s="229">
        <v>5.0599999999999999E-2</v>
      </c>
      <c r="CK180" s="228">
        <v>5</v>
      </c>
      <c r="CL180" s="228">
        <v>5</v>
      </c>
      <c r="CM180" s="228">
        <v>0</v>
      </c>
      <c r="CN180" s="229">
        <v>0</v>
      </c>
      <c r="CO180" s="228">
        <v>362</v>
      </c>
      <c r="CP180" s="228">
        <v>391</v>
      </c>
      <c r="CQ180" s="228">
        <v>-29</v>
      </c>
      <c r="CR180" s="229">
        <v>-7.4899999999999994E-2</v>
      </c>
      <c r="CS180" s="228">
        <v>159</v>
      </c>
      <c r="CT180" s="228">
        <v>162</v>
      </c>
      <c r="CU180" s="228">
        <v>-3</v>
      </c>
      <c r="CV180" s="229">
        <v>-1.9699999999999999E-2</v>
      </c>
      <c r="CW180" s="230">
        <v>1370</v>
      </c>
      <c r="CX180" s="230">
        <v>1388</v>
      </c>
      <c r="CY180" s="228">
        <v>-18</v>
      </c>
      <c r="CZ180" s="229">
        <v>-1.3100000000000001E-2</v>
      </c>
      <c r="DA180" s="228">
        <v>22.49</v>
      </c>
      <c r="DB180" s="228">
        <v>21.45</v>
      </c>
      <c r="DC180" s="228">
        <v>1.04</v>
      </c>
      <c r="DD180" s="228">
        <v>1.04</v>
      </c>
      <c r="DE180" s="228">
        <v>24.75</v>
      </c>
      <c r="DF180" s="228">
        <v>24.81</v>
      </c>
      <c r="DG180" s="228">
        <v>-2.2599999999999998</v>
      </c>
      <c r="DH180" s="228">
        <v>-0.06</v>
      </c>
      <c r="DI180" s="228">
        <v>22.81</v>
      </c>
      <c r="DJ180" s="228">
        <v>22.07</v>
      </c>
      <c r="DK180" s="228">
        <v>0.74</v>
      </c>
      <c r="DL180" s="228">
        <v>0.74</v>
      </c>
      <c r="DM180" s="228">
        <v>20.76</v>
      </c>
      <c r="DN180" s="228">
        <v>20.3</v>
      </c>
      <c r="DO180" s="228">
        <v>0.46</v>
      </c>
      <c r="DP180" s="228">
        <v>0.46</v>
      </c>
      <c r="DQ180" s="228">
        <v>0.44</v>
      </c>
      <c r="DR180" s="228">
        <v>0.41</v>
      </c>
      <c r="DS180" s="228">
        <v>0.03</v>
      </c>
      <c r="DT180" s="229">
        <v>7.3200000000000001E-2</v>
      </c>
      <c r="DU180" s="231">
        <v>27000</v>
      </c>
      <c r="DV180" s="231">
        <v>26500</v>
      </c>
      <c r="DW180" s="228">
        <v>0.18</v>
      </c>
      <c r="DX180" s="228">
        <v>0.54</v>
      </c>
      <c r="DY180" s="228">
        <v>-0.36</v>
      </c>
      <c r="DZ180" s="229">
        <v>-0.66669999999999996</v>
      </c>
      <c r="EA180" s="229">
        <v>0.1047</v>
      </c>
      <c r="EB180" s="230">
        <v>32550</v>
      </c>
      <c r="EC180" s="229">
        <v>2.3E-3</v>
      </c>
      <c r="ED180" s="229">
        <v>0.1047</v>
      </c>
      <c r="EE180" s="228">
        <v>65.59</v>
      </c>
      <c r="EF180" s="229">
        <v>2.5000000000000001E-3</v>
      </c>
      <c r="EG180" s="230">
        <v>54319</v>
      </c>
      <c r="EH180" s="230">
        <v>19463</v>
      </c>
      <c r="EI180" s="229">
        <v>1.7908999999999999</v>
      </c>
      <c r="EJ180" s="229">
        <v>0.84040000000000004</v>
      </c>
      <c r="EK180" s="228">
        <v>306.48</v>
      </c>
      <c r="EL180" s="228">
        <v>52.13</v>
      </c>
      <c r="EM180" s="228">
        <v>98.33</v>
      </c>
      <c r="EN180" s="228">
        <v>19.25</v>
      </c>
      <c r="EO180" s="228">
        <v>456.95</v>
      </c>
      <c r="EP180" s="231">
        <v>1434.38</v>
      </c>
      <c r="EQ180" s="228">
        <v>-977.43</v>
      </c>
      <c r="ER180" s="229">
        <v>-0.68140000000000001</v>
      </c>
      <c r="ES180" s="228">
        <v>380.75</v>
      </c>
      <c r="ET180" s="228">
        <v>157.57</v>
      </c>
      <c r="EU180" s="228">
        <v>849.46</v>
      </c>
      <c r="EV180" s="231">
        <v>1548028</v>
      </c>
      <c r="EW180" s="231">
        <v>1387.78</v>
      </c>
      <c r="EX180" s="231">
        <v>1407.85</v>
      </c>
      <c r="EY180" s="228">
        <v>-20.07</v>
      </c>
      <c r="EZ180" s="229">
        <v>-1.43E-2</v>
      </c>
      <c r="FA180" s="229">
        <v>0.33929999999999999</v>
      </c>
      <c r="FB180" s="227" t="s">
        <v>567</v>
      </c>
      <c r="FC180">
        <f t="shared" si="3"/>
        <v>0</v>
      </c>
    </row>
    <row r="181" spans="1:159" ht="17.25" thickBot="1" x14ac:dyDescent="0.3">
      <c r="A181" s="226">
        <v>46008</v>
      </c>
      <c r="B181" s="227" t="s">
        <v>175</v>
      </c>
      <c r="C181" s="227" t="s">
        <v>562</v>
      </c>
      <c r="D181" s="228">
        <v>825</v>
      </c>
      <c r="E181" s="228">
        <v>13</v>
      </c>
      <c r="F181" s="228">
        <v>867.95</v>
      </c>
      <c r="G181" s="228">
        <v>850</v>
      </c>
      <c r="H181" s="228">
        <v>17.95</v>
      </c>
      <c r="I181" s="229">
        <v>2.1100000000000001E-2</v>
      </c>
      <c r="J181" s="228">
        <v>864.2</v>
      </c>
      <c r="K181" s="228">
        <v>848.4</v>
      </c>
      <c r="L181" s="228">
        <v>15.8</v>
      </c>
      <c r="M181" s="229">
        <v>1.8599999999999998E-2</v>
      </c>
      <c r="N181" s="228">
        <v>867.95</v>
      </c>
      <c r="O181" s="228">
        <v>850</v>
      </c>
      <c r="P181" s="228">
        <v>17.95</v>
      </c>
      <c r="Q181" s="229">
        <v>2.1100000000000001E-2</v>
      </c>
      <c r="R181" s="228">
        <v>872.95</v>
      </c>
      <c r="S181" s="228">
        <v>855.4</v>
      </c>
      <c r="T181" s="228">
        <v>17.55</v>
      </c>
      <c r="U181" s="229">
        <v>2.0500000000000001E-2</v>
      </c>
      <c r="V181" s="228">
        <v>874.05</v>
      </c>
      <c r="W181" s="228">
        <v>856.15</v>
      </c>
      <c r="X181" s="228">
        <v>17.899999999999999</v>
      </c>
      <c r="Y181" s="229">
        <v>2.0899999999999998E-2</v>
      </c>
      <c r="Z181" s="228">
        <v>3.75</v>
      </c>
      <c r="AA181" s="228">
        <v>1.6</v>
      </c>
      <c r="AB181" s="228">
        <v>2.15</v>
      </c>
      <c r="AC181" s="229">
        <v>4.3E-3</v>
      </c>
      <c r="AD181" s="228">
        <v>3.75</v>
      </c>
      <c r="AE181" s="228">
        <v>1.6</v>
      </c>
      <c r="AF181" s="228">
        <v>2.15</v>
      </c>
      <c r="AG181" s="229">
        <v>4.3E-3</v>
      </c>
      <c r="AH181" s="228">
        <v>8.75</v>
      </c>
      <c r="AI181" s="228">
        <v>7</v>
      </c>
      <c r="AJ181" s="228">
        <v>1.75</v>
      </c>
      <c r="AK181" s="229">
        <v>1.01E-2</v>
      </c>
      <c r="AL181" s="228">
        <v>9.85</v>
      </c>
      <c r="AM181" s="228">
        <v>7.75</v>
      </c>
      <c r="AN181" s="228">
        <v>2.1</v>
      </c>
      <c r="AO181" s="229">
        <v>1.14E-2</v>
      </c>
      <c r="AP181" s="228">
        <v>866.87</v>
      </c>
      <c r="AQ181" s="228">
        <v>871.46</v>
      </c>
      <c r="AR181" s="228">
        <v>0</v>
      </c>
      <c r="AS181" s="230">
        <v>1314</v>
      </c>
      <c r="AT181" s="228">
        <v>566</v>
      </c>
      <c r="AU181" s="228">
        <v>747</v>
      </c>
      <c r="AV181" s="229">
        <v>1.3196000000000001</v>
      </c>
      <c r="AW181" s="230">
        <v>1080</v>
      </c>
      <c r="AX181" s="228">
        <v>513</v>
      </c>
      <c r="AY181" s="228">
        <v>566</v>
      </c>
      <c r="AZ181" s="229">
        <v>1.1033999999999999</v>
      </c>
      <c r="BA181" s="228">
        <v>223</v>
      </c>
      <c r="BB181" s="228">
        <v>51</v>
      </c>
      <c r="BC181" s="228">
        <v>173</v>
      </c>
      <c r="BD181" s="229">
        <v>3.4054000000000002</v>
      </c>
      <c r="BE181" s="228">
        <v>11</v>
      </c>
      <c r="BF181" s="228">
        <v>3</v>
      </c>
      <c r="BG181" s="228">
        <v>9</v>
      </c>
      <c r="BH181" s="229">
        <v>3.4</v>
      </c>
      <c r="BI181" s="230">
        <v>6756</v>
      </c>
      <c r="BJ181" s="230">
        <v>1496</v>
      </c>
      <c r="BK181" s="230">
        <v>5260</v>
      </c>
      <c r="BL181" s="229">
        <v>3.5158</v>
      </c>
      <c r="BM181" s="230">
        <v>2366</v>
      </c>
      <c r="BN181" s="228">
        <v>763</v>
      </c>
      <c r="BO181" s="230">
        <v>1603</v>
      </c>
      <c r="BP181" s="229">
        <v>2.1011000000000002</v>
      </c>
      <c r="BQ181" s="230">
        <v>10436</v>
      </c>
      <c r="BR181" s="230">
        <v>2826</v>
      </c>
      <c r="BS181" s="230">
        <v>7610</v>
      </c>
      <c r="BT181" s="229">
        <v>2.6934</v>
      </c>
      <c r="BU181" s="230">
        <v>12360141</v>
      </c>
      <c r="BV181" s="230">
        <v>6046361</v>
      </c>
      <c r="BW181" s="230">
        <v>6313780</v>
      </c>
      <c r="BX181" s="229">
        <v>1.0442</v>
      </c>
      <c r="BY181" s="230">
        <v>5879</v>
      </c>
      <c r="BZ181" s="230">
        <v>5780</v>
      </c>
      <c r="CA181" s="228">
        <v>99</v>
      </c>
      <c r="CB181" s="229">
        <v>1.7100000000000001E-2</v>
      </c>
      <c r="CC181" s="230">
        <v>5541</v>
      </c>
      <c r="CD181" s="230">
        <v>5523</v>
      </c>
      <c r="CE181" s="228">
        <v>18</v>
      </c>
      <c r="CF181" s="229">
        <v>3.3E-3</v>
      </c>
      <c r="CG181" s="228">
        <v>315</v>
      </c>
      <c r="CH181" s="228">
        <v>238</v>
      </c>
      <c r="CI181" s="228">
        <v>78</v>
      </c>
      <c r="CJ181" s="229">
        <v>0.32669999999999999</v>
      </c>
      <c r="CK181" s="228">
        <v>23</v>
      </c>
      <c r="CL181" s="228">
        <v>20</v>
      </c>
      <c r="CM181" s="228">
        <v>3</v>
      </c>
      <c r="CN181" s="229">
        <v>0.15409999999999999</v>
      </c>
      <c r="CO181" s="230">
        <v>1946</v>
      </c>
      <c r="CP181" s="230">
        <v>1640</v>
      </c>
      <c r="CQ181" s="228">
        <v>306</v>
      </c>
      <c r="CR181" s="229">
        <v>0.18659999999999999</v>
      </c>
      <c r="CS181" s="230">
        <v>1111</v>
      </c>
      <c r="CT181" s="228">
        <v>980</v>
      </c>
      <c r="CU181" s="228">
        <v>131</v>
      </c>
      <c r="CV181" s="229">
        <v>0.13320000000000001</v>
      </c>
      <c r="CW181" s="230">
        <v>8936</v>
      </c>
      <c r="CX181" s="230">
        <v>8401</v>
      </c>
      <c r="CY181" s="228">
        <v>535</v>
      </c>
      <c r="CZ181" s="229">
        <v>6.3700000000000007E-2</v>
      </c>
      <c r="DA181" s="228">
        <v>33.799999999999997</v>
      </c>
      <c r="DB181" s="228">
        <v>30.43</v>
      </c>
      <c r="DC181" s="228">
        <v>3.37</v>
      </c>
      <c r="DD181" s="228">
        <v>3.37</v>
      </c>
      <c r="DE181" s="228">
        <v>39.130000000000003</v>
      </c>
      <c r="DF181" s="228">
        <v>39.15</v>
      </c>
      <c r="DG181" s="228">
        <v>-5.33</v>
      </c>
      <c r="DH181" s="228">
        <v>-0.02</v>
      </c>
      <c r="DI181" s="228">
        <v>33.93</v>
      </c>
      <c r="DJ181" s="228">
        <v>30.39</v>
      </c>
      <c r="DK181" s="228">
        <v>3.54</v>
      </c>
      <c r="DL181" s="228">
        <v>3.54</v>
      </c>
      <c r="DM181" s="228">
        <v>33.450000000000003</v>
      </c>
      <c r="DN181" s="228">
        <v>30.49</v>
      </c>
      <c r="DO181" s="228">
        <v>2.96</v>
      </c>
      <c r="DP181" s="228">
        <v>2.96</v>
      </c>
      <c r="DQ181" s="228">
        <v>0.56999999999999995</v>
      </c>
      <c r="DR181" s="228">
        <v>0.6</v>
      </c>
      <c r="DS181" s="228">
        <v>-0.03</v>
      </c>
      <c r="DT181" s="229">
        <v>-0.05</v>
      </c>
      <c r="DU181" s="228">
        <v>880</v>
      </c>
      <c r="DV181" s="228">
        <v>800</v>
      </c>
      <c r="DW181" s="228">
        <v>0.35</v>
      </c>
      <c r="DX181" s="228">
        <v>0.51</v>
      </c>
      <c r="DY181" s="228">
        <v>-0.16</v>
      </c>
      <c r="DZ181" s="229">
        <v>-0.31369999999999998</v>
      </c>
      <c r="EA181" s="229">
        <v>5.7599999999999998E-2</v>
      </c>
      <c r="EB181" s="230">
        <v>2970000</v>
      </c>
      <c r="EC181" s="229">
        <v>5.7999999999999996E-3</v>
      </c>
      <c r="ED181" s="229">
        <v>5.7599999999999998E-2</v>
      </c>
      <c r="EE181" s="228">
        <v>4.59</v>
      </c>
      <c r="EF181" s="229">
        <v>5.3E-3</v>
      </c>
      <c r="EG181" s="230">
        <v>6903921</v>
      </c>
      <c r="EH181" s="230">
        <v>3984097</v>
      </c>
      <c r="EI181" s="229">
        <v>0.7329</v>
      </c>
      <c r="EJ181" s="229">
        <v>0.55859999999999999</v>
      </c>
      <c r="EK181" s="231">
        <v>7015.09</v>
      </c>
      <c r="EL181" s="231">
        <v>2334.25</v>
      </c>
      <c r="EM181" s="231">
        <v>1313.6</v>
      </c>
      <c r="EN181" s="228">
        <v>88.72</v>
      </c>
      <c r="EO181" s="231">
        <v>10662.94</v>
      </c>
      <c r="EP181" s="231">
        <v>2838.4</v>
      </c>
      <c r="EQ181" s="231">
        <v>7824.54</v>
      </c>
      <c r="ER181" s="229">
        <v>2.7566999999999999</v>
      </c>
      <c r="ES181" s="231">
        <v>1990.49</v>
      </c>
      <c r="ET181" s="231">
        <v>1051.31</v>
      </c>
      <c r="EU181" s="231">
        <v>5881.04</v>
      </c>
      <c r="EV181" s="231">
        <v>210459276</v>
      </c>
      <c r="EW181" s="231">
        <v>8922.83</v>
      </c>
      <c r="EX181" s="231">
        <v>8253.36</v>
      </c>
      <c r="EY181" s="228">
        <v>669.47</v>
      </c>
      <c r="EZ181" s="229">
        <v>8.1100000000000005E-2</v>
      </c>
      <c r="FA181" s="229">
        <v>0.48920000000000002</v>
      </c>
      <c r="FB181" s="227" t="s">
        <v>555</v>
      </c>
      <c r="FC181">
        <f t="shared" si="3"/>
        <v>0</v>
      </c>
    </row>
    <row r="182" spans="1:159" ht="17.25" thickBot="1" x14ac:dyDescent="0.3">
      <c r="A182" s="226">
        <v>46008</v>
      </c>
      <c r="B182" s="227" t="s">
        <v>184</v>
      </c>
      <c r="C182" s="227" t="s">
        <v>285</v>
      </c>
      <c r="D182" s="228">
        <v>125</v>
      </c>
      <c r="E182" s="228">
        <v>13</v>
      </c>
      <c r="F182" s="231">
        <v>3152.3</v>
      </c>
      <c r="G182" s="231">
        <v>3165.7</v>
      </c>
      <c r="H182" s="228">
        <v>-13.4</v>
      </c>
      <c r="I182" s="229">
        <v>-4.1999999999999997E-3</v>
      </c>
      <c r="J182" s="231">
        <v>3140.1</v>
      </c>
      <c r="K182" s="231">
        <v>3161.4</v>
      </c>
      <c r="L182" s="228">
        <v>-21.3</v>
      </c>
      <c r="M182" s="229">
        <v>-6.7000000000000002E-3</v>
      </c>
      <c r="N182" s="231">
        <v>3152.3</v>
      </c>
      <c r="O182" s="231">
        <v>3165.7</v>
      </c>
      <c r="P182" s="228">
        <v>-13.4</v>
      </c>
      <c r="Q182" s="229">
        <v>-4.1999999999999997E-3</v>
      </c>
      <c r="R182" s="231">
        <v>3163.3</v>
      </c>
      <c r="S182" s="231">
        <v>3175.8</v>
      </c>
      <c r="T182" s="228">
        <v>-12.5</v>
      </c>
      <c r="U182" s="229">
        <v>-3.8999999999999998E-3</v>
      </c>
      <c r="V182" s="231">
        <v>3183</v>
      </c>
      <c r="W182" s="231">
        <v>3189.2</v>
      </c>
      <c r="X182" s="228">
        <v>-6.2</v>
      </c>
      <c r="Y182" s="229">
        <v>-1.9E-3</v>
      </c>
      <c r="Z182" s="228">
        <v>12.2</v>
      </c>
      <c r="AA182" s="228">
        <v>4.3</v>
      </c>
      <c r="AB182" s="228">
        <v>7.9</v>
      </c>
      <c r="AC182" s="229">
        <v>3.8999999999999998E-3</v>
      </c>
      <c r="AD182" s="228">
        <v>12.2</v>
      </c>
      <c r="AE182" s="228">
        <v>4.3</v>
      </c>
      <c r="AF182" s="228">
        <v>7.9</v>
      </c>
      <c r="AG182" s="229">
        <v>3.8999999999999998E-3</v>
      </c>
      <c r="AH182" s="228">
        <v>23.2</v>
      </c>
      <c r="AI182" s="228">
        <v>14.4</v>
      </c>
      <c r="AJ182" s="228">
        <v>8.8000000000000007</v>
      </c>
      <c r="AK182" s="229">
        <v>7.4000000000000003E-3</v>
      </c>
      <c r="AL182" s="228">
        <v>42.9</v>
      </c>
      <c r="AM182" s="228">
        <v>27.8</v>
      </c>
      <c r="AN182" s="228">
        <v>15.1</v>
      </c>
      <c r="AO182" s="229">
        <v>1.37E-2</v>
      </c>
      <c r="AP182" s="231">
        <v>3158.46</v>
      </c>
      <c r="AQ182" s="231">
        <v>3170.13</v>
      </c>
      <c r="AR182" s="228">
        <v>0</v>
      </c>
      <c r="AS182" s="228">
        <v>98</v>
      </c>
      <c r="AT182" s="228">
        <v>140</v>
      </c>
      <c r="AU182" s="228">
        <v>-43</v>
      </c>
      <c r="AV182" s="229">
        <v>-0.30480000000000002</v>
      </c>
      <c r="AW182" s="228">
        <v>91</v>
      </c>
      <c r="AX182" s="228">
        <v>131</v>
      </c>
      <c r="AY182" s="228">
        <v>-40</v>
      </c>
      <c r="AZ182" s="229">
        <v>-0.30259999999999998</v>
      </c>
      <c r="BA182" s="228">
        <v>6</v>
      </c>
      <c r="BB182" s="228">
        <v>9</v>
      </c>
      <c r="BC182" s="228">
        <v>-3</v>
      </c>
      <c r="BD182" s="229">
        <v>-0.30930000000000002</v>
      </c>
      <c r="BE182" s="228">
        <v>0</v>
      </c>
      <c r="BF182" s="228">
        <v>0</v>
      </c>
      <c r="BG182" s="228">
        <v>0</v>
      </c>
      <c r="BH182" s="229">
        <v>-0.83330000000000004</v>
      </c>
      <c r="BI182" s="228">
        <v>459</v>
      </c>
      <c r="BJ182" s="228">
        <v>531</v>
      </c>
      <c r="BK182" s="228">
        <v>-72</v>
      </c>
      <c r="BL182" s="229">
        <v>-0.1363</v>
      </c>
      <c r="BM182" s="228">
        <v>185</v>
      </c>
      <c r="BN182" s="228">
        <v>277</v>
      </c>
      <c r="BO182" s="228">
        <v>-93</v>
      </c>
      <c r="BP182" s="229">
        <v>-0.33410000000000001</v>
      </c>
      <c r="BQ182" s="228">
        <v>741</v>
      </c>
      <c r="BR182" s="228">
        <v>949</v>
      </c>
      <c r="BS182" s="228">
        <v>-208</v>
      </c>
      <c r="BT182" s="229">
        <v>-0.21909999999999999</v>
      </c>
      <c r="BU182" s="230">
        <v>298668</v>
      </c>
      <c r="BV182" s="230">
        <v>260106</v>
      </c>
      <c r="BW182" s="230">
        <v>38562</v>
      </c>
      <c r="BX182" s="229">
        <v>0.14829999999999999</v>
      </c>
      <c r="BY182" s="228">
        <v>965</v>
      </c>
      <c r="BZ182" s="228">
        <v>985</v>
      </c>
      <c r="CA182" s="228">
        <v>-20</v>
      </c>
      <c r="CB182" s="229">
        <v>-2.07E-2</v>
      </c>
      <c r="CC182" s="228">
        <v>856</v>
      </c>
      <c r="CD182" s="228">
        <v>876</v>
      </c>
      <c r="CE182" s="228">
        <v>-20</v>
      </c>
      <c r="CF182" s="229">
        <v>-2.3400000000000001E-2</v>
      </c>
      <c r="CG182" s="228">
        <v>105</v>
      </c>
      <c r="CH182" s="228">
        <v>105</v>
      </c>
      <c r="CI182" s="228">
        <v>0</v>
      </c>
      <c r="CJ182" s="229">
        <v>1.1000000000000001E-3</v>
      </c>
      <c r="CK182" s="228">
        <v>4</v>
      </c>
      <c r="CL182" s="228">
        <v>4</v>
      </c>
      <c r="CM182" s="228">
        <v>0</v>
      </c>
      <c r="CN182" s="229">
        <v>-1.2800000000000001E-2</v>
      </c>
      <c r="CO182" s="228">
        <v>725</v>
      </c>
      <c r="CP182" s="228">
        <v>731</v>
      </c>
      <c r="CQ182" s="228">
        <v>-6</v>
      </c>
      <c r="CR182" s="229">
        <v>-8.2000000000000007E-3</v>
      </c>
      <c r="CS182" s="228">
        <v>380</v>
      </c>
      <c r="CT182" s="228">
        <v>376</v>
      </c>
      <c r="CU182" s="228">
        <v>4</v>
      </c>
      <c r="CV182" s="229">
        <v>9.5999999999999992E-3</v>
      </c>
      <c r="CW182" s="230">
        <v>2069</v>
      </c>
      <c r="CX182" s="230">
        <v>2092</v>
      </c>
      <c r="CY182" s="228">
        <v>-23</v>
      </c>
      <c r="CZ182" s="229">
        <v>-1.09E-2</v>
      </c>
      <c r="DA182" s="228">
        <v>26.01</v>
      </c>
      <c r="DB182" s="228">
        <v>25.87</v>
      </c>
      <c r="DC182" s="228">
        <v>0.14000000000000001</v>
      </c>
      <c r="DD182" s="228">
        <v>0.14000000000000001</v>
      </c>
      <c r="DE182" s="228">
        <v>37.799999999999997</v>
      </c>
      <c r="DF182" s="228">
        <v>37.880000000000003</v>
      </c>
      <c r="DG182" s="228">
        <v>-11.79</v>
      </c>
      <c r="DH182" s="228">
        <v>-0.08</v>
      </c>
      <c r="DI182" s="228">
        <v>26.32</v>
      </c>
      <c r="DJ182" s="228">
        <v>25.71</v>
      </c>
      <c r="DK182" s="228">
        <v>0.61</v>
      </c>
      <c r="DL182" s="228">
        <v>0.61</v>
      </c>
      <c r="DM182" s="228">
        <v>25.26</v>
      </c>
      <c r="DN182" s="228">
        <v>26.18</v>
      </c>
      <c r="DO182" s="228">
        <v>-0.92</v>
      </c>
      <c r="DP182" s="228">
        <v>-0.92</v>
      </c>
      <c r="DQ182" s="228">
        <v>0.52</v>
      </c>
      <c r="DR182" s="228">
        <v>0.51</v>
      </c>
      <c r="DS182" s="228">
        <v>0.01</v>
      </c>
      <c r="DT182" s="229">
        <v>1.9599999999999999E-2</v>
      </c>
      <c r="DU182" s="231">
        <v>3300</v>
      </c>
      <c r="DV182" s="231">
        <v>3000</v>
      </c>
      <c r="DW182" s="228">
        <v>0.4</v>
      </c>
      <c r="DX182" s="228">
        <v>0.52</v>
      </c>
      <c r="DY182" s="228">
        <v>-0.12</v>
      </c>
      <c r="DZ182" s="229">
        <v>-0.23080000000000001</v>
      </c>
      <c r="EA182" s="229">
        <v>0.113</v>
      </c>
      <c r="EB182" s="230">
        <v>345625</v>
      </c>
      <c r="EC182" s="229">
        <v>3.5000000000000001E-3</v>
      </c>
      <c r="ED182" s="229">
        <v>0.113</v>
      </c>
      <c r="EE182" s="228">
        <v>11.67</v>
      </c>
      <c r="EF182" s="229">
        <v>3.7000000000000002E-3</v>
      </c>
      <c r="EG182" s="230">
        <v>186621</v>
      </c>
      <c r="EH182" s="230">
        <v>133278</v>
      </c>
      <c r="EI182" s="229">
        <v>0.4002</v>
      </c>
      <c r="EJ182" s="229">
        <v>0.62480000000000002</v>
      </c>
      <c r="EK182" s="228">
        <v>483.31</v>
      </c>
      <c r="EL182" s="228">
        <v>180.79</v>
      </c>
      <c r="EM182" s="228">
        <v>100.43</v>
      </c>
      <c r="EN182" s="228">
        <v>82.47</v>
      </c>
      <c r="EO182" s="228">
        <v>764.53</v>
      </c>
      <c r="EP182" s="228">
        <v>972.36</v>
      </c>
      <c r="EQ182" s="228">
        <v>-207.83</v>
      </c>
      <c r="ER182" s="229">
        <v>-0.2137</v>
      </c>
      <c r="ES182" s="228">
        <v>767.49</v>
      </c>
      <c r="ET182" s="228">
        <v>366.73</v>
      </c>
      <c r="EU182" s="228">
        <v>964.95</v>
      </c>
      <c r="EV182" s="231">
        <v>13354588</v>
      </c>
      <c r="EW182" s="231">
        <v>2099.17</v>
      </c>
      <c r="EX182" s="231">
        <v>2127.77</v>
      </c>
      <c r="EY182" s="228">
        <v>-28.6</v>
      </c>
      <c r="EZ182" s="229">
        <v>-1.34E-2</v>
      </c>
      <c r="FA182" s="229">
        <v>0.4914</v>
      </c>
      <c r="FB182" s="227" t="s">
        <v>568</v>
      </c>
      <c r="FC182">
        <f t="shared" si="3"/>
        <v>0</v>
      </c>
    </row>
    <row r="183" spans="1:159" ht="17.25" thickBot="1" x14ac:dyDescent="0.3">
      <c r="A183" s="226">
        <v>46008</v>
      </c>
      <c r="B183" s="227" t="s">
        <v>498</v>
      </c>
      <c r="C183" s="227" t="s">
        <v>646</v>
      </c>
      <c r="D183" s="228">
        <v>75</v>
      </c>
      <c r="E183" s="228">
        <v>13</v>
      </c>
      <c r="F183" s="231">
        <v>11824</v>
      </c>
      <c r="G183" s="231">
        <v>11930</v>
      </c>
      <c r="H183" s="228">
        <v>-106</v>
      </c>
      <c r="I183" s="229">
        <v>-8.8999999999999999E-3</v>
      </c>
      <c r="J183" s="231">
        <v>11815</v>
      </c>
      <c r="K183" s="231">
        <v>11918</v>
      </c>
      <c r="L183" s="228">
        <v>-103</v>
      </c>
      <c r="M183" s="229">
        <v>-8.6E-3</v>
      </c>
      <c r="N183" s="231">
        <v>11824</v>
      </c>
      <c r="O183" s="231">
        <v>11930</v>
      </c>
      <c r="P183" s="228">
        <v>-106</v>
      </c>
      <c r="Q183" s="229">
        <v>-8.8999999999999999E-3</v>
      </c>
      <c r="R183" s="231">
        <v>11910</v>
      </c>
      <c r="S183" s="231">
        <v>11990</v>
      </c>
      <c r="T183" s="228">
        <v>-80</v>
      </c>
      <c r="U183" s="229">
        <v>-6.7000000000000002E-3</v>
      </c>
      <c r="V183" s="231">
        <v>11960</v>
      </c>
      <c r="W183" s="231">
        <v>12046</v>
      </c>
      <c r="X183" s="228">
        <v>-86</v>
      </c>
      <c r="Y183" s="229">
        <v>-7.1000000000000004E-3</v>
      </c>
      <c r="Z183" s="228">
        <v>9</v>
      </c>
      <c r="AA183" s="228">
        <v>12</v>
      </c>
      <c r="AB183" s="228">
        <v>-3</v>
      </c>
      <c r="AC183" s="229">
        <v>8.0000000000000004E-4</v>
      </c>
      <c r="AD183" s="228">
        <v>9</v>
      </c>
      <c r="AE183" s="228">
        <v>12</v>
      </c>
      <c r="AF183" s="228">
        <v>-3</v>
      </c>
      <c r="AG183" s="229">
        <v>8.0000000000000004E-4</v>
      </c>
      <c r="AH183" s="228">
        <v>95</v>
      </c>
      <c r="AI183" s="228">
        <v>72</v>
      </c>
      <c r="AJ183" s="228">
        <v>23</v>
      </c>
      <c r="AK183" s="229">
        <v>8.0000000000000002E-3</v>
      </c>
      <c r="AL183" s="228">
        <v>145</v>
      </c>
      <c r="AM183" s="228">
        <v>128</v>
      </c>
      <c r="AN183" s="228">
        <v>17</v>
      </c>
      <c r="AO183" s="229">
        <v>1.23E-2</v>
      </c>
      <c r="AP183" s="231">
        <v>11895.46</v>
      </c>
      <c r="AQ183" s="231">
        <v>11970.56</v>
      </c>
      <c r="AR183" s="228">
        <v>0</v>
      </c>
      <c r="AS183" s="228">
        <v>145</v>
      </c>
      <c r="AT183" s="228">
        <v>210</v>
      </c>
      <c r="AU183" s="228">
        <v>-65</v>
      </c>
      <c r="AV183" s="229">
        <v>-0.30940000000000001</v>
      </c>
      <c r="AW183" s="228">
        <v>116</v>
      </c>
      <c r="AX183" s="228">
        <v>165</v>
      </c>
      <c r="AY183" s="228">
        <v>-49</v>
      </c>
      <c r="AZ183" s="229">
        <v>-0.29709999999999998</v>
      </c>
      <c r="BA183" s="228">
        <v>26</v>
      </c>
      <c r="BB183" s="228">
        <v>35</v>
      </c>
      <c r="BC183" s="228">
        <v>-9</v>
      </c>
      <c r="BD183" s="229">
        <v>-0.26529999999999998</v>
      </c>
      <c r="BE183" s="228">
        <v>3</v>
      </c>
      <c r="BF183" s="228">
        <v>9</v>
      </c>
      <c r="BG183" s="228">
        <v>-6</v>
      </c>
      <c r="BH183" s="229">
        <v>-0.68869999999999998</v>
      </c>
      <c r="BI183" s="228">
        <v>761</v>
      </c>
      <c r="BJ183" s="230">
        <v>1103</v>
      </c>
      <c r="BK183" s="228">
        <v>-342</v>
      </c>
      <c r="BL183" s="229">
        <v>-0.30980000000000002</v>
      </c>
      <c r="BM183" s="228">
        <v>479</v>
      </c>
      <c r="BN183" s="228">
        <v>487</v>
      </c>
      <c r="BO183" s="228">
        <v>-8</v>
      </c>
      <c r="BP183" s="229">
        <v>-1.66E-2</v>
      </c>
      <c r="BQ183" s="230">
        <v>1385</v>
      </c>
      <c r="BR183" s="230">
        <v>1799</v>
      </c>
      <c r="BS183" s="228">
        <v>-414</v>
      </c>
      <c r="BT183" s="229">
        <v>-0.2303</v>
      </c>
      <c r="BU183" s="230">
        <v>63667</v>
      </c>
      <c r="BV183" s="230">
        <v>83674</v>
      </c>
      <c r="BW183" s="230">
        <v>-20007</v>
      </c>
      <c r="BX183" s="229">
        <v>-0.23910000000000001</v>
      </c>
      <c r="BY183" s="230">
        <v>1201</v>
      </c>
      <c r="BZ183" s="230">
        <v>1191</v>
      </c>
      <c r="CA183" s="228">
        <v>10</v>
      </c>
      <c r="CB183" s="229">
        <v>8.2000000000000007E-3</v>
      </c>
      <c r="CC183" s="230">
        <v>1099</v>
      </c>
      <c r="CD183" s="230">
        <v>1095</v>
      </c>
      <c r="CE183" s="228">
        <v>4</v>
      </c>
      <c r="CF183" s="229">
        <v>4.0000000000000001E-3</v>
      </c>
      <c r="CG183" s="228">
        <v>85</v>
      </c>
      <c r="CH183" s="228">
        <v>80</v>
      </c>
      <c r="CI183" s="228">
        <v>5</v>
      </c>
      <c r="CJ183" s="229">
        <v>6.4600000000000005E-2</v>
      </c>
      <c r="CK183" s="228">
        <v>17</v>
      </c>
      <c r="CL183" s="228">
        <v>17</v>
      </c>
      <c r="CM183" s="228">
        <v>0</v>
      </c>
      <c r="CN183" s="229">
        <v>1.38E-2</v>
      </c>
      <c r="CO183" s="228">
        <v>987</v>
      </c>
      <c r="CP183" s="228">
        <v>951</v>
      </c>
      <c r="CQ183" s="228">
        <v>36</v>
      </c>
      <c r="CR183" s="229">
        <v>3.7999999999999999E-2</v>
      </c>
      <c r="CS183" s="228">
        <v>375</v>
      </c>
      <c r="CT183" s="228">
        <v>351</v>
      </c>
      <c r="CU183" s="228">
        <v>24</v>
      </c>
      <c r="CV183" s="229">
        <v>6.93E-2</v>
      </c>
      <c r="CW183" s="230">
        <v>2563</v>
      </c>
      <c r="CX183" s="230">
        <v>2493</v>
      </c>
      <c r="CY183" s="228">
        <v>70</v>
      </c>
      <c r="CZ183" s="229">
        <v>2.81E-2</v>
      </c>
      <c r="DA183" s="228">
        <v>31</v>
      </c>
      <c r="DB183" s="228">
        <v>31.98</v>
      </c>
      <c r="DC183" s="228">
        <v>-0.98</v>
      </c>
      <c r="DD183" s="228">
        <v>-0.98</v>
      </c>
      <c r="DE183" s="228">
        <v>39.26</v>
      </c>
      <c r="DF183" s="228">
        <v>39.340000000000003</v>
      </c>
      <c r="DG183" s="228">
        <v>-8.26</v>
      </c>
      <c r="DH183" s="228">
        <v>-0.08</v>
      </c>
      <c r="DI183" s="228">
        <v>32.06</v>
      </c>
      <c r="DJ183" s="228">
        <v>33.04</v>
      </c>
      <c r="DK183" s="228">
        <v>-0.98</v>
      </c>
      <c r="DL183" s="228">
        <v>-0.98</v>
      </c>
      <c r="DM183" s="228">
        <v>29.31</v>
      </c>
      <c r="DN183" s="228">
        <v>29.58</v>
      </c>
      <c r="DO183" s="228">
        <v>-0.27</v>
      </c>
      <c r="DP183" s="228">
        <v>-0.27</v>
      </c>
      <c r="DQ183" s="228">
        <v>0.38</v>
      </c>
      <c r="DR183" s="228">
        <v>0.37</v>
      </c>
      <c r="DS183" s="228">
        <v>0.01</v>
      </c>
      <c r="DT183" s="229">
        <v>2.7E-2</v>
      </c>
      <c r="DU183" s="231">
        <v>12500</v>
      </c>
      <c r="DV183" s="231">
        <v>13000</v>
      </c>
      <c r="DW183" s="228">
        <v>0.63</v>
      </c>
      <c r="DX183" s="228">
        <v>0.44</v>
      </c>
      <c r="DY183" s="228">
        <v>0.19</v>
      </c>
      <c r="DZ183" s="229">
        <v>0.43180000000000002</v>
      </c>
      <c r="EA183" s="229">
        <v>8.5000000000000006E-2</v>
      </c>
      <c r="EB183" s="230">
        <v>81800</v>
      </c>
      <c r="EC183" s="229">
        <v>7.3000000000000001E-3</v>
      </c>
      <c r="ED183" s="229">
        <v>8.5000000000000006E-2</v>
      </c>
      <c r="EE183" s="228">
        <v>75.099999999999994</v>
      </c>
      <c r="EF183" s="229">
        <v>6.3E-3</v>
      </c>
      <c r="EG183" s="230">
        <v>27272</v>
      </c>
      <c r="EH183" s="230">
        <v>39879</v>
      </c>
      <c r="EI183" s="229">
        <v>-0.31609999999999999</v>
      </c>
      <c r="EJ183" s="229">
        <v>0.4284</v>
      </c>
      <c r="EK183" s="228">
        <v>825.73</v>
      </c>
      <c r="EL183" s="228">
        <v>467.7</v>
      </c>
      <c r="EM183" s="228">
        <v>136.19</v>
      </c>
      <c r="EN183" s="228">
        <v>15.8</v>
      </c>
      <c r="EO183" s="231">
        <v>1429.62</v>
      </c>
      <c r="EP183" s="231">
        <v>1903.16</v>
      </c>
      <c r="EQ183" s="228">
        <v>-473.54</v>
      </c>
      <c r="ER183" s="229">
        <v>-0.24879999999999999</v>
      </c>
      <c r="ES183" s="231">
        <v>1118.19</v>
      </c>
      <c r="ET183" s="228">
        <v>394.85</v>
      </c>
      <c r="EU183" s="231">
        <v>1201.93</v>
      </c>
      <c r="EV183" s="231">
        <v>3644817</v>
      </c>
      <c r="EW183" s="231">
        <v>2714.97</v>
      </c>
      <c r="EX183" s="231">
        <v>2659.08</v>
      </c>
      <c r="EY183" s="228">
        <v>55.89</v>
      </c>
      <c r="EZ183" s="229">
        <v>2.1000000000000001E-2</v>
      </c>
      <c r="FA183" s="229">
        <v>0.59470000000000001</v>
      </c>
      <c r="FB183" s="227" t="s">
        <v>567</v>
      </c>
      <c r="FC183">
        <f t="shared" si="3"/>
        <v>0</v>
      </c>
    </row>
    <row r="184" spans="1:159" ht="17.25" thickBot="1" x14ac:dyDescent="0.3">
      <c r="A184" s="226">
        <v>46008</v>
      </c>
      <c r="B184" s="227" t="s">
        <v>162</v>
      </c>
      <c r="C184" s="227" t="s">
        <v>614</v>
      </c>
      <c r="D184" s="228">
        <v>1050</v>
      </c>
      <c r="E184" s="228">
        <v>13</v>
      </c>
      <c r="F184" s="228">
        <v>491.45</v>
      </c>
      <c r="G184" s="228">
        <v>486.05</v>
      </c>
      <c r="H184" s="228">
        <v>5.4</v>
      </c>
      <c r="I184" s="229">
        <v>1.11E-2</v>
      </c>
      <c r="J184" s="228">
        <v>489.9</v>
      </c>
      <c r="K184" s="228">
        <v>484.95</v>
      </c>
      <c r="L184" s="228">
        <v>4.95</v>
      </c>
      <c r="M184" s="229">
        <v>1.0200000000000001E-2</v>
      </c>
      <c r="N184" s="228">
        <v>491.45</v>
      </c>
      <c r="O184" s="228">
        <v>486.05</v>
      </c>
      <c r="P184" s="228">
        <v>5.4</v>
      </c>
      <c r="Q184" s="229">
        <v>1.11E-2</v>
      </c>
      <c r="R184" s="228">
        <v>494.55</v>
      </c>
      <c r="S184" s="228">
        <v>488.85</v>
      </c>
      <c r="T184" s="228">
        <v>5.7</v>
      </c>
      <c r="U184" s="229">
        <v>1.17E-2</v>
      </c>
      <c r="V184" s="228">
        <v>496</v>
      </c>
      <c r="W184" s="228">
        <v>490.85</v>
      </c>
      <c r="X184" s="228">
        <v>5.15</v>
      </c>
      <c r="Y184" s="229">
        <v>1.0500000000000001E-2</v>
      </c>
      <c r="Z184" s="228">
        <v>1.55</v>
      </c>
      <c r="AA184" s="228">
        <v>1.1000000000000001</v>
      </c>
      <c r="AB184" s="228">
        <v>0.45</v>
      </c>
      <c r="AC184" s="229">
        <v>3.2000000000000002E-3</v>
      </c>
      <c r="AD184" s="228">
        <v>1.55</v>
      </c>
      <c r="AE184" s="228">
        <v>1.1000000000000001</v>
      </c>
      <c r="AF184" s="228">
        <v>0.45</v>
      </c>
      <c r="AG184" s="229">
        <v>3.2000000000000002E-3</v>
      </c>
      <c r="AH184" s="228">
        <v>4.6500000000000004</v>
      </c>
      <c r="AI184" s="228">
        <v>3.9</v>
      </c>
      <c r="AJ184" s="228">
        <v>0.75</v>
      </c>
      <c r="AK184" s="229">
        <v>9.4999999999999998E-3</v>
      </c>
      <c r="AL184" s="228">
        <v>6.1</v>
      </c>
      <c r="AM184" s="228">
        <v>5.9</v>
      </c>
      <c r="AN184" s="228">
        <v>0.2</v>
      </c>
      <c r="AO184" s="229">
        <v>1.2500000000000001E-2</v>
      </c>
      <c r="AP184" s="228">
        <v>490.15</v>
      </c>
      <c r="AQ184" s="228">
        <v>493.81</v>
      </c>
      <c r="AR184" s="228">
        <v>0</v>
      </c>
      <c r="AS184" s="228">
        <v>85</v>
      </c>
      <c r="AT184" s="228">
        <v>50</v>
      </c>
      <c r="AU184" s="228">
        <v>35</v>
      </c>
      <c r="AV184" s="229">
        <v>0.70669999999999999</v>
      </c>
      <c r="AW184" s="228">
        <v>74</v>
      </c>
      <c r="AX184" s="228">
        <v>45</v>
      </c>
      <c r="AY184" s="228">
        <v>29</v>
      </c>
      <c r="AZ184" s="229">
        <v>0.63739999999999997</v>
      </c>
      <c r="BA184" s="228">
        <v>10</v>
      </c>
      <c r="BB184" s="228">
        <v>4</v>
      </c>
      <c r="BC184" s="228">
        <v>6</v>
      </c>
      <c r="BD184" s="229">
        <v>1.5063</v>
      </c>
      <c r="BE184" s="228">
        <v>1</v>
      </c>
      <c r="BF184" s="228">
        <v>0</v>
      </c>
      <c r="BG184" s="228">
        <v>0</v>
      </c>
      <c r="BH184" s="229">
        <v>0.44440000000000002</v>
      </c>
      <c r="BI184" s="228">
        <v>269</v>
      </c>
      <c r="BJ184" s="228">
        <v>99</v>
      </c>
      <c r="BK184" s="228">
        <v>170</v>
      </c>
      <c r="BL184" s="229">
        <v>1.7162999999999999</v>
      </c>
      <c r="BM184" s="228">
        <v>73</v>
      </c>
      <c r="BN184" s="228">
        <v>43</v>
      </c>
      <c r="BO184" s="228">
        <v>30</v>
      </c>
      <c r="BP184" s="229">
        <v>0.68910000000000005</v>
      </c>
      <c r="BQ184" s="228">
        <v>427</v>
      </c>
      <c r="BR184" s="228">
        <v>192</v>
      </c>
      <c r="BS184" s="228">
        <v>235</v>
      </c>
      <c r="BT184" s="229">
        <v>1.2242999999999999</v>
      </c>
      <c r="BU184" s="230">
        <v>866567</v>
      </c>
      <c r="BV184" s="230">
        <v>424324</v>
      </c>
      <c r="BW184" s="230">
        <v>442243</v>
      </c>
      <c r="BX184" s="229">
        <v>1.0422</v>
      </c>
      <c r="BY184" s="228">
        <v>711</v>
      </c>
      <c r="BZ184" s="228">
        <v>694</v>
      </c>
      <c r="CA184" s="228">
        <v>17</v>
      </c>
      <c r="CB184" s="229">
        <v>2.5000000000000001E-2</v>
      </c>
      <c r="CC184" s="228">
        <v>680</v>
      </c>
      <c r="CD184" s="228">
        <v>665</v>
      </c>
      <c r="CE184" s="228">
        <v>14</v>
      </c>
      <c r="CF184" s="229">
        <v>2.1399999999999999E-2</v>
      </c>
      <c r="CG184" s="228">
        <v>28</v>
      </c>
      <c r="CH184" s="228">
        <v>24</v>
      </c>
      <c r="CI184" s="228">
        <v>3</v>
      </c>
      <c r="CJ184" s="229">
        <v>0.1404</v>
      </c>
      <c r="CK184" s="228">
        <v>4</v>
      </c>
      <c r="CL184" s="228">
        <v>4</v>
      </c>
      <c r="CM184" s="228">
        <v>0</v>
      </c>
      <c r="CN184" s="229">
        <v>-9.0899999999999995E-2</v>
      </c>
      <c r="CO184" s="228">
        <v>309</v>
      </c>
      <c r="CP184" s="228">
        <v>294</v>
      </c>
      <c r="CQ184" s="228">
        <v>15</v>
      </c>
      <c r="CR184" s="229">
        <v>4.9799999999999997E-2</v>
      </c>
      <c r="CS184" s="228">
        <v>139</v>
      </c>
      <c r="CT184" s="228">
        <v>141</v>
      </c>
      <c r="CU184" s="228">
        <v>-2</v>
      </c>
      <c r="CV184" s="229">
        <v>-1.29E-2</v>
      </c>
      <c r="CW184" s="230">
        <v>1159</v>
      </c>
      <c r="CX184" s="230">
        <v>1129</v>
      </c>
      <c r="CY184" s="228">
        <v>30</v>
      </c>
      <c r="CZ184" s="229">
        <v>2.6700000000000002E-2</v>
      </c>
      <c r="DA184" s="228">
        <v>28.95</v>
      </c>
      <c r="DB184" s="228">
        <v>29.42</v>
      </c>
      <c r="DC184" s="228">
        <v>-0.47</v>
      </c>
      <c r="DD184" s="228">
        <v>-0.47</v>
      </c>
      <c r="DE184" s="228">
        <v>39.020000000000003</v>
      </c>
      <c r="DF184" s="228">
        <v>39.090000000000003</v>
      </c>
      <c r="DG184" s="228">
        <v>-10.07</v>
      </c>
      <c r="DH184" s="228">
        <v>-7.0000000000000007E-2</v>
      </c>
      <c r="DI184" s="228">
        <v>28.95</v>
      </c>
      <c r="DJ184" s="228">
        <v>29.58</v>
      </c>
      <c r="DK184" s="228">
        <v>-0.63</v>
      </c>
      <c r="DL184" s="228">
        <v>-0.63</v>
      </c>
      <c r="DM184" s="228">
        <v>28.95</v>
      </c>
      <c r="DN184" s="228">
        <v>29.04</v>
      </c>
      <c r="DO184" s="228">
        <v>-0.09</v>
      </c>
      <c r="DP184" s="228">
        <v>-0.09</v>
      </c>
      <c r="DQ184" s="228">
        <v>0.45</v>
      </c>
      <c r="DR184" s="228">
        <v>0.48</v>
      </c>
      <c r="DS184" s="228">
        <v>-0.03</v>
      </c>
      <c r="DT184" s="229">
        <v>-6.25E-2</v>
      </c>
      <c r="DU184" s="228">
        <v>520</v>
      </c>
      <c r="DV184" s="228">
        <v>500</v>
      </c>
      <c r="DW184" s="228">
        <v>0.27</v>
      </c>
      <c r="DX184" s="228">
        <v>0.43</v>
      </c>
      <c r="DY184" s="228">
        <v>-0.16</v>
      </c>
      <c r="DZ184" s="229">
        <v>-0.37209999999999999</v>
      </c>
      <c r="EA184" s="229">
        <v>4.4299999999999999E-2</v>
      </c>
      <c r="EB184" s="230">
        <v>578200</v>
      </c>
      <c r="EC184" s="229">
        <v>6.3E-3</v>
      </c>
      <c r="ED184" s="229">
        <v>4.4299999999999999E-2</v>
      </c>
      <c r="EE184" s="228">
        <v>3.66</v>
      </c>
      <c r="EF184" s="229">
        <v>7.4999999999999997E-3</v>
      </c>
      <c r="EG184" s="230">
        <v>395294</v>
      </c>
      <c r="EH184" s="230">
        <v>224601</v>
      </c>
      <c r="EI184" s="229">
        <v>0.76</v>
      </c>
      <c r="EJ184" s="229">
        <v>0.45619999999999999</v>
      </c>
      <c r="EK184" s="228">
        <v>279.14999999999998</v>
      </c>
      <c r="EL184" s="228">
        <v>71.27</v>
      </c>
      <c r="EM184" s="228">
        <v>86.67</v>
      </c>
      <c r="EN184" s="228">
        <v>19.170000000000002</v>
      </c>
      <c r="EO184" s="228">
        <v>437.09</v>
      </c>
      <c r="EP184" s="228">
        <v>194.84</v>
      </c>
      <c r="EQ184" s="228">
        <v>242.25</v>
      </c>
      <c r="ER184" s="229">
        <v>1.2433000000000001</v>
      </c>
      <c r="ES184" s="228">
        <v>325.08999999999997</v>
      </c>
      <c r="ET184" s="228">
        <v>136.34</v>
      </c>
      <c r="EU184" s="228">
        <v>711.4</v>
      </c>
      <c r="EV184" s="231">
        <v>67126548</v>
      </c>
      <c r="EW184" s="231">
        <v>1172.83</v>
      </c>
      <c r="EX184" s="231">
        <v>1134.6199999999999</v>
      </c>
      <c r="EY184" s="228">
        <v>38.21</v>
      </c>
      <c r="EZ184" s="229">
        <v>3.3700000000000001E-2</v>
      </c>
      <c r="FA184" s="229">
        <v>0.35139999999999999</v>
      </c>
      <c r="FB184" s="227" t="s">
        <v>555</v>
      </c>
      <c r="FC184">
        <f t="shared" si="3"/>
        <v>0</v>
      </c>
    </row>
    <row r="185" spans="1:159" ht="17.25" thickBot="1" x14ac:dyDescent="0.3">
      <c r="A185" s="226">
        <v>46008</v>
      </c>
      <c r="B185" s="227" t="s">
        <v>197</v>
      </c>
      <c r="C185" s="227" t="s">
        <v>286</v>
      </c>
      <c r="D185" s="228">
        <v>200</v>
      </c>
      <c r="E185" s="228">
        <v>13</v>
      </c>
      <c r="F185" s="231">
        <v>3036.7</v>
      </c>
      <c r="G185" s="231">
        <v>3018</v>
      </c>
      <c r="H185" s="228">
        <v>18.7</v>
      </c>
      <c r="I185" s="229">
        <v>6.1999999999999998E-3</v>
      </c>
      <c r="J185" s="231">
        <v>3033.3</v>
      </c>
      <c r="K185" s="231">
        <v>3015.7</v>
      </c>
      <c r="L185" s="228">
        <v>17.600000000000001</v>
      </c>
      <c r="M185" s="229">
        <v>5.7999999999999996E-3</v>
      </c>
      <c r="N185" s="231">
        <v>3036.7</v>
      </c>
      <c r="O185" s="231">
        <v>3018</v>
      </c>
      <c r="P185" s="228">
        <v>18.7</v>
      </c>
      <c r="Q185" s="229">
        <v>6.1999999999999998E-3</v>
      </c>
      <c r="R185" s="231">
        <v>3053.3</v>
      </c>
      <c r="S185" s="231">
        <v>3037.1</v>
      </c>
      <c r="T185" s="228">
        <v>16.2</v>
      </c>
      <c r="U185" s="229">
        <v>5.3E-3</v>
      </c>
      <c r="V185" s="231">
        <v>3048.1</v>
      </c>
      <c r="W185" s="231">
        <v>3046.8</v>
      </c>
      <c r="X185" s="228">
        <v>1.3</v>
      </c>
      <c r="Y185" s="229">
        <v>4.0000000000000002E-4</v>
      </c>
      <c r="Z185" s="228">
        <v>3.4</v>
      </c>
      <c r="AA185" s="228">
        <v>2.2999999999999998</v>
      </c>
      <c r="AB185" s="228">
        <v>1.1000000000000001</v>
      </c>
      <c r="AC185" s="229">
        <v>1.1000000000000001E-3</v>
      </c>
      <c r="AD185" s="228">
        <v>3.4</v>
      </c>
      <c r="AE185" s="228">
        <v>2.2999999999999998</v>
      </c>
      <c r="AF185" s="228">
        <v>1.1000000000000001</v>
      </c>
      <c r="AG185" s="229">
        <v>1.1000000000000001E-3</v>
      </c>
      <c r="AH185" s="228">
        <v>20</v>
      </c>
      <c r="AI185" s="228">
        <v>21.4</v>
      </c>
      <c r="AJ185" s="228">
        <v>-1.4</v>
      </c>
      <c r="AK185" s="229">
        <v>6.6E-3</v>
      </c>
      <c r="AL185" s="228">
        <v>14.8</v>
      </c>
      <c r="AM185" s="228">
        <v>31.1</v>
      </c>
      <c r="AN185" s="228">
        <v>-16.3</v>
      </c>
      <c r="AO185" s="229">
        <v>4.8999999999999998E-3</v>
      </c>
      <c r="AP185" s="231">
        <v>3024.79</v>
      </c>
      <c r="AQ185" s="231">
        <v>3042.79</v>
      </c>
      <c r="AR185" s="228">
        <v>0</v>
      </c>
      <c r="AS185" s="228">
        <v>191</v>
      </c>
      <c r="AT185" s="228">
        <v>210</v>
      </c>
      <c r="AU185" s="228">
        <v>-19</v>
      </c>
      <c r="AV185" s="229">
        <v>-9.0399999999999994E-2</v>
      </c>
      <c r="AW185" s="228">
        <v>175</v>
      </c>
      <c r="AX185" s="228">
        <v>187</v>
      </c>
      <c r="AY185" s="228">
        <v>-12</v>
      </c>
      <c r="AZ185" s="229">
        <v>-6.6000000000000003E-2</v>
      </c>
      <c r="BA185" s="228">
        <v>16</v>
      </c>
      <c r="BB185" s="228">
        <v>22</v>
      </c>
      <c r="BC185" s="228">
        <v>-6</v>
      </c>
      <c r="BD185" s="229">
        <v>-0.2697</v>
      </c>
      <c r="BE185" s="228">
        <v>0</v>
      </c>
      <c r="BF185" s="228">
        <v>1</v>
      </c>
      <c r="BG185" s="228">
        <v>-1</v>
      </c>
      <c r="BH185" s="229">
        <v>-0.72219999999999995</v>
      </c>
      <c r="BI185" s="228">
        <v>989</v>
      </c>
      <c r="BJ185" s="230">
        <v>1279</v>
      </c>
      <c r="BK185" s="228">
        <v>-289</v>
      </c>
      <c r="BL185" s="229">
        <v>-0.22620000000000001</v>
      </c>
      <c r="BM185" s="228">
        <v>352</v>
      </c>
      <c r="BN185" s="228">
        <v>405</v>
      </c>
      <c r="BO185" s="228">
        <v>-53</v>
      </c>
      <c r="BP185" s="229">
        <v>-0.13089999999999999</v>
      </c>
      <c r="BQ185" s="230">
        <v>1532</v>
      </c>
      <c r="BR185" s="230">
        <v>1893</v>
      </c>
      <c r="BS185" s="228">
        <v>-361</v>
      </c>
      <c r="BT185" s="229">
        <v>-0.1908</v>
      </c>
      <c r="BU185" s="230">
        <v>334975</v>
      </c>
      <c r="BV185" s="230">
        <v>559686</v>
      </c>
      <c r="BW185" s="230">
        <v>-224711</v>
      </c>
      <c r="BX185" s="229">
        <v>-0.40150000000000002</v>
      </c>
      <c r="BY185" s="230">
        <v>1044</v>
      </c>
      <c r="BZ185" s="230">
        <v>1054</v>
      </c>
      <c r="CA185" s="228">
        <v>-10</v>
      </c>
      <c r="CB185" s="229">
        <v>-9.2999999999999992E-3</v>
      </c>
      <c r="CC185" s="228">
        <v>999</v>
      </c>
      <c r="CD185" s="230">
        <v>1008</v>
      </c>
      <c r="CE185" s="228">
        <v>-10</v>
      </c>
      <c r="CF185" s="229">
        <v>-9.4999999999999998E-3</v>
      </c>
      <c r="CG185" s="228">
        <v>41</v>
      </c>
      <c r="CH185" s="228">
        <v>41</v>
      </c>
      <c r="CI185" s="228">
        <v>0</v>
      </c>
      <c r="CJ185" s="229">
        <v>-8.8000000000000005E-3</v>
      </c>
      <c r="CK185" s="228">
        <v>5</v>
      </c>
      <c r="CL185" s="228">
        <v>4</v>
      </c>
      <c r="CM185" s="228">
        <v>0</v>
      </c>
      <c r="CN185" s="229">
        <v>1.35E-2</v>
      </c>
      <c r="CO185" s="228">
        <v>614</v>
      </c>
      <c r="CP185" s="228">
        <v>594</v>
      </c>
      <c r="CQ185" s="228">
        <v>21</v>
      </c>
      <c r="CR185" s="229">
        <v>3.5000000000000003E-2</v>
      </c>
      <c r="CS185" s="228">
        <v>452</v>
      </c>
      <c r="CT185" s="228">
        <v>448</v>
      </c>
      <c r="CU185" s="228">
        <v>4</v>
      </c>
      <c r="CV185" s="229">
        <v>8.0000000000000002E-3</v>
      </c>
      <c r="CW185" s="230">
        <v>2110</v>
      </c>
      <c r="CX185" s="230">
        <v>2096</v>
      </c>
      <c r="CY185" s="228">
        <v>15</v>
      </c>
      <c r="CZ185" s="229">
        <v>6.8999999999999999E-3</v>
      </c>
      <c r="DA185" s="228">
        <v>21.93</v>
      </c>
      <c r="DB185" s="228">
        <v>22.03</v>
      </c>
      <c r="DC185" s="228">
        <v>-0.1</v>
      </c>
      <c r="DD185" s="228">
        <v>-0.1</v>
      </c>
      <c r="DE185" s="228">
        <v>31.04</v>
      </c>
      <c r="DF185" s="228">
        <v>31.11</v>
      </c>
      <c r="DG185" s="228">
        <v>-9.11</v>
      </c>
      <c r="DH185" s="228">
        <v>-7.0000000000000007E-2</v>
      </c>
      <c r="DI185" s="228">
        <v>21.58</v>
      </c>
      <c r="DJ185" s="228">
        <v>21.88</v>
      </c>
      <c r="DK185" s="228">
        <v>-0.3</v>
      </c>
      <c r="DL185" s="228">
        <v>-0.3</v>
      </c>
      <c r="DM185" s="228">
        <v>22.92</v>
      </c>
      <c r="DN185" s="228">
        <v>22.51</v>
      </c>
      <c r="DO185" s="228">
        <v>0.41</v>
      </c>
      <c r="DP185" s="228">
        <v>0.41</v>
      </c>
      <c r="DQ185" s="228">
        <v>0.74</v>
      </c>
      <c r="DR185" s="228">
        <v>0.75</v>
      </c>
      <c r="DS185" s="228">
        <v>-0.01</v>
      </c>
      <c r="DT185" s="229">
        <v>-1.3299999999999999E-2</v>
      </c>
      <c r="DU185" s="231">
        <v>3000</v>
      </c>
      <c r="DV185" s="231">
        <v>2900</v>
      </c>
      <c r="DW185" s="228">
        <v>0.36</v>
      </c>
      <c r="DX185" s="228">
        <v>0.32</v>
      </c>
      <c r="DY185" s="228">
        <v>0.04</v>
      </c>
      <c r="DZ185" s="229">
        <v>0.125</v>
      </c>
      <c r="EA185" s="229">
        <v>4.36E-2</v>
      </c>
      <c r="EB185" s="230">
        <v>151000</v>
      </c>
      <c r="EC185" s="229">
        <v>5.4999999999999997E-3</v>
      </c>
      <c r="ED185" s="229">
        <v>4.36E-2</v>
      </c>
      <c r="EE185" s="228">
        <v>18</v>
      </c>
      <c r="EF185" s="229">
        <v>6.0000000000000001E-3</v>
      </c>
      <c r="EG185" s="230">
        <v>223613</v>
      </c>
      <c r="EH185" s="230">
        <v>352856</v>
      </c>
      <c r="EI185" s="229">
        <v>-0.36630000000000001</v>
      </c>
      <c r="EJ185" s="229">
        <v>0.66759999999999997</v>
      </c>
      <c r="EK185" s="231">
        <v>1014.28</v>
      </c>
      <c r="EL185" s="228">
        <v>344.12</v>
      </c>
      <c r="EM185" s="228">
        <v>190.05</v>
      </c>
      <c r="EN185" s="228">
        <v>49.93</v>
      </c>
      <c r="EO185" s="231">
        <v>1548.45</v>
      </c>
      <c r="EP185" s="231">
        <v>1913.56</v>
      </c>
      <c r="EQ185" s="228">
        <v>-365.11</v>
      </c>
      <c r="ER185" s="229">
        <v>-0.1908</v>
      </c>
      <c r="ES185" s="228">
        <v>619.41</v>
      </c>
      <c r="ET185" s="228">
        <v>429.58</v>
      </c>
      <c r="EU185" s="231">
        <v>1044.3800000000001</v>
      </c>
      <c r="EV185" s="231">
        <v>21205300</v>
      </c>
      <c r="EW185" s="231">
        <v>2093.36</v>
      </c>
      <c r="EX185" s="231">
        <v>2069.38</v>
      </c>
      <c r="EY185" s="228">
        <v>23.98</v>
      </c>
      <c r="EZ185" s="229">
        <v>1.1599999999999999E-2</v>
      </c>
      <c r="FA185" s="229">
        <v>0.32769999999999999</v>
      </c>
      <c r="FB185" s="227" t="s">
        <v>556</v>
      </c>
      <c r="FC185">
        <f t="shared" si="3"/>
        <v>0</v>
      </c>
    </row>
    <row r="186" spans="1:159" ht="17.25" thickBot="1" x14ac:dyDescent="0.3">
      <c r="A186" s="226">
        <v>46008</v>
      </c>
      <c r="B186" s="227" t="s">
        <v>170</v>
      </c>
      <c r="C186" s="227" t="s">
        <v>288</v>
      </c>
      <c r="D186" s="228">
        <v>350</v>
      </c>
      <c r="E186" s="228">
        <v>13</v>
      </c>
      <c r="F186" s="231">
        <v>1799.2</v>
      </c>
      <c r="G186" s="231">
        <v>1786.9</v>
      </c>
      <c r="H186" s="228">
        <v>12.3</v>
      </c>
      <c r="I186" s="229">
        <v>6.8999999999999999E-3</v>
      </c>
      <c r="J186" s="231">
        <v>1792.9</v>
      </c>
      <c r="K186" s="231">
        <v>1781.3</v>
      </c>
      <c r="L186" s="228">
        <v>11.6</v>
      </c>
      <c r="M186" s="229">
        <v>6.4999999999999997E-3</v>
      </c>
      <c r="N186" s="231">
        <v>1799.2</v>
      </c>
      <c r="O186" s="231">
        <v>1786.9</v>
      </c>
      <c r="P186" s="228">
        <v>12.3</v>
      </c>
      <c r="Q186" s="229">
        <v>6.8999999999999999E-3</v>
      </c>
      <c r="R186" s="231">
        <v>1810.5</v>
      </c>
      <c r="S186" s="231">
        <v>1798.8</v>
      </c>
      <c r="T186" s="228">
        <v>11.7</v>
      </c>
      <c r="U186" s="229">
        <v>6.4999999999999997E-3</v>
      </c>
      <c r="V186" s="231">
        <v>1807</v>
      </c>
      <c r="W186" s="231">
        <v>1802.9</v>
      </c>
      <c r="X186" s="228">
        <v>4.0999999999999996</v>
      </c>
      <c r="Y186" s="229">
        <v>2.3E-3</v>
      </c>
      <c r="Z186" s="228">
        <v>6.3</v>
      </c>
      <c r="AA186" s="228">
        <v>5.6</v>
      </c>
      <c r="AB186" s="228">
        <v>0.7</v>
      </c>
      <c r="AC186" s="229">
        <v>3.5000000000000001E-3</v>
      </c>
      <c r="AD186" s="228">
        <v>6.3</v>
      </c>
      <c r="AE186" s="228">
        <v>5.6</v>
      </c>
      <c r="AF186" s="228">
        <v>0.7</v>
      </c>
      <c r="AG186" s="229">
        <v>3.5000000000000001E-3</v>
      </c>
      <c r="AH186" s="228">
        <v>17.600000000000001</v>
      </c>
      <c r="AI186" s="228">
        <v>17.5</v>
      </c>
      <c r="AJ186" s="228">
        <v>0.1</v>
      </c>
      <c r="AK186" s="229">
        <v>9.7999999999999997E-3</v>
      </c>
      <c r="AL186" s="228">
        <v>14.1</v>
      </c>
      <c r="AM186" s="228">
        <v>21.6</v>
      </c>
      <c r="AN186" s="228">
        <v>-7.5</v>
      </c>
      <c r="AO186" s="229">
        <v>7.9000000000000008E-3</v>
      </c>
      <c r="AP186" s="231">
        <v>1789.29</v>
      </c>
      <c r="AQ186" s="231">
        <v>1799.9</v>
      </c>
      <c r="AR186" s="228">
        <v>0</v>
      </c>
      <c r="AS186" s="228">
        <v>460</v>
      </c>
      <c r="AT186" s="228">
        <v>213</v>
      </c>
      <c r="AU186" s="228">
        <v>247</v>
      </c>
      <c r="AV186" s="229">
        <v>1.1555</v>
      </c>
      <c r="AW186" s="228">
        <v>281</v>
      </c>
      <c r="AX186" s="228">
        <v>179</v>
      </c>
      <c r="AY186" s="228">
        <v>103</v>
      </c>
      <c r="AZ186" s="229">
        <v>0.57669999999999999</v>
      </c>
      <c r="BA186" s="228">
        <v>178</v>
      </c>
      <c r="BB186" s="228">
        <v>34</v>
      </c>
      <c r="BC186" s="228">
        <v>144</v>
      </c>
      <c r="BD186" s="229">
        <v>4.2180999999999997</v>
      </c>
      <c r="BE186" s="228">
        <v>1</v>
      </c>
      <c r="BF186" s="228">
        <v>1</v>
      </c>
      <c r="BG186" s="228">
        <v>0</v>
      </c>
      <c r="BH186" s="229">
        <v>-0.16669999999999999</v>
      </c>
      <c r="BI186" s="230">
        <v>1221</v>
      </c>
      <c r="BJ186" s="228">
        <v>732</v>
      </c>
      <c r="BK186" s="228">
        <v>490</v>
      </c>
      <c r="BL186" s="229">
        <v>0.6694</v>
      </c>
      <c r="BM186" s="228">
        <v>509</v>
      </c>
      <c r="BN186" s="228">
        <v>285</v>
      </c>
      <c r="BO186" s="228">
        <v>224</v>
      </c>
      <c r="BP186" s="229">
        <v>0.78449999999999998</v>
      </c>
      <c r="BQ186" s="230">
        <v>2190</v>
      </c>
      <c r="BR186" s="230">
        <v>1230</v>
      </c>
      <c r="BS186" s="228">
        <v>960</v>
      </c>
      <c r="BT186" s="229">
        <v>0.78039999999999998</v>
      </c>
      <c r="BU186" s="230">
        <v>2034450</v>
      </c>
      <c r="BV186" s="230">
        <v>1615604</v>
      </c>
      <c r="BW186" s="230">
        <v>418846</v>
      </c>
      <c r="BX186" s="229">
        <v>0.25929999999999997</v>
      </c>
      <c r="BY186" s="230">
        <v>2638</v>
      </c>
      <c r="BZ186" s="230">
        <v>2627</v>
      </c>
      <c r="CA186" s="228">
        <v>11</v>
      </c>
      <c r="CB186" s="229">
        <v>4.1999999999999997E-3</v>
      </c>
      <c r="CC186" s="230">
        <v>2285</v>
      </c>
      <c r="CD186" s="230">
        <v>2433</v>
      </c>
      <c r="CE186" s="228">
        <v>-147</v>
      </c>
      <c r="CF186" s="229">
        <v>-6.0600000000000001E-2</v>
      </c>
      <c r="CG186" s="228">
        <v>341</v>
      </c>
      <c r="CH186" s="228">
        <v>183</v>
      </c>
      <c r="CI186" s="228">
        <v>158</v>
      </c>
      <c r="CJ186" s="229">
        <v>0.8669</v>
      </c>
      <c r="CK186" s="228">
        <v>12</v>
      </c>
      <c r="CL186" s="228">
        <v>12</v>
      </c>
      <c r="CM186" s="228">
        <v>0</v>
      </c>
      <c r="CN186" s="229">
        <v>1.09E-2</v>
      </c>
      <c r="CO186" s="230">
        <v>1257</v>
      </c>
      <c r="CP186" s="230">
        <v>1288</v>
      </c>
      <c r="CQ186" s="228">
        <v>-30</v>
      </c>
      <c r="CR186" s="229">
        <v>-2.3699999999999999E-2</v>
      </c>
      <c r="CS186" s="228">
        <v>424</v>
      </c>
      <c r="CT186" s="228">
        <v>434</v>
      </c>
      <c r="CU186" s="228">
        <v>-10</v>
      </c>
      <c r="CV186" s="229">
        <v>-2.3599999999999999E-2</v>
      </c>
      <c r="CW186" s="230">
        <v>4319</v>
      </c>
      <c r="CX186" s="230">
        <v>4349</v>
      </c>
      <c r="CY186" s="228">
        <v>-30</v>
      </c>
      <c r="CZ186" s="229">
        <v>-6.7999999999999996E-3</v>
      </c>
      <c r="DA186" s="228">
        <v>15.19</v>
      </c>
      <c r="DB186" s="228">
        <v>16.34</v>
      </c>
      <c r="DC186" s="228">
        <v>-1.1499999999999999</v>
      </c>
      <c r="DD186" s="228">
        <v>-1.1499999999999999</v>
      </c>
      <c r="DE186" s="228">
        <v>22.53</v>
      </c>
      <c r="DF186" s="228">
        <v>22.57</v>
      </c>
      <c r="DG186" s="228">
        <v>-7.34</v>
      </c>
      <c r="DH186" s="228">
        <v>-0.04</v>
      </c>
      <c r="DI186" s="228">
        <v>14.83</v>
      </c>
      <c r="DJ186" s="228">
        <v>16.510000000000002</v>
      </c>
      <c r="DK186" s="228">
        <v>-1.68</v>
      </c>
      <c r="DL186" s="228">
        <v>-1.68</v>
      </c>
      <c r="DM186" s="228">
        <v>16.04</v>
      </c>
      <c r="DN186" s="228">
        <v>15.91</v>
      </c>
      <c r="DO186" s="228">
        <v>0.13</v>
      </c>
      <c r="DP186" s="228">
        <v>0.13</v>
      </c>
      <c r="DQ186" s="228">
        <v>0.34</v>
      </c>
      <c r="DR186" s="228">
        <v>0.34</v>
      </c>
      <c r="DS186" s="228">
        <v>0</v>
      </c>
      <c r="DT186" s="229">
        <v>0</v>
      </c>
      <c r="DU186" s="231">
        <v>1840</v>
      </c>
      <c r="DV186" s="231">
        <v>1780</v>
      </c>
      <c r="DW186" s="228">
        <v>0.42</v>
      </c>
      <c r="DX186" s="228">
        <v>0.39</v>
      </c>
      <c r="DY186" s="228">
        <v>0.03</v>
      </c>
      <c r="DZ186" s="229">
        <v>7.6899999999999996E-2</v>
      </c>
      <c r="EA186" s="229">
        <v>0.13370000000000001</v>
      </c>
      <c r="EB186" s="230">
        <v>1079400</v>
      </c>
      <c r="EC186" s="229">
        <v>6.3E-3</v>
      </c>
      <c r="ED186" s="229">
        <v>0.13370000000000001</v>
      </c>
      <c r="EE186" s="228">
        <v>10.61</v>
      </c>
      <c r="EF186" s="229">
        <v>5.8999999999999999E-3</v>
      </c>
      <c r="EG186" s="230">
        <v>1519888</v>
      </c>
      <c r="EH186" s="230">
        <v>1079090</v>
      </c>
      <c r="EI186" s="229">
        <v>0.40849999999999997</v>
      </c>
      <c r="EJ186" s="229">
        <v>0.74709999999999999</v>
      </c>
      <c r="EK186" s="231">
        <v>1245.0999999999999</v>
      </c>
      <c r="EL186" s="228">
        <v>499.47</v>
      </c>
      <c r="EM186" s="228">
        <v>458.4</v>
      </c>
      <c r="EN186" s="228">
        <v>34.47</v>
      </c>
      <c r="EO186" s="231">
        <v>2202.9699999999998</v>
      </c>
      <c r="EP186" s="231">
        <v>1243.33</v>
      </c>
      <c r="EQ186" s="228">
        <v>959.64</v>
      </c>
      <c r="ER186" s="229">
        <v>0.77180000000000004</v>
      </c>
      <c r="ES186" s="231">
        <v>1289.9100000000001</v>
      </c>
      <c r="ET186" s="228">
        <v>408.89</v>
      </c>
      <c r="EU186" s="231">
        <v>2640.22</v>
      </c>
      <c r="EV186" s="231">
        <v>109220043</v>
      </c>
      <c r="EW186" s="231">
        <v>4339.0200000000004</v>
      </c>
      <c r="EX186" s="231">
        <v>4350.21</v>
      </c>
      <c r="EY186" s="228">
        <v>-11.19</v>
      </c>
      <c r="EZ186" s="229">
        <v>-2.5999999999999999E-3</v>
      </c>
      <c r="FA186" s="229">
        <v>0.2198</v>
      </c>
      <c r="FB186" s="227" t="s">
        <v>555</v>
      </c>
      <c r="FC186">
        <f t="shared" si="3"/>
        <v>0</v>
      </c>
    </row>
    <row r="187" spans="1:159" ht="17.25" thickBot="1" x14ac:dyDescent="0.3">
      <c r="A187" s="226">
        <v>46008</v>
      </c>
      <c r="B187" s="227" t="s">
        <v>184</v>
      </c>
      <c r="C187" s="227" t="s">
        <v>574</v>
      </c>
      <c r="D187" s="228">
        <v>175</v>
      </c>
      <c r="E187" s="228">
        <v>13</v>
      </c>
      <c r="F187" s="231">
        <v>3359.1</v>
      </c>
      <c r="G187" s="231">
        <v>3407.9</v>
      </c>
      <c r="H187" s="228">
        <v>-48.8</v>
      </c>
      <c r="I187" s="229">
        <v>-1.43E-2</v>
      </c>
      <c r="J187" s="231">
        <v>3345.2</v>
      </c>
      <c r="K187" s="231">
        <v>3405.8</v>
      </c>
      <c r="L187" s="228">
        <v>-60.6</v>
      </c>
      <c r="M187" s="229">
        <v>-1.78E-2</v>
      </c>
      <c r="N187" s="231">
        <v>3359.1</v>
      </c>
      <c r="O187" s="231">
        <v>3407.9</v>
      </c>
      <c r="P187" s="228">
        <v>-48.8</v>
      </c>
      <c r="Q187" s="229">
        <v>-1.43E-2</v>
      </c>
      <c r="R187" s="231">
        <v>3370.2</v>
      </c>
      <c r="S187" s="231">
        <v>3415.2</v>
      </c>
      <c r="T187" s="228">
        <v>-45</v>
      </c>
      <c r="U187" s="229">
        <v>-1.32E-2</v>
      </c>
      <c r="V187" s="231">
        <v>3391.4</v>
      </c>
      <c r="W187" s="231">
        <v>3429.4</v>
      </c>
      <c r="X187" s="228">
        <v>-38</v>
      </c>
      <c r="Y187" s="229">
        <v>-1.11E-2</v>
      </c>
      <c r="Z187" s="228">
        <v>13.9</v>
      </c>
      <c r="AA187" s="228">
        <v>2.1</v>
      </c>
      <c r="AB187" s="228">
        <v>11.8</v>
      </c>
      <c r="AC187" s="229">
        <v>4.1999999999999997E-3</v>
      </c>
      <c r="AD187" s="228">
        <v>13.9</v>
      </c>
      <c r="AE187" s="228">
        <v>2.1</v>
      </c>
      <c r="AF187" s="228">
        <v>11.8</v>
      </c>
      <c r="AG187" s="229">
        <v>4.1999999999999997E-3</v>
      </c>
      <c r="AH187" s="228">
        <v>25</v>
      </c>
      <c r="AI187" s="228">
        <v>9.4</v>
      </c>
      <c r="AJ187" s="228">
        <v>15.6</v>
      </c>
      <c r="AK187" s="229">
        <v>7.4999999999999997E-3</v>
      </c>
      <c r="AL187" s="228">
        <v>46.2</v>
      </c>
      <c r="AM187" s="228">
        <v>23.6</v>
      </c>
      <c r="AN187" s="228">
        <v>22.6</v>
      </c>
      <c r="AO187" s="229">
        <v>1.38E-2</v>
      </c>
      <c r="AP187" s="231">
        <v>3365.8</v>
      </c>
      <c r="AQ187" s="231">
        <v>3384.03</v>
      </c>
      <c r="AR187" s="228">
        <v>0</v>
      </c>
      <c r="AS187" s="228">
        <v>168</v>
      </c>
      <c r="AT187" s="228">
        <v>482</v>
      </c>
      <c r="AU187" s="228">
        <v>-314</v>
      </c>
      <c r="AV187" s="229">
        <v>-0.65200000000000002</v>
      </c>
      <c r="AW187" s="228">
        <v>150</v>
      </c>
      <c r="AX187" s="228">
        <v>400</v>
      </c>
      <c r="AY187" s="228">
        <v>-250</v>
      </c>
      <c r="AZ187" s="229">
        <v>-0.624</v>
      </c>
      <c r="BA187" s="228">
        <v>16</v>
      </c>
      <c r="BB187" s="228">
        <v>79</v>
      </c>
      <c r="BC187" s="228">
        <v>-63</v>
      </c>
      <c r="BD187" s="229">
        <v>-0.79549999999999998</v>
      </c>
      <c r="BE187" s="228">
        <v>1</v>
      </c>
      <c r="BF187" s="228">
        <v>3</v>
      </c>
      <c r="BG187" s="228">
        <v>-2</v>
      </c>
      <c r="BH187" s="229">
        <v>-0.63160000000000005</v>
      </c>
      <c r="BI187" s="228">
        <v>801</v>
      </c>
      <c r="BJ187" s="230">
        <v>4746</v>
      </c>
      <c r="BK187" s="230">
        <v>-3945</v>
      </c>
      <c r="BL187" s="229">
        <v>-0.83130000000000004</v>
      </c>
      <c r="BM187" s="228">
        <v>477</v>
      </c>
      <c r="BN187" s="230">
        <v>1237</v>
      </c>
      <c r="BO187" s="228">
        <v>-760</v>
      </c>
      <c r="BP187" s="229">
        <v>-0.61439999999999995</v>
      </c>
      <c r="BQ187" s="230">
        <v>1445</v>
      </c>
      <c r="BR187" s="230">
        <v>6465</v>
      </c>
      <c r="BS187" s="230">
        <v>-5019</v>
      </c>
      <c r="BT187" s="229">
        <v>-0.77639999999999998</v>
      </c>
      <c r="BU187" s="230">
        <v>310827</v>
      </c>
      <c r="BV187" s="230">
        <v>940988</v>
      </c>
      <c r="BW187" s="230">
        <v>-630161</v>
      </c>
      <c r="BX187" s="229">
        <v>-0.66969999999999996</v>
      </c>
      <c r="BY187" s="228">
        <v>753</v>
      </c>
      <c r="BZ187" s="228">
        <v>744</v>
      </c>
      <c r="CA187" s="228">
        <v>9</v>
      </c>
      <c r="CB187" s="229">
        <v>1.1900000000000001E-2</v>
      </c>
      <c r="CC187" s="228">
        <v>674</v>
      </c>
      <c r="CD187" s="228">
        <v>664</v>
      </c>
      <c r="CE187" s="228">
        <v>11</v>
      </c>
      <c r="CF187" s="229">
        <v>1.5800000000000002E-2</v>
      </c>
      <c r="CG187" s="228">
        <v>75</v>
      </c>
      <c r="CH187" s="228">
        <v>76</v>
      </c>
      <c r="CI187" s="228">
        <v>-2</v>
      </c>
      <c r="CJ187" s="229">
        <v>-2.46E-2</v>
      </c>
      <c r="CK187" s="228">
        <v>4</v>
      </c>
      <c r="CL187" s="228">
        <v>4</v>
      </c>
      <c r="CM187" s="228">
        <v>0</v>
      </c>
      <c r="CN187" s="229">
        <v>4.8399999999999999E-2</v>
      </c>
      <c r="CO187" s="228">
        <v>445</v>
      </c>
      <c r="CP187" s="228">
        <v>479</v>
      </c>
      <c r="CQ187" s="228">
        <v>-35</v>
      </c>
      <c r="CR187" s="229">
        <v>-7.2400000000000006E-2</v>
      </c>
      <c r="CS187" s="228">
        <v>264</v>
      </c>
      <c r="CT187" s="228">
        <v>293</v>
      </c>
      <c r="CU187" s="228">
        <v>-29</v>
      </c>
      <c r="CV187" s="229">
        <v>-9.9599999999999994E-2</v>
      </c>
      <c r="CW187" s="230">
        <v>1461</v>
      </c>
      <c r="CX187" s="230">
        <v>1516</v>
      </c>
      <c r="CY187" s="228">
        <v>-55</v>
      </c>
      <c r="CZ187" s="229">
        <v>-3.6299999999999999E-2</v>
      </c>
      <c r="DA187" s="228">
        <v>26.17</v>
      </c>
      <c r="DB187" s="228">
        <v>26.81</v>
      </c>
      <c r="DC187" s="228">
        <v>-0.64</v>
      </c>
      <c r="DD187" s="228">
        <v>-0.64</v>
      </c>
      <c r="DE187" s="228">
        <v>39.950000000000003</v>
      </c>
      <c r="DF187" s="228">
        <v>40</v>
      </c>
      <c r="DG187" s="228">
        <v>-13.78</v>
      </c>
      <c r="DH187" s="228">
        <v>-0.05</v>
      </c>
      <c r="DI187" s="228">
        <v>26.78</v>
      </c>
      <c r="DJ187" s="228">
        <v>26.69</v>
      </c>
      <c r="DK187" s="228">
        <v>0.09</v>
      </c>
      <c r="DL187" s="228">
        <v>0.09</v>
      </c>
      <c r="DM187" s="228">
        <v>25.16</v>
      </c>
      <c r="DN187" s="228">
        <v>27.3</v>
      </c>
      <c r="DO187" s="228">
        <v>-2.14</v>
      </c>
      <c r="DP187" s="228">
        <v>-2.14</v>
      </c>
      <c r="DQ187" s="228">
        <v>0.59</v>
      </c>
      <c r="DR187" s="228">
        <v>0.61</v>
      </c>
      <c r="DS187" s="228">
        <v>-0.02</v>
      </c>
      <c r="DT187" s="229">
        <v>-3.2800000000000003E-2</v>
      </c>
      <c r="DU187" s="231">
        <v>3600</v>
      </c>
      <c r="DV187" s="231">
        <v>3200</v>
      </c>
      <c r="DW187" s="228">
        <v>0.6</v>
      </c>
      <c r="DX187" s="228">
        <v>0.26</v>
      </c>
      <c r="DY187" s="228">
        <v>0.34</v>
      </c>
      <c r="DZ187" s="229">
        <v>1.3077000000000001</v>
      </c>
      <c r="EA187" s="229">
        <v>0.1041</v>
      </c>
      <c r="EB187" s="230">
        <v>238350</v>
      </c>
      <c r="EC187" s="229">
        <v>3.3E-3</v>
      </c>
      <c r="ED187" s="229">
        <v>0.1041</v>
      </c>
      <c r="EE187" s="228">
        <v>18.23</v>
      </c>
      <c r="EF187" s="229">
        <v>5.4000000000000003E-3</v>
      </c>
      <c r="EG187" s="230">
        <v>173543</v>
      </c>
      <c r="EH187" s="230">
        <v>260326</v>
      </c>
      <c r="EI187" s="229">
        <v>-0.33339999999999997</v>
      </c>
      <c r="EJ187" s="229">
        <v>0.55830000000000002</v>
      </c>
      <c r="EK187" s="228">
        <v>840.42</v>
      </c>
      <c r="EL187" s="228">
        <v>472.47</v>
      </c>
      <c r="EM187" s="228">
        <v>168.2</v>
      </c>
      <c r="EN187" s="228">
        <v>35.200000000000003</v>
      </c>
      <c r="EO187" s="231">
        <v>1481.09</v>
      </c>
      <c r="EP187" s="231">
        <v>6682.29</v>
      </c>
      <c r="EQ187" s="231">
        <v>-5201.2</v>
      </c>
      <c r="ER187" s="229">
        <v>-0.77839999999999998</v>
      </c>
      <c r="ES187" s="228">
        <v>473.75</v>
      </c>
      <c r="ET187" s="228">
        <v>260.02999999999997</v>
      </c>
      <c r="EU187" s="228">
        <v>753.07</v>
      </c>
      <c r="EV187" s="231">
        <v>7242074</v>
      </c>
      <c r="EW187" s="231">
        <v>1486.86</v>
      </c>
      <c r="EX187" s="231">
        <v>1556.48</v>
      </c>
      <c r="EY187" s="228">
        <v>-69.62</v>
      </c>
      <c r="EZ187" s="229">
        <v>-4.4699999999999997E-2</v>
      </c>
      <c r="FA187" s="229">
        <v>0.60060000000000002</v>
      </c>
      <c r="FB187" s="227" t="s">
        <v>567</v>
      </c>
      <c r="FC187">
        <f t="shared" si="3"/>
        <v>0</v>
      </c>
    </row>
    <row r="188" spans="1:159" ht="17.25" thickBot="1" x14ac:dyDescent="0.3">
      <c r="A188" s="226">
        <v>46008</v>
      </c>
      <c r="B188" s="227" t="s">
        <v>161</v>
      </c>
      <c r="C188" s="227" t="s">
        <v>685</v>
      </c>
      <c r="D188" s="228">
        <v>8000</v>
      </c>
      <c r="E188" s="228">
        <v>13</v>
      </c>
      <c r="F188" s="228">
        <v>51.98</v>
      </c>
      <c r="G188" s="228">
        <v>52.81</v>
      </c>
      <c r="H188" s="228">
        <v>-0.83</v>
      </c>
      <c r="I188" s="229">
        <v>-1.5699999999999999E-2</v>
      </c>
      <c r="J188" s="228">
        <v>51.94</v>
      </c>
      <c r="K188" s="228">
        <v>52.67</v>
      </c>
      <c r="L188" s="228">
        <v>-0.73</v>
      </c>
      <c r="M188" s="229">
        <v>-1.3899999999999999E-2</v>
      </c>
      <c r="N188" s="228">
        <v>51.98</v>
      </c>
      <c r="O188" s="228">
        <v>52.81</v>
      </c>
      <c r="P188" s="228">
        <v>-0.83</v>
      </c>
      <c r="Q188" s="229">
        <v>-1.5699999999999999E-2</v>
      </c>
      <c r="R188" s="228">
        <v>52.3</v>
      </c>
      <c r="S188" s="228">
        <v>53.11</v>
      </c>
      <c r="T188" s="228">
        <v>-0.81</v>
      </c>
      <c r="U188" s="229">
        <v>-1.5299999999999999E-2</v>
      </c>
      <c r="V188" s="228">
        <v>52.63</v>
      </c>
      <c r="W188" s="228">
        <v>53.42</v>
      </c>
      <c r="X188" s="228">
        <v>-0.79</v>
      </c>
      <c r="Y188" s="229">
        <v>-1.4800000000000001E-2</v>
      </c>
      <c r="Z188" s="228">
        <v>0.04</v>
      </c>
      <c r="AA188" s="228">
        <v>0.14000000000000001</v>
      </c>
      <c r="AB188" s="228">
        <v>-0.1</v>
      </c>
      <c r="AC188" s="229">
        <v>8.0000000000000004E-4</v>
      </c>
      <c r="AD188" s="228">
        <v>0.04</v>
      </c>
      <c r="AE188" s="228">
        <v>0.14000000000000001</v>
      </c>
      <c r="AF188" s="228">
        <v>-0.1</v>
      </c>
      <c r="AG188" s="229">
        <v>8.0000000000000004E-4</v>
      </c>
      <c r="AH188" s="228">
        <v>0.36</v>
      </c>
      <c r="AI188" s="228">
        <v>0.44</v>
      </c>
      <c r="AJ188" s="228">
        <v>-0.08</v>
      </c>
      <c r="AK188" s="229">
        <v>6.8999999999999999E-3</v>
      </c>
      <c r="AL188" s="228">
        <v>0.69</v>
      </c>
      <c r="AM188" s="228">
        <v>0.75</v>
      </c>
      <c r="AN188" s="228">
        <v>-0.06</v>
      </c>
      <c r="AO188" s="229">
        <v>1.3299999999999999E-2</v>
      </c>
      <c r="AP188" s="228">
        <v>52.24</v>
      </c>
      <c r="AQ188" s="228">
        <v>52.57</v>
      </c>
      <c r="AR188" s="228">
        <v>0</v>
      </c>
      <c r="AS188" s="228">
        <v>142</v>
      </c>
      <c r="AT188" s="228">
        <v>145</v>
      </c>
      <c r="AU188" s="228">
        <v>-3</v>
      </c>
      <c r="AV188" s="229">
        <v>-1.9E-2</v>
      </c>
      <c r="AW188" s="228">
        <v>101</v>
      </c>
      <c r="AX188" s="228">
        <v>103</v>
      </c>
      <c r="AY188" s="228">
        <v>-3</v>
      </c>
      <c r="AZ188" s="229">
        <v>-2.7300000000000001E-2</v>
      </c>
      <c r="BA188" s="228">
        <v>33</v>
      </c>
      <c r="BB188" s="228">
        <v>37</v>
      </c>
      <c r="BC188" s="228">
        <v>-4</v>
      </c>
      <c r="BD188" s="229">
        <v>-0.11990000000000001</v>
      </c>
      <c r="BE188" s="228">
        <v>8</v>
      </c>
      <c r="BF188" s="228">
        <v>4</v>
      </c>
      <c r="BG188" s="228">
        <v>5</v>
      </c>
      <c r="BH188" s="229">
        <v>1.2222</v>
      </c>
      <c r="BI188" s="228">
        <v>619</v>
      </c>
      <c r="BJ188" s="228">
        <v>567</v>
      </c>
      <c r="BK188" s="228">
        <v>52</v>
      </c>
      <c r="BL188" s="229">
        <v>9.1499999999999998E-2</v>
      </c>
      <c r="BM188" s="228">
        <v>143</v>
      </c>
      <c r="BN188" s="228">
        <v>142</v>
      </c>
      <c r="BO188" s="228">
        <v>1</v>
      </c>
      <c r="BP188" s="229">
        <v>4.1000000000000003E-3</v>
      </c>
      <c r="BQ188" s="228">
        <v>904</v>
      </c>
      <c r="BR188" s="228">
        <v>854</v>
      </c>
      <c r="BS188" s="228">
        <v>50</v>
      </c>
      <c r="BT188" s="229">
        <v>5.8299999999999998E-2</v>
      </c>
      <c r="BU188" s="230">
        <v>32876945</v>
      </c>
      <c r="BV188" s="230">
        <v>37028276</v>
      </c>
      <c r="BW188" s="230">
        <v>-4151331</v>
      </c>
      <c r="BX188" s="229">
        <v>-0.11210000000000001</v>
      </c>
      <c r="BY188" s="230">
        <v>1503</v>
      </c>
      <c r="BZ188" s="230">
        <v>1483</v>
      </c>
      <c r="CA188" s="228">
        <v>20</v>
      </c>
      <c r="CB188" s="229">
        <v>1.3299999999999999E-2</v>
      </c>
      <c r="CC188" s="230">
        <v>1275</v>
      </c>
      <c r="CD188" s="230">
        <v>1280</v>
      </c>
      <c r="CE188" s="228">
        <v>-5</v>
      </c>
      <c r="CF188" s="229">
        <v>-3.7000000000000002E-3</v>
      </c>
      <c r="CG188" s="228">
        <v>206</v>
      </c>
      <c r="CH188" s="228">
        <v>184</v>
      </c>
      <c r="CI188" s="228">
        <v>22</v>
      </c>
      <c r="CJ188" s="229">
        <v>0.1202</v>
      </c>
      <c r="CK188" s="228">
        <v>21</v>
      </c>
      <c r="CL188" s="228">
        <v>19</v>
      </c>
      <c r="CM188" s="228">
        <v>2</v>
      </c>
      <c r="CN188" s="229">
        <v>0.12690000000000001</v>
      </c>
      <c r="CO188" s="230">
        <v>1114</v>
      </c>
      <c r="CP188" s="230">
        <v>1050</v>
      </c>
      <c r="CQ188" s="228">
        <v>64</v>
      </c>
      <c r="CR188" s="229">
        <v>6.0900000000000003E-2</v>
      </c>
      <c r="CS188" s="228">
        <v>452</v>
      </c>
      <c r="CT188" s="228">
        <v>471</v>
      </c>
      <c r="CU188" s="228">
        <v>-20</v>
      </c>
      <c r="CV188" s="229">
        <v>-4.1799999999999997E-2</v>
      </c>
      <c r="CW188" s="230">
        <v>3068</v>
      </c>
      <c r="CX188" s="230">
        <v>3004</v>
      </c>
      <c r="CY188" s="228">
        <v>64</v>
      </c>
      <c r="CZ188" s="229">
        <v>2.1299999999999999E-2</v>
      </c>
      <c r="DA188" s="228">
        <v>35.770000000000003</v>
      </c>
      <c r="DB188" s="228">
        <v>33.979999999999997</v>
      </c>
      <c r="DC188" s="228">
        <v>1.79</v>
      </c>
      <c r="DD188" s="228">
        <v>1.79</v>
      </c>
      <c r="DE188" s="228">
        <v>47.6</v>
      </c>
      <c r="DF188" s="228">
        <v>47.67</v>
      </c>
      <c r="DG188" s="228">
        <v>-11.83</v>
      </c>
      <c r="DH188" s="228">
        <v>-7.0000000000000007E-2</v>
      </c>
      <c r="DI188" s="228">
        <v>37.29</v>
      </c>
      <c r="DJ188" s="228">
        <v>34.86</v>
      </c>
      <c r="DK188" s="228">
        <v>2.4300000000000002</v>
      </c>
      <c r="DL188" s="228">
        <v>2.4300000000000002</v>
      </c>
      <c r="DM188" s="228">
        <v>29.21</v>
      </c>
      <c r="DN188" s="228">
        <v>30.49</v>
      </c>
      <c r="DO188" s="228">
        <v>-1.28</v>
      </c>
      <c r="DP188" s="228">
        <v>-1.28</v>
      </c>
      <c r="DQ188" s="228">
        <v>0.41</v>
      </c>
      <c r="DR188" s="228">
        <v>0.45</v>
      </c>
      <c r="DS188" s="228">
        <v>-0.04</v>
      </c>
      <c r="DT188" s="229">
        <v>-8.8900000000000007E-2</v>
      </c>
      <c r="DU188" s="228">
        <v>60</v>
      </c>
      <c r="DV188" s="228">
        <v>55</v>
      </c>
      <c r="DW188" s="228">
        <v>0.23</v>
      </c>
      <c r="DX188" s="228">
        <v>0.25</v>
      </c>
      <c r="DY188" s="228">
        <v>-0.02</v>
      </c>
      <c r="DZ188" s="229">
        <v>-0.08</v>
      </c>
      <c r="EA188" s="229">
        <v>0.1512</v>
      </c>
      <c r="EB188" s="230">
        <v>38988000</v>
      </c>
      <c r="EC188" s="229">
        <v>6.1999999999999998E-3</v>
      </c>
      <c r="ED188" s="229">
        <v>0.1512</v>
      </c>
      <c r="EE188" s="228">
        <v>0.33</v>
      </c>
      <c r="EF188" s="229">
        <v>6.3E-3</v>
      </c>
      <c r="EG188" s="230">
        <v>15026049</v>
      </c>
      <c r="EH188" s="230">
        <v>17459500</v>
      </c>
      <c r="EI188" s="229">
        <v>-0.1394</v>
      </c>
      <c r="EJ188" s="229">
        <v>0.45700000000000002</v>
      </c>
      <c r="EK188" s="228">
        <v>688.93</v>
      </c>
      <c r="EL188" s="228">
        <v>143.66999999999999</v>
      </c>
      <c r="EM188" s="228">
        <v>148.26</v>
      </c>
      <c r="EN188" s="228">
        <v>42.86</v>
      </c>
      <c r="EO188" s="228">
        <v>980.85</v>
      </c>
      <c r="EP188" s="228">
        <v>929.76</v>
      </c>
      <c r="EQ188" s="228">
        <v>51.09</v>
      </c>
      <c r="ER188" s="229">
        <v>5.5E-2</v>
      </c>
      <c r="ES188" s="231">
        <v>1240.52</v>
      </c>
      <c r="ET188" s="228">
        <v>463.33</v>
      </c>
      <c r="EU188" s="231">
        <v>1504.06</v>
      </c>
      <c r="EV188" s="231">
        <v>1813533848</v>
      </c>
      <c r="EW188" s="231">
        <v>3207.9</v>
      </c>
      <c r="EX188" s="231">
        <v>3164.77</v>
      </c>
      <c r="EY188" s="228">
        <v>43.13</v>
      </c>
      <c r="EZ188" s="229">
        <v>1.3599999999999999E-2</v>
      </c>
      <c r="FA188" s="229">
        <v>0.32550000000000001</v>
      </c>
      <c r="FB188" s="227" t="s">
        <v>567</v>
      </c>
      <c r="FC188">
        <f t="shared" si="3"/>
        <v>0</v>
      </c>
    </row>
    <row r="189" spans="1:159" ht="17.25" thickBot="1" x14ac:dyDescent="0.3">
      <c r="A189" s="226">
        <v>46008</v>
      </c>
      <c r="B189" s="227" t="s">
        <v>170</v>
      </c>
      <c r="C189" s="227" t="s">
        <v>520</v>
      </c>
      <c r="D189" s="228">
        <v>1000</v>
      </c>
      <c r="E189" s="228">
        <v>13</v>
      </c>
      <c r="F189" s="228">
        <v>647.25</v>
      </c>
      <c r="G189" s="228">
        <v>648.6</v>
      </c>
      <c r="H189" s="228">
        <v>-1.35</v>
      </c>
      <c r="I189" s="229">
        <v>-2.0999999999999999E-3</v>
      </c>
      <c r="J189" s="228">
        <v>646.5</v>
      </c>
      <c r="K189" s="228">
        <v>646.35</v>
      </c>
      <c r="L189" s="228">
        <v>0.15</v>
      </c>
      <c r="M189" s="229">
        <v>2.0000000000000001E-4</v>
      </c>
      <c r="N189" s="228">
        <v>647.25</v>
      </c>
      <c r="O189" s="228">
        <v>648.6</v>
      </c>
      <c r="P189" s="228">
        <v>-1.35</v>
      </c>
      <c r="Q189" s="229">
        <v>-2.0999999999999999E-3</v>
      </c>
      <c r="R189" s="228">
        <v>650.9</v>
      </c>
      <c r="S189" s="228">
        <v>652</v>
      </c>
      <c r="T189" s="228">
        <v>-1.1000000000000001</v>
      </c>
      <c r="U189" s="229">
        <v>-1.6999999999999999E-3</v>
      </c>
      <c r="V189" s="228">
        <v>659.2</v>
      </c>
      <c r="W189" s="228">
        <v>659.2</v>
      </c>
      <c r="X189" s="228">
        <v>0</v>
      </c>
      <c r="Y189" s="229">
        <v>0</v>
      </c>
      <c r="Z189" s="228">
        <v>0.75</v>
      </c>
      <c r="AA189" s="228">
        <v>2.25</v>
      </c>
      <c r="AB189" s="228">
        <v>-1.5</v>
      </c>
      <c r="AC189" s="229">
        <v>1.1999999999999999E-3</v>
      </c>
      <c r="AD189" s="228">
        <v>0.75</v>
      </c>
      <c r="AE189" s="228">
        <v>2.25</v>
      </c>
      <c r="AF189" s="228">
        <v>-1.5</v>
      </c>
      <c r="AG189" s="229">
        <v>1.1999999999999999E-3</v>
      </c>
      <c r="AH189" s="228">
        <v>4.4000000000000004</v>
      </c>
      <c r="AI189" s="228">
        <v>5.65</v>
      </c>
      <c r="AJ189" s="228">
        <v>-1.25</v>
      </c>
      <c r="AK189" s="229">
        <v>6.7999999999999996E-3</v>
      </c>
      <c r="AL189" s="228">
        <v>12.7</v>
      </c>
      <c r="AM189" s="228">
        <v>12.85</v>
      </c>
      <c r="AN189" s="228">
        <v>-0.15</v>
      </c>
      <c r="AO189" s="229">
        <v>1.9599999999999999E-2</v>
      </c>
      <c r="AP189" s="228">
        <v>648.14</v>
      </c>
      <c r="AQ189" s="228">
        <v>651.49</v>
      </c>
      <c r="AR189" s="228">
        <v>0</v>
      </c>
      <c r="AS189" s="228">
        <v>52</v>
      </c>
      <c r="AT189" s="228">
        <v>64</v>
      </c>
      <c r="AU189" s="228">
        <v>-12</v>
      </c>
      <c r="AV189" s="229">
        <v>-0.1915</v>
      </c>
      <c r="AW189" s="228">
        <v>46</v>
      </c>
      <c r="AX189" s="228">
        <v>59</v>
      </c>
      <c r="AY189" s="228">
        <v>-13</v>
      </c>
      <c r="AZ189" s="229">
        <v>-0.2152</v>
      </c>
      <c r="BA189" s="228">
        <v>6</v>
      </c>
      <c r="BB189" s="228">
        <v>5</v>
      </c>
      <c r="BC189" s="228">
        <v>1</v>
      </c>
      <c r="BD189" s="229">
        <v>0.1013</v>
      </c>
      <c r="BE189" s="228">
        <v>0</v>
      </c>
      <c r="BF189" s="228">
        <v>0</v>
      </c>
      <c r="BG189" s="228">
        <v>0</v>
      </c>
      <c r="BH189" s="229">
        <v>-1</v>
      </c>
      <c r="BI189" s="228">
        <v>132</v>
      </c>
      <c r="BJ189" s="228">
        <v>140</v>
      </c>
      <c r="BK189" s="228">
        <v>-8</v>
      </c>
      <c r="BL189" s="229">
        <v>-5.7299999999999997E-2</v>
      </c>
      <c r="BM189" s="228">
        <v>42</v>
      </c>
      <c r="BN189" s="228">
        <v>80</v>
      </c>
      <c r="BO189" s="228">
        <v>-38</v>
      </c>
      <c r="BP189" s="229">
        <v>-0.47620000000000001</v>
      </c>
      <c r="BQ189" s="228">
        <v>226</v>
      </c>
      <c r="BR189" s="228">
        <v>284</v>
      </c>
      <c r="BS189" s="228">
        <v>-58</v>
      </c>
      <c r="BT189" s="229">
        <v>-0.2056</v>
      </c>
      <c r="BU189" s="230">
        <v>893314</v>
      </c>
      <c r="BV189" s="230">
        <v>498691</v>
      </c>
      <c r="BW189" s="230">
        <v>394623</v>
      </c>
      <c r="BX189" s="229">
        <v>0.7913</v>
      </c>
      <c r="BY189" s="228">
        <v>550</v>
      </c>
      <c r="BZ189" s="228">
        <v>553</v>
      </c>
      <c r="CA189" s="228">
        <v>-3</v>
      </c>
      <c r="CB189" s="229">
        <v>-6.1999999999999998E-3</v>
      </c>
      <c r="CC189" s="228">
        <v>532</v>
      </c>
      <c r="CD189" s="228">
        <v>537</v>
      </c>
      <c r="CE189" s="228">
        <v>-5</v>
      </c>
      <c r="CF189" s="229">
        <v>-8.8000000000000005E-3</v>
      </c>
      <c r="CG189" s="228">
        <v>17</v>
      </c>
      <c r="CH189" s="228">
        <v>16</v>
      </c>
      <c r="CI189" s="228">
        <v>1</v>
      </c>
      <c r="CJ189" s="229">
        <v>8.3000000000000004E-2</v>
      </c>
      <c r="CK189" s="228">
        <v>1</v>
      </c>
      <c r="CL189" s="228">
        <v>1</v>
      </c>
      <c r="CM189" s="228">
        <v>0</v>
      </c>
      <c r="CN189" s="229">
        <v>0</v>
      </c>
      <c r="CO189" s="228">
        <v>209</v>
      </c>
      <c r="CP189" s="228">
        <v>192</v>
      </c>
      <c r="CQ189" s="228">
        <v>17</v>
      </c>
      <c r="CR189" s="229">
        <v>8.9700000000000002E-2</v>
      </c>
      <c r="CS189" s="228">
        <v>104</v>
      </c>
      <c r="CT189" s="228">
        <v>103</v>
      </c>
      <c r="CU189" s="228">
        <v>1</v>
      </c>
      <c r="CV189" s="229">
        <v>1.0699999999999999E-2</v>
      </c>
      <c r="CW189" s="228">
        <v>862</v>
      </c>
      <c r="CX189" s="228">
        <v>848</v>
      </c>
      <c r="CY189" s="228">
        <v>15</v>
      </c>
      <c r="CZ189" s="229">
        <v>1.7600000000000001E-2</v>
      </c>
      <c r="DA189" s="228">
        <v>21.78</v>
      </c>
      <c r="DB189" s="228">
        <v>22.1</v>
      </c>
      <c r="DC189" s="228">
        <v>-0.32</v>
      </c>
      <c r="DD189" s="228">
        <v>-0.32</v>
      </c>
      <c r="DE189" s="228">
        <v>32.43</v>
      </c>
      <c r="DF189" s="228">
        <v>32.51</v>
      </c>
      <c r="DG189" s="228">
        <v>-10.65</v>
      </c>
      <c r="DH189" s="228">
        <v>-0.08</v>
      </c>
      <c r="DI189" s="228">
        <v>21.94</v>
      </c>
      <c r="DJ189" s="228">
        <v>22.45</v>
      </c>
      <c r="DK189" s="228">
        <v>-0.51</v>
      </c>
      <c r="DL189" s="228">
        <v>-0.51</v>
      </c>
      <c r="DM189" s="228">
        <v>21.26</v>
      </c>
      <c r="DN189" s="228">
        <v>21.48</v>
      </c>
      <c r="DO189" s="228">
        <v>-0.22</v>
      </c>
      <c r="DP189" s="228">
        <v>-0.22</v>
      </c>
      <c r="DQ189" s="228">
        <v>0.5</v>
      </c>
      <c r="DR189" s="228">
        <v>0.53</v>
      </c>
      <c r="DS189" s="228">
        <v>-0.03</v>
      </c>
      <c r="DT189" s="229">
        <v>-5.6599999999999998E-2</v>
      </c>
      <c r="DU189" s="228">
        <v>700</v>
      </c>
      <c r="DV189" s="228">
        <v>630</v>
      </c>
      <c r="DW189" s="228">
        <v>0.32</v>
      </c>
      <c r="DX189" s="228">
        <v>0.56999999999999995</v>
      </c>
      <c r="DY189" s="228">
        <v>-0.25</v>
      </c>
      <c r="DZ189" s="229">
        <v>-0.43859999999999999</v>
      </c>
      <c r="EA189" s="229">
        <v>3.2000000000000001E-2</v>
      </c>
      <c r="EB189" s="230">
        <v>252000</v>
      </c>
      <c r="EC189" s="229">
        <v>5.5999999999999999E-3</v>
      </c>
      <c r="ED189" s="229">
        <v>3.2000000000000001E-2</v>
      </c>
      <c r="EE189" s="228">
        <v>3.35</v>
      </c>
      <c r="EF189" s="229">
        <v>5.1999999999999998E-3</v>
      </c>
      <c r="EG189" s="230">
        <v>718009</v>
      </c>
      <c r="EH189" s="230">
        <v>323932</v>
      </c>
      <c r="EI189" s="229">
        <v>1.2164999999999999</v>
      </c>
      <c r="EJ189" s="229">
        <v>0.80379999999999996</v>
      </c>
      <c r="EK189" s="228">
        <v>138.21</v>
      </c>
      <c r="EL189" s="228">
        <v>41.41</v>
      </c>
      <c r="EM189" s="228">
        <v>51.75</v>
      </c>
      <c r="EN189" s="228">
        <v>12.04</v>
      </c>
      <c r="EO189" s="228">
        <v>231.37</v>
      </c>
      <c r="EP189" s="228">
        <v>290.8</v>
      </c>
      <c r="EQ189" s="228">
        <v>-59.44</v>
      </c>
      <c r="ER189" s="229">
        <v>-0.2044</v>
      </c>
      <c r="ES189" s="228">
        <v>219.93</v>
      </c>
      <c r="ET189" s="228">
        <v>100.47</v>
      </c>
      <c r="EU189" s="228">
        <v>549.82000000000005</v>
      </c>
      <c r="EV189" s="231">
        <v>28408333</v>
      </c>
      <c r="EW189" s="228">
        <v>870.21</v>
      </c>
      <c r="EX189" s="228">
        <v>855.4</v>
      </c>
      <c r="EY189" s="228">
        <v>14.81</v>
      </c>
      <c r="EZ189" s="229">
        <v>1.7299999999999999E-2</v>
      </c>
      <c r="FA189" s="229">
        <v>0.46910000000000002</v>
      </c>
      <c r="FB189" s="227" t="s">
        <v>568</v>
      </c>
      <c r="FC189">
        <f t="shared" si="3"/>
        <v>0</v>
      </c>
    </row>
    <row r="190" spans="1:159" ht="17.25" thickBot="1" x14ac:dyDescent="0.3">
      <c r="A190" s="226">
        <v>46008</v>
      </c>
      <c r="B190" s="227" t="s">
        <v>168</v>
      </c>
      <c r="C190" s="227" t="s">
        <v>291</v>
      </c>
      <c r="D190" s="228">
        <v>550</v>
      </c>
      <c r="E190" s="228">
        <v>13</v>
      </c>
      <c r="F190" s="231">
        <v>1180.5</v>
      </c>
      <c r="G190" s="231">
        <v>1174.5999999999999</v>
      </c>
      <c r="H190" s="228">
        <v>5.9</v>
      </c>
      <c r="I190" s="229">
        <v>5.0000000000000001E-3</v>
      </c>
      <c r="J190" s="231">
        <v>1179.8</v>
      </c>
      <c r="K190" s="231">
        <v>1169.9000000000001</v>
      </c>
      <c r="L190" s="228">
        <v>9.9</v>
      </c>
      <c r="M190" s="229">
        <v>8.5000000000000006E-3</v>
      </c>
      <c r="N190" s="231">
        <v>1180.5</v>
      </c>
      <c r="O190" s="231">
        <v>1174.5999999999999</v>
      </c>
      <c r="P190" s="228">
        <v>5.9</v>
      </c>
      <c r="Q190" s="229">
        <v>5.0000000000000001E-3</v>
      </c>
      <c r="R190" s="231">
        <v>1188.4000000000001</v>
      </c>
      <c r="S190" s="231">
        <v>1181.3</v>
      </c>
      <c r="T190" s="228">
        <v>7.1</v>
      </c>
      <c r="U190" s="229">
        <v>6.0000000000000001E-3</v>
      </c>
      <c r="V190" s="231">
        <v>1194.5999999999999</v>
      </c>
      <c r="W190" s="231">
        <v>1186</v>
      </c>
      <c r="X190" s="228">
        <v>8.6</v>
      </c>
      <c r="Y190" s="229">
        <v>7.3000000000000001E-3</v>
      </c>
      <c r="Z190" s="228">
        <v>0.7</v>
      </c>
      <c r="AA190" s="228">
        <v>4.7</v>
      </c>
      <c r="AB190" s="228">
        <v>-4</v>
      </c>
      <c r="AC190" s="229">
        <v>5.9999999999999995E-4</v>
      </c>
      <c r="AD190" s="228">
        <v>0.7</v>
      </c>
      <c r="AE190" s="228">
        <v>4.7</v>
      </c>
      <c r="AF190" s="228">
        <v>-4</v>
      </c>
      <c r="AG190" s="229">
        <v>5.9999999999999995E-4</v>
      </c>
      <c r="AH190" s="228">
        <v>8.6</v>
      </c>
      <c r="AI190" s="228">
        <v>11.4</v>
      </c>
      <c r="AJ190" s="228">
        <v>-2.8</v>
      </c>
      <c r="AK190" s="229">
        <v>7.3000000000000001E-3</v>
      </c>
      <c r="AL190" s="228">
        <v>14.8</v>
      </c>
      <c r="AM190" s="228">
        <v>16.100000000000001</v>
      </c>
      <c r="AN190" s="228">
        <v>-1.3</v>
      </c>
      <c r="AO190" s="229">
        <v>1.2500000000000001E-2</v>
      </c>
      <c r="AP190" s="231">
        <v>1181.32</v>
      </c>
      <c r="AQ190" s="231">
        <v>1188.96</v>
      </c>
      <c r="AR190" s="228">
        <v>0</v>
      </c>
      <c r="AS190" s="228">
        <v>213</v>
      </c>
      <c r="AT190" s="228">
        <v>349</v>
      </c>
      <c r="AU190" s="228">
        <v>-135</v>
      </c>
      <c r="AV190" s="229">
        <v>-0.3881</v>
      </c>
      <c r="AW190" s="228">
        <v>181</v>
      </c>
      <c r="AX190" s="228">
        <v>309</v>
      </c>
      <c r="AY190" s="228">
        <v>-128</v>
      </c>
      <c r="AZ190" s="229">
        <v>-0.41439999999999999</v>
      </c>
      <c r="BA190" s="228">
        <v>32</v>
      </c>
      <c r="BB190" s="228">
        <v>39</v>
      </c>
      <c r="BC190" s="228">
        <v>-8</v>
      </c>
      <c r="BD190" s="229">
        <v>-0.19409999999999999</v>
      </c>
      <c r="BE190" s="228">
        <v>1</v>
      </c>
      <c r="BF190" s="228">
        <v>1</v>
      </c>
      <c r="BG190" s="228">
        <v>0</v>
      </c>
      <c r="BH190" s="229">
        <v>0.3</v>
      </c>
      <c r="BI190" s="228">
        <v>777</v>
      </c>
      <c r="BJ190" s="230">
        <v>1092</v>
      </c>
      <c r="BK190" s="228">
        <v>-316</v>
      </c>
      <c r="BL190" s="229">
        <v>-0.28899999999999998</v>
      </c>
      <c r="BM190" s="228">
        <v>321</v>
      </c>
      <c r="BN190" s="228">
        <v>316</v>
      </c>
      <c r="BO190" s="228">
        <v>5</v>
      </c>
      <c r="BP190" s="229">
        <v>1.5599999999999999E-2</v>
      </c>
      <c r="BQ190" s="230">
        <v>1311</v>
      </c>
      <c r="BR190" s="230">
        <v>1757</v>
      </c>
      <c r="BS190" s="228">
        <v>-446</v>
      </c>
      <c r="BT190" s="229">
        <v>-0.25390000000000001</v>
      </c>
      <c r="BU190" s="230">
        <v>1525990</v>
      </c>
      <c r="BV190" s="230">
        <v>1212282</v>
      </c>
      <c r="BW190" s="230">
        <v>313708</v>
      </c>
      <c r="BX190" s="229">
        <v>0.25879999999999997</v>
      </c>
      <c r="BY190" s="230">
        <v>1457</v>
      </c>
      <c r="BZ190" s="230">
        <v>1452</v>
      </c>
      <c r="CA190" s="228">
        <v>5</v>
      </c>
      <c r="CB190" s="229">
        <v>3.5000000000000001E-3</v>
      </c>
      <c r="CC190" s="230">
        <v>1332</v>
      </c>
      <c r="CD190" s="230">
        <v>1343</v>
      </c>
      <c r="CE190" s="228">
        <v>-11</v>
      </c>
      <c r="CF190" s="229">
        <v>-8.5000000000000006E-3</v>
      </c>
      <c r="CG190" s="228">
        <v>119</v>
      </c>
      <c r="CH190" s="228">
        <v>103</v>
      </c>
      <c r="CI190" s="228">
        <v>16</v>
      </c>
      <c r="CJ190" s="229">
        <v>0.15959999999999999</v>
      </c>
      <c r="CK190" s="228">
        <v>6</v>
      </c>
      <c r="CL190" s="228">
        <v>6</v>
      </c>
      <c r="CM190" s="228">
        <v>0</v>
      </c>
      <c r="CN190" s="229">
        <v>2.2499999999999999E-2</v>
      </c>
      <c r="CO190" s="228">
        <v>678</v>
      </c>
      <c r="CP190" s="228">
        <v>674</v>
      </c>
      <c r="CQ190" s="228">
        <v>4</v>
      </c>
      <c r="CR190" s="229">
        <v>5.5999999999999999E-3</v>
      </c>
      <c r="CS190" s="228">
        <v>362</v>
      </c>
      <c r="CT190" s="228">
        <v>348</v>
      </c>
      <c r="CU190" s="228">
        <v>14</v>
      </c>
      <c r="CV190" s="229">
        <v>4.1099999999999998E-2</v>
      </c>
      <c r="CW190" s="230">
        <v>2497</v>
      </c>
      <c r="CX190" s="230">
        <v>2473</v>
      </c>
      <c r="CY190" s="228">
        <v>23</v>
      </c>
      <c r="CZ190" s="229">
        <v>9.4000000000000004E-3</v>
      </c>
      <c r="DA190" s="228">
        <v>20.260000000000002</v>
      </c>
      <c r="DB190" s="228">
        <v>20.5</v>
      </c>
      <c r="DC190" s="228">
        <v>-0.24</v>
      </c>
      <c r="DD190" s="228">
        <v>-0.24</v>
      </c>
      <c r="DE190" s="228">
        <v>25.97</v>
      </c>
      <c r="DF190" s="228">
        <v>26.01</v>
      </c>
      <c r="DG190" s="228">
        <v>-5.71</v>
      </c>
      <c r="DH190" s="228">
        <v>-0.04</v>
      </c>
      <c r="DI190" s="228">
        <v>20.440000000000001</v>
      </c>
      <c r="DJ190" s="228">
        <v>20.57</v>
      </c>
      <c r="DK190" s="228">
        <v>-0.13</v>
      </c>
      <c r="DL190" s="228">
        <v>-0.13</v>
      </c>
      <c r="DM190" s="228">
        <v>19.829999999999998</v>
      </c>
      <c r="DN190" s="228">
        <v>20.239999999999998</v>
      </c>
      <c r="DO190" s="228">
        <v>-0.41</v>
      </c>
      <c r="DP190" s="228">
        <v>-0.41</v>
      </c>
      <c r="DQ190" s="228">
        <v>0.53</v>
      </c>
      <c r="DR190" s="228">
        <v>0.52</v>
      </c>
      <c r="DS190" s="228">
        <v>0.01</v>
      </c>
      <c r="DT190" s="229">
        <v>1.9199999999999998E-2</v>
      </c>
      <c r="DU190" s="231">
        <v>1200</v>
      </c>
      <c r="DV190" s="231">
        <v>1070</v>
      </c>
      <c r="DW190" s="228">
        <v>0.41</v>
      </c>
      <c r="DX190" s="228">
        <v>0.28999999999999998</v>
      </c>
      <c r="DY190" s="228">
        <v>0.12</v>
      </c>
      <c r="DZ190" s="229">
        <v>0.4138</v>
      </c>
      <c r="EA190" s="229">
        <v>8.5999999999999993E-2</v>
      </c>
      <c r="EB190" s="230">
        <v>920700</v>
      </c>
      <c r="EC190" s="229">
        <v>6.7000000000000002E-3</v>
      </c>
      <c r="ED190" s="229">
        <v>8.5999999999999993E-2</v>
      </c>
      <c r="EE190" s="228">
        <v>7.64</v>
      </c>
      <c r="EF190" s="229">
        <v>6.4999999999999997E-3</v>
      </c>
      <c r="EG190" s="230">
        <v>951001</v>
      </c>
      <c r="EH190" s="230">
        <v>595421</v>
      </c>
      <c r="EI190" s="229">
        <v>0.59719999999999995</v>
      </c>
      <c r="EJ190" s="229">
        <v>0.62319999999999998</v>
      </c>
      <c r="EK190" s="228">
        <v>797.42</v>
      </c>
      <c r="EL190" s="228">
        <v>316.2</v>
      </c>
      <c r="EM190" s="228">
        <v>213.78</v>
      </c>
      <c r="EN190" s="228">
        <v>29.91</v>
      </c>
      <c r="EO190" s="231">
        <v>1327.4</v>
      </c>
      <c r="EP190" s="231">
        <v>1771.43</v>
      </c>
      <c r="EQ190" s="228">
        <v>-444.04</v>
      </c>
      <c r="ER190" s="229">
        <v>-0.25069999999999998</v>
      </c>
      <c r="ES190" s="228">
        <v>702.25</v>
      </c>
      <c r="ET190" s="228">
        <v>346</v>
      </c>
      <c r="EU190" s="231">
        <v>1457.71</v>
      </c>
      <c r="EV190" s="231">
        <v>65471528</v>
      </c>
      <c r="EW190" s="231">
        <v>2505.9699999999998</v>
      </c>
      <c r="EX190" s="231">
        <v>2473.79</v>
      </c>
      <c r="EY190" s="228">
        <v>32.18</v>
      </c>
      <c r="EZ190" s="229">
        <v>1.2999999999999999E-2</v>
      </c>
      <c r="FA190" s="229">
        <v>0.32300000000000001</v>
      </c>
      <c r="FB190" s="227" t="s">
        <v>555</v>
      </c>
      <c r="FC190">
        <f t="shared" si="3"/>
        <v>0</v>
      </c>
    </row>
    <row r="191" spans="1:159" ht="17.25" thickBot="1" x14ac:dyDescent="0.3">
      <c r="A191" s="226">
        <v>46008</v>
      </c>
      <c r="B191" s="227" t="s">
        <v>221</v>
      </c>
      <c r="C191" s="227" t="s">
        <v>604</v>
      </c>
      <c r="D191" s="228">
        <v>100</v>
      </c>
      <c r="E191" s="228">
        <v>13</v>
      </c>
      <c r="F191" s="231">
        <v>4985.5</v>
      </c>
      <c r="G191" s="231">
        <v>5013.5</v>
      </c>
      <c r="H191" s="228">
        <v>-28</v>
      </c>
      <c r="I191" s="229">
        <v>-5.5999999999999999E-3</v>
      </c>
      <c r="J191" s="231">
        <v>4968.5</v>
      </c>
      <c r="K191" s="231">
        <v>4998</v>
      </c>
      <c r="L191" s="228">
        <v>-29.5</v>
      </c>
      <c r="M191" s="229">
        <v>-5.8999999999999999E-3</v>
      </c>
      <c r="N191" s="231">
        <v>4985.5</v>
      </c>
      <c r="O191" s="231">
        <v>5013.5</v>
      </c>
      <c r="P191" s="228">
        <v>-28</v>
      </c>
      <c r="Q191" s="229">
        <v>-5.5999999999999999E-3</v>
      </c>
      <c r="R191" s="231">
        <v>5008</v>
      </c>
      <c r="S191" s="231">
        <v>5038</v>
      </c>
      <c r="T191" s="228">
        <v>-30</v>
      </c>
      <c r="U191" s="229">
        <v>-6.0000000000000001E-3</v>
      </c>
      <c r="V191" s="231">
        <v>5026</v>
      </c>
      <c r="W191" s="231">
        <v>5060</v>
      </c>
      <c r="X191" s="228">
        <v>-34</v>
      </c>
      <c r="Y191" s="229">
        <v>-6.7000000000000002E-3</v>
      </c>
      <c r="Z191" s="228">
        <v>17</v>
      </c>
      <c r="AA191" s="228">
        <v>15.5</v>
      </c>
      <c r="AB191" s="228">
        <v>1.5</v>
      </c>
      <c r="AC191" s="229">
        <v>3.3999999999999998E-3</v>
      </c>
      <c r="AD191" s="228">
        <v>17</v>
      </c>
      <c r="AE191" s="228">
        <v>15.5</v>
      </c>
      <c r="AF191" s="228">
        <v>1.5</v>
      </c>
      <c r="AG191" s="229">
        <v>3.3999999999999998E-3</v>
      </c>
      <c r="AH191" s="228">
        <v>39.5</v>
      </c>
      <c r="AI191" s="228">
        <v>40</v>
      </c>
      <c r="AJ191" s="228">
        <v>-0.5</v>
      </c>
      <c r="AK191" s="229">
        <v>8.0000000000000002E-3</v>
      </c>
      <c r="AL191" s="228">
        <v>57.5</v>
      </c>
      <c r="AM191" s="228">
        <v>62</v>
      </c>
      <c r="AN191" s="228">
        <v>-4.5</v>
      </c>
      <c r="AO191" s="229">
        <v>1.1599999999999999E-2</v>
      </c>
      <c r="AP191" s="231">
        <v>5010.38</v>
      </c>
      <c r="AQ191" s="231">
        <v>5028.3500000000004</v>
      </c>
      <c r="AR191" s="228">
        <v>0</v>
      </c>
      <c r="AS191" s="228">
        <v>77</v>
      </c>
      <c r="AT191" s="228">
        <v>96</v>
      </c>
      <c r="AU191" s="228">
        <v>-19</v>
      </c>
      <c r="AV191" s="229">
        <v>-0.19839999999999999</v>
      </c>
      <c r="AW191" s="228">
        <v>65</v>
      </c>
      <c r="AX191" s="228">
        <v>84</v>
      </c>
      <c r="AY191" s="228">
        <v>-20</v>
      </c>
      <c r="AZ191" s="229">
        <v>-0.2346</v>
      </c>
      <c r="BA191" s="228">
        <v>12</v>
      </c>
      <c r="BB191" s="228">
        <v>11</v>
      </c>
      <c r="BC191" s="228">
        <v>1</v>
      </c>
      <c r="BD191" s="229">
        <v>0.108</v>
      </c>
      <c r="BE191" s="228">
        <v>1</v>
      </c>
      <c r="BF191" s="228">
        <v>1</v>
      </c>
      <c r="BG191" s="228">
        <v>0</v>
      </c>
      <c r="BH191" s="229">
        <v>-0.36</v>
      </c>
      <c r="BI191" s="228">
        <v>336</v>
      </c>
      <c r="BJ191" s="228">
        <v>282</v>
      </c>
      <c r="BK191" s="228">
        <v>54</v>
      </c>
      <c r="BL191" s="229">
        <v>0.19139999999999999</v>
      </c>
      <c r="BM191" s="228">
        <v>138</v>
      </c>
      <c r="BN191" s="228">
        <v>144</v>
      </c>
      <c r="BO191" s="228">
        <v>-6</v>
      </c>
      <c r="BP191" s="229">
        <v>-4.3499999999999997E-2</v>
      </c>
      <c r="BQ191" s="228">
        <v>551</v>
      </c>
      <c r="BR191" s="228">
        <v>522</v>
      </c>
      <c r="BS191" s="228">
        <v>29</v>
      </c>
      <c r="BT191" s="229">
        <v>5.4699999999999999E-2</v>
      </c>
      <c r="BU191" s="230">
        <v>76174</v>
      </c>
      <c r="BV191" s="230">
        <v>69095</v>
      </c>
      <c r="BW191" s="230">
        <v>7079</v>
      </c>
      <c r="BX191" s="229">
        <v>0.10249999999999999</v>
      </c>
      <c r="BY191" s="228">
        <v>967</v>
      </c>
      <c r="BZ191" s="228">
        <v>965</v>
      </c>
      <c r="CA191" s="228">
        <v>1</v>
      </c>
      <c r="CB191" s="229">
        <v>1.5E-3</v>
      </c>
      <c r="CC191" s="228">
        <v>882</v>
      </c>
      <c r="CD191" s="228">
        <v>882</v>
      </c>
      <c r="CE191" s="228">
        <v>0</v>
      </c>
      <c r="CF191" s="229">
        <v>1E-4</v>
      </c>
      <c r="CG191" s="228">
        <v>70</v>
      </c>
      <c r="CH191" s="228">
        <v>69</v>
      </c>
      <c r="CI191" s="228">
        <v>1</v>
      </c>
      <c r="CJ191" s="229">
        <v>1.7999999999999999E-2</v>
      </c>
      <c r="CK191" s="228">
        <v>14</v>
      </c>
      <c r="CL191" s="228">
        <v>14</v>
      </c>
      <c r="CM191" s="228">
        <v>0</v>
      </c>
      <c r="CN191" s="229">
        <v>1.06E-2</v>
      </c>
      <c r="CO191" s="228">
        <v>777</v>
      </c>
      <c r="CP191" s="228">
        <v>759</v>
      </c>
      <c r="CQ191" s="228">
        <v>18</v>
      </c>
      <c r="CR191" s="229">
        <v>2.3199999999999998E-2</v>
      </c>
      <c r="CS191" s="228">
        <v>291</v>
      </c>
      <c r="CT191" s="228">
        <v>288</v>
      </c>
      <c r="CU191" s="228">
        <v>3</v>
      </c>
      <c r="CV191" s="229">
        <v>1.04E-2</v>
      </c>
      <c r="CW191" s="230">
        <v>2035</v>
      </c>
      <c r="CX191" s="230">
        <v>2013</v>
      </c>
      <c r="CY191" s="228">
        <v>22</v>
      </c>
      <c r="CZ191" s="229">
        <v>1.0999999999999999E-2</v>
      </c>
      <c r="DA191" s="228">
        <v>25.11</v>
      </c>
      <c r="DB191" s="228">
        <v>25.16</v>
      </c>
      <c r="DC191" s="228">
        <v>-0.05</v>
      </c>
      <c r="DD191" s="228">
        <v>-0.05</v>
      </c>
      <c r="DE191" s="228">
        <v>34.840000000000003</v>
      </c>
      <c r="DF191" s="228">
        <v>34.92</v>
      </c>
      <c r="DG191" s="228">
        <v>-9.73</v>
      </c>
      <c r="DH191" s="228">
        <v>-0.08</v>
      </c>
      <c r="DI191" s="228">
        <v>25.83</v>
      </c>
      <c r="DJ191" s="228">
        <v>25.78</v>
      </c>
      <c r="DK191" s="228">
        <v>0.05</v>
      </c>
      <c r="DL191" s="228">
        <v>0.05</v>
      </c>
      <c r="DM191" s="228">
        <v>23.36</v>
      </c>
      <c r="DN191" s="228">
        <v>23.96</v>
      </c>
      <c r="DO191" s="228">
        <v>-0.6</v>
      </c>
      <c r="DP191" s="228">
        <v>-0.6</v>
      </c>
      <c r="DQ191" s="228">
        <v>0.37</v>
      </c>
      <c r="DR191" s="228">
        <v>0.38</v>
      </c>
      <c r="DS191" s="228">
        <v>-0.01</v>
      </c>
      <c r="DT191" s="229">
        <v>-2.63E-2</v>
      </c>
      <c r="DU191" s="231">
        <v>5300</v>
      </c>
      <c r="DV191" s="231">
        <v>5300</v>
      </c>
      <c r="DW191" s="228">
        <v>0.41</v>
      </c>
      <c r="DX191" s="228">
        <v>0.51</v>
      </c>
      <c r="DY191" s="228">
        <v>-0.1</v>
      </c>
      <c r="DZ191" s="229">
        <v>-0.1961</v>
      </c>
      <c r="EA191" s="229">
        <v>8.77E-2</v>
      </c>
      <c r="EB191" s="230">
        <v>167200</v>
      </c>
      <c r="EC191" s="229">
        <v>4.4999999999999997E-3</v>
      </c>
      <c r="ED191" s="229">
        <v>8.77E-2</v>
      </c>
      <c r="EE191" s="228">
        <v>17.97</v>
      </c>
      <c r="EF191" s="229">
        <v>3.5999999999999999E-3</v>
      </c>
      <c r="EG191" s="230">
        <v>27961</v>
      </c>
      <c r="EH191" s="230">
        <v>28093</v>
      </c>
      <c r="EI191" s="229">
        <v>-4.7000000000000002E-3</v>
      </c>
      <c r="EJ191" s="229">
        <v>0.36709999999999998</v>
      </c>
      <c r="EK191" s="228">
        <v>353.54</v>
      </c>
      <c r="EL191" s="228">
        <v>136.74</v>
      </c>
      <c r="EM191" s="228">
        <v>77.56</v>
      </c>
      <c r="EN191" s="228">
        <v>27.96</v>
      </c>
      <c r="EO191" s="228">
        <v>567.85</v>
      </c>
      <c r="EP191" s="228">
        <v>538.32000000000005</v>
      </c>
      <c r="EQ191" s="228">
        <v>29.53</v>
      </c>
      <c r="ER191" s="229">
        <v>5.4899999999999997E-2</v>
      </c>
      <c r="ES191" s="228">
        <v>830.76</v>
      </c>
      <c r="ET191" s="228">
        <v>292.33</v>
      </c>
      <c r="EU191" s="228">
        <v>967.17</v>
      </c>
      <c r="EV191" s="231">
        <v>4309631</v>
      </c>
      <c r="EW191" s="231">
        <v>2090.2600000000002</v>
      </c>
      <c r="EX191" s="231">
        <v>2073.86</v>
      </c>
      <c r="EY191" s="228">
        <v>16.399999999999999</v>
      </c>
      <c r="EZ191" s="229">
        <v>7.9000000000000008E-3</v>
      </c>
      <c r="FA191" s="229">
        <v>0.94710000000000005</v>
      </c>
      <c r="FB191" s="227" t="s">
        <v>567</v>
      </c>
      <c r="FC191">
        <f t="shared" si="3"/>
        <v>0</v>
      </c>
    </row>
    <row r="192" spans="1:159" ht="17.25" thickBot="1" x14ac:dyDescent="0.3">
      <c r="A192" s="226">
        <v>46008</v>
      </c>
      <c r="B192" s="227" t="s">
        <v>161</v>
      </c>
      <c r="C192" s="227" t="s">
        <v>293</v>
      </c>
      <c r="D192" s="228">
        <v>1450</v>
      </c>
      <c r="E192" s="228">
        <v>13</v>
      </c>
      <c r="F192" s="228">
        <v>379.55</v>
      </c>
      <c r="G192" s="228">
        <v>381.45</v>
      </c>
      <c r="H192" s="228">
        <v>-1.9</v>
      </c>
      <c r="I192" s="229">
        <v>-5.0000000000000001E-3</v>
      </c>
      <c r="J192" s="228">
        <v>378.55</v>
      </c>
      <c r="K192" s="228">
        <v>379.85</v>
      </c>
      <c r="L192" s="228">
        <v>-1.3</v>
      </c>
      <c r="M192" s="229">
        <v>-3.3999999999999998E-3</v>
      </c>
      <c r="N192" s="228">
        <v>379.55</v>
      </c>
      <c r="O192" s="228">
        <v>381.45</v>
      </c>
      <c r="P192" s="228">
        <v>-1.9</v>
      </c>
      <c r="Q192" s="229">
        <v>-5.0000000000000001E-3</v>
      </c>
      <c r="R192" s="228">
        <v>381.9</v>
      </c>
      <c r="S192" s="228">
        <v>383.75</v>
      </c>
      <c r="T192" s="228">
        <v>-1.85</v>
      </c>
      <c r="U192" s="229">
        <v>-4.7999999999999996E-3</v>
      </c>
      <c r="V192" s="228">
        <v>383.55</v>
      </c>
      <c r="W192" s="228">
        <v>386.1</v>
      </c>
      <c r="X192" s="228">
        <v>-2.5499999999999998</v>
      </c>
      <c r="Y192" s="229">
        <v>-6.6E-3</v>
      </c>
      <c r="Z192" s="228">
        <v>1</v>
      </c>
      <c r="AA192" s="228">
        <v>1.6</v>
      </c>
      <c r="AB192" s="228">
        <v>-0.6</v>
      </c>
      <c r="AC192" s="229">
        <v>2.5999999999999999E-3</v>
      </c>
      <c r="AD192" s="228">
        <v>1</v>
      </c>
      <c r="AE192" s="228">
        <v>1.6</v>
      </c>
      <c r="AF192" s="228">
        <v>-0.6</v>
      </c>
      <c r="AG192" s="229">
        <v>2.5999999999999999E-3</v>
      </c>
      <c r="AH192" s="228">
        <v>3.35</v>
      </c>
      <c r="AI192" s="228">
        <v>3.9</v>
      </c>
      <c r="AJ192" s="228">
        <v>-0.55000000000000004</v>
      </c>
      <c r="AK192" s="229">
        <v>8.8000000000000005E-3</v>
      </c>
      <c r="AL192" s="228">
        <v>5</v>
      </c>
      <c r="AM192" s="228">
        <v>6.25</v>
      </c>
      <c r="AN192" s="228">
        <v>-1.25</v>
      </c>
      <c r="AO192" s="229">
        <v>1.32E-2</v>
      </c>
      <c r="AP192" s="228">
        <v>381.43</v>
      </c>
      <c r="AQ192" s="228">
        <v>383.77</v>
      </c>
      <c r="AR192" s="228">
        <v>0</v>
      </c>
      <c r="AS192" s="228">
        <v>207</v>
      </c>
      <c r="AT192" s="228">
        <v>223</v>
      </c>
      <c r="AU192" s="228">
        <v>-17</v>
      </c>
      <c r="AV192" s="229">
        <v>-7.3999999999999996E-2</v>
      </c>
      <c r="AW192" s="228">
        <v>175</v>
      </c>
      <c r="AX192" s="228">
        <v>194</v>
      </c>
      <c r="AY192" s="228">
        <v>-19</v>
      </c>
      <c r="AZ192" s="229">
        <v>-9.6600000000000005E-2</v>
      </c>
      <c r="BA192" s="228">
        <v>30</v>
      </c>
      <c r="BB192" s="228">
        <v>27</v>
      </c>
      <c r="BC192" s="228">
        <v>2</v>
      </c>
      <c r="BD192" s="229">
        <v>8.8499999999999995E-2</v>
      </c>
      <c r="BE192" s="228">
        <v>2</v>
      </c>
      <c r="BF192" s="228">
        <v>2</v>
      </c>
      <c r="BG192" s="228">
        <v>0</v>
      </c>
      <c r="BH192" s="229">
        <v>-9.7600000000000006E-2</v>
      </c>
      <c r="BI192" s="228">
        <v>991</v>
      </c>
      <c r="BJ192" s="228">
        <v>853</v>
      </c>
      <c r="BK192" s="228">
        <v>137</v>
      </c>
      <c r="BL192" s="229">
        <v>0.16109999999999999</v>
      </c>
      <c r="BM192" s="228">
        <v>506</v>
      </c>
      <c r="BN192" s="228">
        <v>330</v>
      </c>
      <c r="BO192" s="228">
        <v>176</v>
      </c>
      <c r="BP192" s="229">
        <v>0.53359999999999996</v>
      </c>
      <c r="BQ192" s="230">
        <v>1704</v>
      </c>
      <c r="BR192" s="230">
        <v>1407</v>
      </c>
      <c r="BS192" s="228">
        <v>297</v>
      </c>
      <c r="BT192" s="229">
        <v>0.2112</v>
      </c>
      <c r="BU192" s="230">
        <v>2349325</v>
      </c>
      <c r="BV192" s="230">
        <v>2846740</v>
      </c>
      <c r="BW192" s="230">
        <v>-497415</v>
      </c>
      <c r="BX192" s="229">
        <v>-0.17469999999999999</v>
      </c>
      <c r="BY192" s="230">
        <v>2149</v>
      </c>
      <c r="BZ192" s="230">
        <v>2159</v>
      </c>
      <c r="CA192" s="228">
        <v>-10</v>
      </c>
      <c r="CB192" s="229">
        <v>-4.7999999999999996E-3</v>
      </c>
      <c r="CC192" s="230">
        <v>1936</v>
      </c>
      <c r="CD192" s="230">
        <v>1958</v>
      </c>
      <c r="CE192" s="228">
        <v>-22</v>
      </c>
      <c r="CF192" s="229">
        <v>-1.1299999999999999E-2</v>
      </c>
      <c r="CG192" s="228">
        <v>190</v>
      </c>
      <c r="CH192" s="228">
        <v>178</v>
      </c>
      <c r="CI192" s="228">
        <v>11</v>
      </c>
      <c r="CJ192" s="229">
        <v>6.3899999999999998E-2</v>
      </c>
      <c r="CK192" s="228">
        <v>23</v>
      </c>
      <c r="CL192" s="228">
        <v>23</v>
      </c>
      <c r="CM192" s="228">
        <v>0</v>
      </c>
      <c r="CN192" s="229">
        <v>1.6799999999999999E-2</v>
      </c>
      <c r="CO192" s="230">
        <v>1554</v>
      </c>
      <c r="CP192" s="230">
        <v>1528</v>
      </c>
      <c r="CQ192" s="228">
        <v>26</v>
      </c>
      <c r="CR192" s="229">
        <v>1.6899999999999998E-2</v>
      </c>
      <c r="CS192" s="230">
        <v>1115</v>
      </c>
      <c r="CT192" s="230">
        <v>1106</v>
      </c>
      <c r="CU192" s="228">
        <v>9</v>
      </c>
      <c r="CV192" s="229">
        <v>8.5000000000000006E-3</v>
      </c>
      <c r="CW192" s="230">
        <v>4818</v>
      </c>
      <c r="CX192" s="230">
        <v>4793</v>
      </c>
      <c r="CY192" s="228">
        <v>25</v>
      </c>
      <c r="CZ192" s="229">
        <v>5.1999999999999998E-3</v>
      </c>
      <c r="DA192" s="228">
        <v>19.98</v>
      </c>
      <c r="DB192" s="228">
        <v>20.14</v>
      </c>
      <c r="DC192" s="228">
        <v>-0.16</v>
      </c>
      <c r="DD192" s="228">
        <v>-0.16</v>
      </c>
      <c r="DE192" s="228">
        <v>31.48</v>
      </c>
      <c r="DF192" s="228">
        <v>31.55</v>
      </c>
      <c r="DG192" s="228">
        <v>-11.5</v>
      </c>
      <c r="DH192" s="228">
        <v>-7.0000000000000007E-2</v>
      </c>
      <c r="DI192" s="228">
        <v>20.39</v>
      </c>
      <c r="DJ192" s="228">
        <v>20.399999999999999</v>
      </c>
      <c r="DK192" s="228">
        <v>-0.01</v>
      </c>
      <c r="DL192" s="228">
        <v>-0.01</v>
      </c>
      <c r="DM192" s="228">
        <v>19.18</v>
      </c>
      <c r="DN192" s="228">
        <v>19.46</v>
      </c>
      <c r="DO192" s="228">
        <v>-0.28000000000000003</v>
      </c>
      <c r="DP192" s="228">
        <v>-0.28000000000000003</v>
      </c>
      <c r="DQ192" s="228">
        <v>0.72</v>
      </c>
      <c r="DR192" s="228">
        <v>0.72</v>
      </c>
      <c r="DS192" s="228">
        <v>0</v>
      </c>
      <c r="DT192" s="229">
        <v>0</v>
      </c>
      <c r="DU192" s="228">
        <v>400</v>
      </c>
      <c r="DV192" s="228">
        <v>390</v>
      </c>
      <c r="DW192" s="228">
        <v>0.51</v>
      </c>
      <c r="DX192" s="228">
        <v>0.39</v>
      </c>
      <c r="DY192" s="228">
        <v>0.12</v>
      </c>
      <c r="DZ192" s="229">
        <v>0.30769999999999997</v>
      </c>
      <c r="EA192" s="229">
        <v>9.9099999999999994E-2</v>
      </c>
      <c r="EB192" s="230">
        <v>5299750</v>
      </c>
      <c r="EC192" s="229">
        <v>6.1999999999999998E-3</v>
      </c>
      <c r="ED192" s="229">
        <v>9.9099999999999994E-2</v>
      </c>
      <c r="EE192" s="228">
        <v>2.34</v>
      </c>
      <c r="EF192" s="229">
        <v>6.1000000000000004E-3</v>
      </c>
      <c r="EG192" s="230">
        <v>1179389</v>
      </c>
      <c r="EH192" s="230">
        <v>1345357</v>
      </c>
      <c r="EI192" s="229">
        <v>-0.1234</v>
      </c>
      <c r="EJ192" s="229">
        <v>0.502</v>
      </c>
      <c r="EK192" s="231">
        <v>1027.93</v>
      </c>
      <c r="EL192" s="228">
        <v>510.95</v>
      </c>
      <c r="EM192" s="228">
        <v>207.94</v>
      </c>
      <c r="EN192" s="228">
        <v>40.19</v>
      </c>
      <c r="EO192" s="231">
        <v>1746.82</v>
      </c>
      <c r="EP192" s="231">
        <v>1441.2</v>
      </c>
      <c r="EQ192" s="228">
        <v>305.62</v>
      </c>
      <c r="ER192" s="229">
        <v>0.21210000000000001</v>
      </c>
      <c r="ES192" s="231">
        <v>1634.97</v>
      </c>
      <c r="ET192" s="231">
        <v>1143.55</v>
      </c>
      <c r="EU192" s="231">
        <v>2150.0300000000002</v>
      </c>
      <c r="EV192" s="231">
        <v>169808198</v>
      </c>
      <c r="EW192" s="231">
        <v>4928.55</v>
      </c>
      <c r="EX192" s="231">
        <v>4913.66</v>
      </c>
      <c r="EY192" s="228">
        <v>14.89</v>
      </c>
      <c r="EZ192" s="229">
        <v>3.0000000000000001E-3</v>
      </c>
      <c r="FA192" s="229">
        <v>0.74750000000000005</v>
      </c>
      <c r="FB192" s="227" t="s">
        <v>568</v>
      </c>
      <c r="FC192">
        <f t="shared" si="3"/>
        <v>0</v>
      </c>
    </row>
    <row r="193" spans="1:159" ht="17.25" thickBot="1" x14ac:dyDescent="0.3">
      <c r="A193" s="226">
        <v>46008</v>
      </c>
      <c r="B193" s="227" t="s">
        <v>227</v>
      </c>
      <c r="C193" s="227" t="s">
        <v>294</v>
      </c>
      <c r="D193" s="228">
        <v>5500</v>
      </c>
      <c r="E193" s="228">
        <v>13</v>
      </c>
      <c r="F193" s="228">
        <v>170.81</v>
      </c>
      <c r="G193" s="228">
        <v>170.46</v>
      </c>
      <c r="H193" s="228">
        <v>0.35</v>
      </c>
      <c r="I193" s="229">
        <v>2.0999999999999999E-3</v>
      </c>
      <c r="J193" s="228">
        <v>170.34</v>
      </c>
      <c r="K193" s="228">
        <v>169.83</v>
      </c>
      <c r="L193" s="228">
        <v>0.51</v>
      </c>
      <c r="M193" s="229">
        <v>3.0000000000000001E-3</v>
      </c>
      <c r="N193" s="228">
        <v>170.81</v>
      </c>
      <c r="O193" s="228">
        <v>170.46</v>
      </c>
      <c r="P193" s="228">
        <v>0.35</v>
      </c>
      <c r="Q193" s="229">
        <v>2.0999999999999999E-3</v>
      </c>
      <c r="R193" s="228">
        <v>171.88</v>
      </c>
      <c r="S193" s="228">
        <v>171.43</v>
      </c>
      <c r="T193" s="228">
        <v>0.45</v>
      </c>
      <c r="U193" s="229">
        <v>2.5999999999999999E-3</v>
      </c>
      <c r="V193" s="228">
        <v>172.82</v>
      </c>
      <c r="W193" s="228">
        <v>172.53</v>
      </c>
      <c r="X193" s="228">
        <v>0.28999999999999998</v>
      </c>
      <c r="Y193" s="229">
        <v>1.6999999999999999E-3</v>
      </c>
      <c r="Z193" s="228">
        <v>0.47</v>
      </c>
      <c r="AA193" s="228">
        <v>0.63</v>
      </c>
      <c r="AB193" s="228">
        <v>-0.16</v>
      </c>
      <c r="AC193" s="229">
        <v>2.8E-3</v>
      </c>
      <c r="AD193" s="228">
        <v>0.47</v>
      </c>
      <c r="AE193" s="228">
        <v>0.63</v>
      </c>
      <c r="AF193" s="228">
        <v>-0.16</v>
      </c>
      <c r="AG193" s="229">
        <v>2.8E-3</v>
      </c>
      <c r="AH193" s="228">
        <v>1.54</v>
      </c>
      <c r="AI193" s="228">
        <v>1.6</v>
      </c>
      <c r="AJ193" s="228">
        <v>-0.06</v>
      </c>
      <c r="AK193" s="229">
        <v>8.9999999999999993E-3</v>
      </c>
      <c r="AL193" s="228">
        <v>2.48</v>
      </c>
      <c r="AM193" s="228">
        <v>2.7</v>
      </c>
      <c r="AN193" s="228">
        <v>-0.22</v>
      </c>
      <c r="AO193" s="229">
        <v>1.46E-2</v>
      </c>
      <c r="AP193" s="228">
        <v>170.83</v>
      </c>
      <c r="AQ193" s="228">
        <v>171.83</v>
      </c>
      <c r="AR193" s="228">
        <v>0</v>
      </c>
      <c r="AS193" s="228">
        <v>454</v>
      </c>
      <c r="AT193" s="228">
        <v>774</v>
      </c>
      <c r="AU193" s="228">
        <v>-320</v>
      </c>
      <c r="AV193" s="229">
        <v>-0.41349999999999998</v>
      </c>
      <c r="AW193" s="228">
        <v>343</v>
      </c>
      <c r="AX193" s="228">
        <v>617</v>
      </c>
      <c r="AY193" s="228">
        <v>-274</v>
      </c>
      <c r="AZ193" s="229">
        <v>-0.44400000000000001</v>
      </c>
      <c r="BA193" s="228">
        <v>104</v>
      </c>
      <c r="BB193" s="228">
        <v>146</v>
      </c>
      <c r="BC193" s="228">
        <v>-42</v>
      </c>
      <c r="BD193" s="229">
        <v>-0.29089999999999999</v>
      </c>
      <c r="BE193" s="228">
        <v>7</v>
      </c>
      <c r="BF193" s="228">
        <v>11</v>
      </c>
      <c r="BG193" s="228">
        <v>-4</v>
      </c>
      <c r="BH193" s="229">
        <v>-0.33329999999999999</v>
      </c>
      <c r="BI193" s="230">
        <v>1455</v>
      </c>
      <c r="BJ193" s="230">
        <v>2162</v>
      </c>
      <c r="BK193" s="228">
        <v>-707</v>
      </c>
      <c r="BL193" s="229">
        <v>-0.32700000000000001</v>
      </c>
      <c r="BM193" s="228">
        <v>991</v>
      </c>
      <c r="BN193" s="230">
        <v>1559</v>
      </c>
      <c r="BO193" s="228">
        <v>-568</v>
      </c>
      <c r="BP193" s="229">
        <v>-0.3644</v>
      </c>
      <c r="BQ193" s="230">
        <v>2899</v>
      </c>
      <c r="BR193" s="230">
        <v>4494</v>
      </c>
      <c r="BS193" s="230">
        <v>-1595</v>
      </c>
      <c r="BT193" s="229">
        <v>-0.35489999999999999</v>
      </c>
      <c r="BU193" s="230">
        <v>12461749</v>
      </c>
      <c r="BV193" s="230">
        <v>23547936</v>
      </c>
      <c r="BW193" s="230">
        <v>-11086187</v>
      </c>
      <c r="BX193" s="229">
        <v>-0.4708</v>
      </c>
      <c r="BY193" s="230">
        <v>4411</v>
      </c>
      <c r="BZ193" s="230">
        <v>4412</v>
      </c>
      <c r="CA193" s="228">
        <v>-1</v>
      </c>
      <c r="CB193" s="229">
        <v>-1E-4</v>
      </c>
      <c r="CC193" s="230">
        <v>3818</v>
      </c>
      <c r="CD193" s="230">
        <v>3869</v>
      </c>
      <c r="CE193" s="228">
        <v>-51</v>
      </c>
      <c r="CF193" s="229">
        <v>-1.32E-2</v>
      </c>
      <c r="CG193" s="228">
        <v>545</v>
      </c>
      <c r="CH193" s="228">
        <v>493</v>
      </c>
      <c r="CI193" s="228">
        <v>52</v>
      </c>
      <c r="CJ193" s="229">
        <v>0.1057</v>
      </c>
      <c r="CK193" s="228">
        <v>48</v>
      </c>
      <c r="CL193" s="228">
        <v>50</v>
      </c>
      <c r="CM193" s="228">
        <v>-1</v>
      </c>
      <c r="CN193" s="229">
        <v>-2.8199999999999999E-2</v>
      </c>
      <c r="CO193" s="230">
        <v>2691</v>
      </c>
      <c r="CP193" s="230">
        <v>2682</v>
      </c>
      <c r="CQ193" s="228">
        <v>9</v>
      </c>
      <c r="CR193" s="229">
        <v>3.5000000000000001E-3</v>
      </c>
      <c r="CS193" s="230">
        <v>1614</v>
      </c>
      <c r="CT193" s="230">
        <v>1584</v>
      </c>
      <c r="CU193" s="228">
        <v>30</v>
      </c>
      <c r="CV193" s="229">
        <v>1.8700000000000001E-2</v>
      </c>
      <c r="CW193" s="230">
        <v>8716</v>
      </c>
      <c r="CX193" s="230">
        <v>8678</v>
      </c>
      <c r="CY193" s="228">
        <v>38</v>
      </c>
      <c r="CZ193" s="229">
        <v>4.4000000000000003E-3</v>
      </c>
      <c r="DA193" s="228">
        <v>21.71</v>
      </c>
      <c r="DB193" s="228">
        <v>22.5</v>
      </c>
      <c r="DC193" s="228">
        <v>-0.79</v>
      </c>
      <c r="DD193" s="228">
        <v>-0.79</v>
      </c>
      <c r="DE193" s="228">
        <v>32.840000000000003</v>
      </c>
      <c r="DF193" s="228">
        <v>32.92</v>
      </c>
      <c r="DG193" s="228">
        <v>-11.13</v>
      </c>
      <c r="DH193" s="228">
        <v>-0.08</v>
      </c>
      <c r="DI193" s="228">
        <v>21.67</v>
      </c>
      <c r="DJ193" s="228">
        <v>23.08</v>
      </c>
      <c r="DK193" s="228">
        <v>-1.41</v>
      </c>
      <c r="DL193" s="228">
        <v>-1.41</v>
      </c>
      <c r="DM193" s="228">
        <v>21.77</v>
      </c>
      <c r="DN193" s="228">
        <v>21.7</v>
      </c>
      <c r="DO193" s="228">
        <v>7.0000000000000007E-2</v>
      </c>
      <c r="DP193" s="228">
        <v>7.0000000000000007E-2</v>
      </c>
      <c r="DQ193" s="228">
        <v>0.6</v>
      </c>
      <c r="DR193" s="228">
        <v>0.59</v>
      </c>
      <c r="DS193" s="228">
        <v>0.01</v>
      </c>
      <c r="DT193" s="229">
        <v>1.6899999999999998E-2</v>
      </c>
      <c r="DU193" s="228">
        <v>180</v>
      </c>
      <c r="DV193" s="228">
        <v>170</v>
      </c>
      <c r="DW193" s="228">
        <v>0.68</v>
      </c>
      <c r="DX193" s="228">
        <v>0.72</v>
      </c>
      <c r="DY193" s="228">
        <v>-0.04</v>
      </c>
      <c r="DZ193" s="229">
        <v>-5.5599999999999997E-2</v>
      </c>
      <c r="EA193" s="229">
        <v>0.13450000000000001</v>
      </c>
      <c r="EB193" s="230">
        <v>31757000</v>
      </c>
      <c r="EC193" s="229">
        <v>6.3E-3</v>
      </c>
      <c r="ED193" s="229">
        <v>0.13450000000000001</v>
      </c>
      <c r="EE193" s="228">
        <v>1</v>
      </c>
      <c r="EF193" s="229">
        <v>5.8999999999999999E-3</v>
      </c>
      <c r="EG193" s="230">
        <v>5522024</v>
      </c>
      <c r="EH193" s="230">
        <v>13133150</v>
      </c>
      <c r="EI193" s="229">
        <v>-0.57950000000000002</v>
      </c>
      <c r="EJ193" s="229">
        <v>0.44309999999999999</v>
      </c>
      <c r="EK193" s="231">
        <v>1510.57</v>
      </c>
      <c r="EL193" s="228">
        <v>974.99</v>
      </c>
      <c r="EM193" s="228">
        <v>454.69</v>
      </c>
      <c r="EN193" s="228">
        <v>93.34</v>
      </c>
      <c r="EO193" s="231">
        <v>2940.26</v>
      </c>
      <c r="EP193" s="231">
        <v>4580.95</v>
      </c>
      <c r="EQ193" s="231">
        <v>-1640.69</v>
      </c>
      <c r="ER193" s="229">
        <v>-0.35820000000000002</v>
      </c>
      <c r="ES193" s="231">
        <v>2827.59</v>
      </c>
      <c r="ET193" s="231">
        <v>1572.86</v>
      </c>
      <c r="EU193" s="231">
        <v>4415.01</v>
      </c>
      <c r="EV193" s="231">
        <v>833987639</v>
      </c>
      <c r="EW193" s="231">
        <v>8815.4599999999991</v>
      </c>
      <c r="EX193" s="231">
        <v>8767.68</v>
      </c>
      <c r="EY193" s="228">
        <v>47.78</v>
      </c>
      <c r="EZ193" s="229">
        <v>5.4000000000000003E-3</v>
      </c>
      <c r="FA193" s="229">
        <v>0.6119</v>
      </c>
      <c r="FB193" s="227" t="s">
        <v>556</v>
      </c>
      <c r="FC193">
        <f t="shared" si="3"/>
        <v>0</v>
      </c>
    </row>
    <row r="194" spans="1:159" ht="17.25" thickBot="1" x14ac:dyDescent="0.3">
      <c r="A194" s="226">
        <v>46008</v>
      </c>
      <c r="B194" s="227" t="s">
        <v>221</v>
      </c>
      <c r="C194" s="227" t="s">
        <v>664</v>
      </c>
      <c r="D194" s="228">
        <v>800</v>
      </c>
      <c r="E194" s="228">
        <v>13</v>
      </c>
      <c r="F194" s="228">
        <v>641.79999999999995</v>
      </c>
      <c r="G194" s="228">
        <v>650.65</v>
      </c>
      <c r="H194" s="228">
        <v>-8.85</v>
      </c>
      <c r="I194" s="229">
        <v>-1.3599999999999999E-2</v>
      </c>
      <c r="J194" s="228">
        <v>641.79999999999995</v>
      </c>
      <c r="K194" s="228">
        <v>650.35</v>
      </c>
      <c r="L194" s="228">
        <v>-8.5500000000000007</v>
      </c>
      <c r="M194" s="229">
        <v>-1.3100000000000001E-2</v>
      </c>
      <c r="N194" s="228">
        <v>641.79999999999995</v>
      </c>
      <c r="O194" s="228">
        <v>650.65</v>
      </c>
      <c r="P194" s="228">
        <v>-8.85</v>
      </c>
      <c r="Q194" s="229">
        <v>-1.3599999999999999E-2</v>
      </c>
      <c r="R194" s="228">
        <v>644.20000000000005</v>
      </c>
      <c r="S194" s="228">
        <v>653.15</v>
      </c>
      <c r="T194" s="228">
        <v>-8.9499999999999993</v>
      </c>
      <c r="U194" s="229">
        <v>-1.37E-2</v>
      </c>
      <c r="V194" s="228">
        <v>647.4</v>
      </c>
      <c r="W194" s="228">
        <v>656.55</v>
      </c>
      <c r="X194" s="228">
        <v>-9.15</v>
      </c>
      <c r="Y194" s="229">
        <v>-1.3899999999999999E-2</v>
      </c>
      <c r="Z194" s="228">
        <v>0</v>
      </c>
      <c r="AA194" s="228">
        <v>0.3</v>
      </c>
      <c r="AB194" s="228">
        <v>-0.3</v>
      </c>
      <c r="AC194" s="229">
        <v>0</v>
      </c>
      <c r="AD194" s="228">
        <v>0</v>
      </c>
      <c r="AE194" s="228">
        <v>0.3</v>
      </c>
      <c r="AF194" s="228">
        <v>-0.3</v>
      </c>
      <c r="AG194" s="229">
        <v>0</v>
      </c>
      <c r="AH194" s="228">
        <v>2.4</v>
      </c>
      <c r="AI194" s="228">
        <v>2.8</v>
      </c>
      <c r="AJ194" s="228">
        <v>-0.4</v>
      </c>
      <c r="AK194" s="229">
        <v>3.7000000000000002E-3</v>
      </c>
      <c r="AL194" s="228">
        <v>5.6</v>
      </c>
      <c r="AM194" s="228">
        <v>6.2</v>
      </c>
      <c r="AN194" s="228">
        <v>-0.6</v>
      </c>
      <c r="AO194" s="229">
        <v>8.6999999999999994E-3</v>
      </c>
      <c r="AP194" s="228">
        <v>645.14</v>
      </c>
      <c r="AQ194" s="228">
        <v>648.02</v>
      </c>
      <c r="AR194" s="228">
        <v>0</v>
      </c>
      <c r="AS194" s="228">
        <v>144</v>
      </c>
      <c r="AT194" s="228">
        <v>95</v>
      </c>
      <c r="AU194" s="228">
        <v>49</v>
      </c>
      <c r="AV194" s="229">
        <v>0.51790000000000003</v>
      </c>
      <c r="AW194" s="228">
        <v>97</v>
      </c>
      <c r="AX194" s="228">
        <v>69</v>
      </c>
      <c r="AY194" s="228">
        <v>28</v>
      </c>
      <c r="AZ194" s="229">
        <v>0.40770000000000001</v>
      </c>
      <c r="BA194" s="228">
        <v>43</v>
      </c>
      <c r="BB194" s="228">
        <v>23</v>
      </c>
      <c r="BC194" s="228">
        <v>21</v>
      </c>
      <c r="BD194" s="229">
        <v>0.90500000000000003</v>
      </c>
      <c r="BE194" s="228">
        <v>3</v>
      </c>
      <c r="BF194" s="228">
        <v>3</v>
      </c>
      <c r="BG194" s="228">
        <v>0</v>
      </c>
      <c r="BH194" s="229">
        <v>0.1071</v>
      </c>
      <c r="BI194" s="228">
        <v>208</v>
      </c>
      <c r="BJ194" s="228">
        <v>132</v>
      </c>
      <c r="BK194" s="228">
        <v>76</v>
      </c>
      <c r="BL194" s="229">
        <v>0.5776</v>
      </c>
      <c r="BM194" s="228">
        <v>106</v>
      </c>
      <c r="BN194" s="228">
        <v>42</v>
      </c>
      <c r="BO194" s="228">
        <v>64</v>
      </c>
      <c r="BP194" s="229">
        <v>1.5383</v>
      </c>
      <c r="BQ194" s="228">
        <v>457</v>
      </c>
      <c r="BR194" s="228">
        <v>268</v>
      </c>
      <c r="BS194" s="228">
        <v>189</v>
      </c>
      <c r="BT194" s="229">
        <v>0.70569999999999999</v>
      </c>
      <c r="BU194" s="230">
        <v>740956</v>
      </c>
      <c r="BV194" s="230">
        <v>377939</v>
      </c>
      <c r="BW194" s="230">
        <v>363017</v>
      </c>
      <c r="BX194" s="229">
        <v>0.96050000000000002</v>
      </c>
      <c r="BY194" s="228">
        <v>826</v>
      </c>
      <c r="BZ194" s="228">
        <v>798</v>
      </c>
      <c r="CA194" s="228">
        <v>28</v>
      </c>
      <c r="CB194" s="229">
        <v>3.5700000000000003E-2</v>
      </c>
      <c r="CC194" s="228">
        <v>709</v>
      </c>
      <c r="CD194" s="228">
        <v>700</v>
      </c>
      <c r="CE194" s="228">
        <v>8</v>
      </c>
      <c r="CF194" s="229">
        <v>1.2E-2</v>
      </c>
      <c r="CG194" s="228">
        <v>107</v>
      </c>
      <c r="CH194" s="228">
        <v>88</v>
      </c>
      <c r="CI194" s="228">
        <v>19</v>
      </c>
      <c r="CJ194" s="229">
        <v>0.2142</v>
      </c>
      <c r="CK194" s="228">
        <v>11</v>
      </c>
      <c r="CL194" s="228">
        <v>9</v>
      </c>
      <c r="CM194" s="228">
        <v>1</v>
      </c>
      <c r="CN194" s="229">
        <v>0.12570000000000001</v>
      </c>
      <c r="CO194" s="228">
        <v>418</v>
      </c>
      <c r="CP194" s="228">
        <v>406</v>
      </c>
      <c r="CQ194" s="228">
        <v>12</v>
      </c>
      <c r="CR194" s="229">
        <v>2.92E-2</v>
      </c>
      <c r="CS194" s="228">
        <v>262</v>
      </c>
      <c r="CT194" s="228">
        <v>246</v>
      </c>
      <c r="CU194" s="228">
        <v>16</v>
      </c>
      <c r="CV194" s="229">
        <v>6.4699999999999994E-2</v>
      </c>
      <c r="CW194" s="230">
        <v>1507</v>
      </c>
      <c r="CX194" s="230">
        <v>1451</v>
      </c>
      <c r="CY194" s="228">
        <v>56</v>
      </c>
      <c r="CZ194" s="229">
        <v>3.8800000000000001E-2</v>
      </c>
      <c r="DA194" s="228">
        <v>24.49</v>
      </c>
      <c r="DB194" s="228">
        <v>24.47</v>
      </c>
      <c r="DC194" s="228">
        <v>0.02</v>
      </c>
      <c r="DD194" s="228">
        <v>0.02</v>
      </c>
      <c r="DE194" s="228">
        <v>30.11</v>
      </c>
      <c r="DF194" s="228">
        <v>30.13</v>
      </c>
      <c r="DG194" s="228">
        <v>-5.62</v>
      </c>
      <c r="DH194" s="228">
        <v>-0.02</v>
      </c>
      <c r="DI194" s="228">
        <v>25.74</v>
      </c>
      <c r="DJ194" s="228">
        <v>25.34</v>
      </c>
      <c r="DK194" s="228">
        <v>0.4</v>
      </c>
      <c r="DL194" s="228">
        <v>0.4</v>
      </c>
      <c r="DM194" s="228">
        <v>22.04</v>
      </c>
      <c r="DN194" s="228">
        <v>21.72</v>
      </c>
      <c r="DO194" s="228">
        <v>0.32</v>
      </c>
      <c r="DP194" s="228">
        <v>0.32</v>
      </c>
      <c r="DQ194" s="228">
        <v>0.63</v>
      </c>
      <c r="DR194" s="228">
        <v>0.61</v>
      </c>
      <c r="DS194" s="228">
        <v>0.02</v>
      </c>
      <c r="DT194" s="229">
        <v>3.2800000000000003E-2</v>
      </c>
      <c r="DU194" s="228">
        <v>700</v>
      </c>
      <c r="DV194" s="228">
        <v>650</v>
      </c>
      <c r="DW194" s="228">
        <v>0.51</v>
      </c>
      <c r="DX194" s="228">
        <v>0.32</v>
      </c>
      <c r="DY194" s="228">
        <v>0.19</v>
      </c>
      <c r="DZ194" s="229">
        <v>0.59379999999999999</v>
      </c>
      <c r="EA194" s="229">
        <v>0.1424</v>
      </c>
      <c r="EB194" s="230">
        <v>1520800</v>
      </c>
      <c r="EC194" s="229">
        <v>3.7000000000000002E-3</v>
      </c>
      <c r="ED194" s="229">
        <v>0.1424</v>
      </c>
      <c r="EE194" s="228">
        <v>2.88</v>
      </c>
      <c r="EF194" s="229">
        <v>4.4999999999999997E-3</v>
      </c>
      <c r="EG194" s="230">
        <v>402073</v>
      </c>
      <c r="EH194" s="230">
        <v>192220</v>
      </c>
      <c r="EI194" s="229">
        <v>1.0916999999999999</v>
      </c>
      <c r="EJ194" s="229">
        <v>0.54259999999999997</v>
      </c>
      <c r="EK194" s="228">
        <v>221.24</v>
      </c>
      <c r="EL194" s="228">
        <v>107.23</v>
      </c>
      <c r="EM194" s="228">
        <v>144.53</v>
      </c>
      <c r="EN194" s="228">
        <v>16.739999999999998</v>
      </c>
      <c r="EO194" s="228">
        <v>473</v>
      </c>
      <c r="EP194" s="228">
        <v>280.61</v>
      </c>
      <c r="EQ194" s="228">
        <v>192.39</v>
      </c>
      <c r="ER194" s="229">
        <v>0.68559999999999999</v>
      </c>
      <c r="ES194" s="228">
        <v>454.41</v>
      </c>
      <c r="ET194" s="228">
        <v>268.44</v>
      </c>
      <c r="EU194" s="228">
        <v>826.98</v>
      </c>
      <c r="EV194" s="231">
        <v>27246569</v>
      </c>
      <c r="EW194" s="231">
        <v>1549.83</v>
      </c>
      <c r="EX194" s="231">
        <v>1505.65</v>
      </c>
      <c r="EY194" s="228">
        <v>44.18</v>
      </c>
      <c r="EZ194" s="229">
        <v>2.93E-2</v>
      </c>
      <c r="FA194" s="229">
        <v>0.86170000000000002</v>
      </c>
      <c r="FB194" s="227" t="s">
        <v>567</v>
      </c>
      <c r="FC194">
        <f t="shared" si="3"/>
        <v>0</v>
      </c>
    </row>
    <row r="195" spans="1:159" ht="17.25" thickBot="1" x14ac:dyDescent="0.3">
      <c r="A195" s="226">
        <v>46008</v>
      </c>
      <c r="B195" s="227" t="s">
        <v>221</v>
      </c>
      <c r="C195" s="227" t="s">
        <v>295</v>
      </c>
      <c r="D195" s="228">
        <v>175</v>
      </c>
      <c r="E195" s="228">
        <v>13</v>
      </c>
      <c r="F195" s="231">
        <v>3220.8</v>
      </c>
      <c r="G195" s="231">
        <v>3211.3</v>
      </c>
      <c r="H195" s="228">
        <v>9.5</v>
      </c>
      <c r="I195" s="229">
        <v>3.0000000000000001E-3</v>
      </c>
      <c r="J195" s="231">
        <v>3217.8</v>
      </c>
      <c r="K195" s="231">
        <v>3205.1</v>
      </c>
      <c r="L195" s="228">
        <v>12.7</v>
      </c>
      <c r="M195" s="229">
        <v>4.0000000000000001E-3</v>
      </c>
      <c r="N195" s="231">
        <v>3220.8</v>
      </c>
      <c r="O195" s="231">
        <v>3211.3</v>
      </c>
      <c r="P195" s="228">
        <v>9.5</v>
      </c>
      <c r="Q195" s="229">
        <v>3.0000000000000001E-3</v>
      </c>
      <c r="R195" s="231">
        <v>3234.2</v>
      </c>
      <c r="S195" s="231">
        <v>3224.7</v>
      </c>
      <c r="T195" s="228">
        <v>9.5</v>
      </c>
      <c r="U195" s="229">
        <v>2.8999999999999998E-3</v>
      </c>
      <c r="V195" s="231">
        <v>3253.7</v>
      </c>
      <c r="W195" s="231">
        <v>3243.3</v>
      </c>
      <c r="X195" s="228">
        <v>10.4</v>
      </c>
      <c r="Y195" s="229">
        <v>3.2000000000000002E-3</v>
      </c>
      <c r="Z195" s="228">
        <v>3</v>
      </c>
      <c r="AA195" s="228">
        <v>6.2</v>
      </c>
      <c r="AB195" s="228">
        <v>-3.2</v>
      </c>
      <c r="AC195" s="229">
        <v>8.9999999999999998E-4</v>
      </c>
      <c r="AD195" s="228">
        <v>3</v>
      </c>
      <c r="AE195" s="228">
        <v>6.2</v>
      </c>
      <c r="AF195" s="228">
        <v>-3.2</v>
      </c>
      <c r="AG195" s="229">
        <v>8.9999999999999998E-4</v>
      </c>
      <c r="AH195" s="228">
        <v>16.399999999999999</v>
      </c>
      <c r="AI195" s="228">
        <v>19.600000000000001</v>
      </c>
      <c r="AJ195" s="228">
        <v>-3.2</v>
      </c>
      <c r="AK195" s="229">
        <v>5.1000000000000004E-3</v>
      </c>
      <c r="AL195" s="228">
        <v>35.9</v>
      </c>
      <c r="AM195" s="228">
        <v>38.200000000000003</v>
      </c>
      <c r="AN195" s="228">
        <v>-2.2999999999999998</v>
      </c>
      <c r="AO195" s="229">
        <v>1.12E-2</v>
      </c>
      <c r="AP195" s="231">
        <v>3224.15</v>
      </c>
      <c r="AQ195" s="231">
        <v>3238.5</v>
      </c>
      <c r="AR195" s="228">
        <v>0</v>
      </c>
      <c r="AS195" s="228">
        <v>574</v>
      </c>
      <c r="AT195" s="228">
        <v>606</v>
      </c>
      <c r="AU195" s="228">
        <v>-32</v>
      </c>
      <c r="AV195" s="229">
        <v>-5.2499999999999998E-2</v>
      </c>
      <c r="AW195" s="228">
        <v>491</v>
      </c>
      <c r="AX195" s="228">
        <v>496</v>
      </c>
      <c r="AY195" s="228">
        <v>-5</v>
      </c>
      <c r="AZ195" s="229">
        <v>-9.4999999999999998E-3</v>
      </c>
      <c r="BA195" s="228">
        <v>76</v>
      </c>
      <c r="BB195" s="228">
        <v>97</v>
      </c>
      <c r="BC195" s="228">
        <v>-21</v>
      </c>
      <c r="BD195" s="229">
        <v>-0.2135</v>
      </c>
      <c r="BE195" s="228">
        <v>7</v>
      </c>
      <c r="BF195" s="228">
        <v>13</v>
      </c>
      <c r="BG195" s="228">
        <v>-6</v>
      </c>
      <c r="BH195" s="229">
        <v>-0.48920000000000002</v>
      </c>
      <c r="BI195" s="230">
        <v>2457</v>
      </c>
      <c r="BJ195" s="230">
        <v>2032</v>
      </c>
      <c r="BK195" s="228">
        <v>425</v>
      </c>
      <c r="BL195" s="229">
        <v>0.2094</v>
      </c>
      <c r="BM195" s="230">
        <v>1283</v>
      </c>
      <c r="BN195" s="230">
        <v>1275</v>
      </c>
      <c r="BO195" s="228">
        <v>9</v>
      </c>
      <c r="BP195" s="229">
        <v>6.7000000000000002E-3</v>
      </c>
      <c r="BQ195" s="230">
        <v>4315</v>
      </c>
      <c r="BR195" s="230">
        <v>3913</v>
      </c>
      <c r="BS195" s="228">
        <v>402</v>
      </c>
      <c r="BT195" s="229">
        <v>0.1028</v>
      </c>
      <c r="BU195" s="230">
        <v>1413512</v>
      </c>
      <c r="BV195" s="230">
        <v>1795417</v>
      </c>
      <c r="BW195" s="230">
        <v>-381905</v>
      </c>
      <c r="BX195" s="229">
        <v>-0.2127</v>
      </c>
      <c r="BY195" s="230">
        <v>8168</v>
      </c>
      <c r="BZ195" s="230">
        <v>8236</v>
      </c>
      <c r="CA195" s="228">
        <v>-68</v>
      </c>
      <c r="CB195" s="229">
        <v>-8.3000000000000001E-3</v>
      </c>
      <c r="CC195" s="230">
        <v>7385</v>
      </c>
      <c r="CD195" s="230">
        <v>7473</v>
      </c>
      <c r="CE195" s="228">
        <v>-88</v>
      </c>
      <c r="CF195" s="229">
        <v>-1.17E-2</v>
      </c>
      <c r="CG195" s="228">
        <v>722</v>
      </c>
      <c r="CH195" s="228">
        <v>705</v>
      </c>
      <c r="CI195" s="228">
        <v>17</v>
      </c>
      <c r="CJ195" s="229">
        <v>2.46E-2</v>
      </c>
      <c r="CK195" s="228">
        <v>61</v>
      </c>
      <c r="CL195" s="228">
        <v>59</v>
      </c>
      <c r="CM195" s="228">
        <v>2</v>
      </c>
      <c r="CN195" s="229">
        <v>3.56E-2</v>
      </c>
      <c r="CO195" s="230">
        <v>3155</v>
      </c>
      <c r="CP195" s="230">
        <v>3120</v>
      </c>
      <c r="CQ195" s="228">
        <v>35</v>
      </c>
      <c r="CR195" s="229">
        <v>1.12E-2</v>
      </c>
      <c r="CS195" s="230">
        <v>2492</v>
      </c>
      <c r="CT195" s="230">
        <v>2474</v>
      </c>
      <c r="CU195" s="228">
        <v>18</v>
      </c>
      <c r="CV195" s="229">
        <v>7.1999999999999998E-3</v>
      </c>
      <c r="CW195" s="230">
        <v>13815</v>
      </c>
      <c r="CX195" s="230">
        <v>13830</v>
      </c>
      <c r="CY195" s="228">
        <v>-16</v>
      </c>
      <c r="CZ195" s="229">
        <v>-1.1000000000000001E-3</v>
      </c>
      <c r="DA195" s="228">
        <v>17.170000000000002</v>
      </c>
      <c r="DB195" s="228">
        <v>17.34</v>
      </c>
      <c r="DC195" s="228">
        <v>-0.17</v>
      </c>
      <c r="DD195" s="228">
        <v>-0.17</v>
      </c>
      <c r="DE195" s="228">
        <v>23.45</v>
      </c>
      <c r="DF195" s="228">
        <v>23.5</v>
      </c>
      <c r="DG195" s="228">
        <v>-6.28</v>
      </c>
      <c r="DH195" s="228">
        <v>-0.05</v>
      </c>
      <c r="DI195" s="228">
        <v>16.91</v>
      </c>
      <c r="DJ195" s="228">
        <v>17.149999999999999</v>
      </c>
      <c r="DK195" s="228">
        <v>-0.24</v>
      </c>
      <c r="DL195" s="228">
        <v>-0.24</v>
      </c>
      <c r="DM195" s="228">
        <v>17.670000000000002</v>
      </c>
      <c r="DN195" s="228">
        <v>17.64</v>
      </c>
      <c r="DO195" s="228">
        <v>0.03</v>
      </c>
      <c r="DP195" s="228">
        <v>0.03</v>
      </c>
      <c r="DQ195" s="228">
        <v>0.79</v>
      </c>
      <c r="DR195" s="228">
        <v>0.79</v>
      </c>
      <c r="DS195" s="228">
        <v>0</v>
      </c>
      <c r="DT195" s="229">
        <v>0</v>
      </c>
      <c r="DU195" s="231">
        <v>3200</v>
      </c>
      <c r="DV195" s="231">
        <v>3000</v>
      </c>
      <c r="DW195" s="228">
        <v>0.52</v>
      </c>
      <c r="DX195" s="228">
        <v>0.63</v>
      </c>
      <c r="DY195" s="228">
        <v>-0.11</v>
      </c>
      <c r="DZ195" s="229">
        <v>-0.17460000000000001</v>
      </c>
      <c r="EA195" s="229">
        <v>9.5799999999999996E-2</v>
      </c>
      <c r="EB195" s="230">
        <v>2370200</v>
      </c>
      <c r="EC195" s="229">
        <v>4.1999999999999997E-3</v>
      </c>
      <c r="ED195" s="229">
        <v>9.5799999999999996E-2</v>
      </c>
      <c r="EE195" s="228">
        <v>14.35</v>
      </c>
      <c r="EF195" s="229">
        <v>4.4999999999999997E-3</v>
      </c>
      <c r="EG195" s="230">
        <v>837415</v>
      </c>
      <c r="EH195" s="230">
        <v>1069466</v>
      </c>
      <c r="EI195" s="229">
        <v>-0.217</v>
      </c>
      <c r="EJ195" s="229">
        <v>0.59240000000000004</v>
      </c>
      <c r="EK195" s="231">
        <v>2519.0700000000002</v>
      </c>
      <c r="EL195" s="231">
        <v>1264.92</v>
      </c>
      <c r="EM195" s="228">
        <v>575.47</v>
      </c>
      <c r="EN195" s="228">
        <v>123.42</v>
      </c>
      <c r="EO195" s="231">
        <v>4359.46</v>
      </c>
      <c r="EP195" s="231">
        <v>3943.71</v>
      </c>
      <c r="EQ195" s="228">
        <v>415.75</v>
      </c>
      <c r="ER195" s="229">
        <v>0.10539999999999999</v>
      </c>
      <c r="ES195" s="231">
        <v>3236.69</v>
      </c>
      <c r="ET195" s="231">
        <v>2413.46</v>
      </c>
      <c r="EU195" s="231">
        <v>8171.61</v>
      </c>
      <c r="EV195" s="231">
        <v>123298271</v>
      </c>
      <c r="EW195" s="231">
        <v>13821.77</v>
      </c>
      <c r="EX195" s="231">
        <v>13811.18</v>
      </c>
      <c r="EY195" s="228">
        <v>10.59</v>
      </c>
      <c r="EZ195" s="229">
        <v>8.0000000000000004E-4</v>
      </c>
      <c r="FA195" s="229">
        <v>0.34789999999999999</v>
      </c>
      <c r="FB195" s="227" t="s">
        <v>556</v>
      </c>
      <c r="FC195">
        <f t="shared" ref="FC195:FC258" si="4">BY261-CC261</f>
        <v>0</v>
      </c>
    </row>
    <row r="196" spans="1:159" ht="17.25" thickBot="1" x14ac:dyDescent="0.3">
      <c r="A196" s="226">
        <v>46008</v>
      </c>
      <c r="B196" s="227" t="s">
        <v>221</v>
      </c>
      <c r="C196" s="227" t="s">
        <v>296</v>
      </c>
      <c r="D196" s="228">
        <v>600</v>
      </c>
      <c r="E196" s="228">
        <v>13</v>
      </c>
      <c r="F196" s="231">
        <v>1582.6</v>
      </c>
      <c r="G196" s="231">
        <v>1580.4</v>
      </c>
      <c r="H196" s="228">
        <v>2.2000000000000002</v>
      </c>
      <c r="I196" s="229">
        <v>1.4E-3</v>
      </c>
      <c r="J196" s="231">
        <v>1579.4</v>
      </c>
      <c r="K196" s="231">
        <v>1578.2</v>
      </c>
      <c r="L196" s="228">
        <v>1.2</v>
      </c>
      <c r="M196" s="229">
        <v>8.0000000000000004E-4</v>
      </c>
      <c r="N196" s="231">
        <v>1582.6</v>
      </c>
      <c r="O196" s="231">
        <v>1580.4</v>
      </c>
      <c r="P196" s="228">
        <v>2.2000000000000002</v>
      </c>
      <c r="Q196" s="229">
        <v>1.4E-3</v>
      </c>
      <c r="R196" s="231">
        <v>1592.4</v>
      </c>
      <c r="S196" s="231">
        <v>1590.4</v>
      </c>
      <c r="T196" s="228">
        <v>2</v>
      </c>
      <c r="U196" s="229">
        <v>1.2999999999999999E-3</v>
      </c>
      <c r="V196" s="231">
        <v>1601</v>
      </c>
      <c r="W196" s="231">
        <v>1598.6</v>
      </c>
      <c r="X196" s="228">
        <v>2.4</v>
      </c>
      <c r="Y196" s="229">
        <v>1.5E-3</v>
      </c>
      <c r="Z196" s="228">
        <v>3.2</v>
      </c>
      <c r="AA196" s="228">
        <v>2.2000000000000002</v>
      </c>
      <c r="AB196" s="228">
        <v>1</v>
      </c>
      <c r="AC196" s="229">
        <v>2E-3</v>
      </c>
      <c r="AD196" s="228">
        <v>3.2</v>
      </c>
      <c r="AE196" s="228">
        <v>2.2000000000000002</v>
      </c>
      <c r="AF196" s="228">
        <v>1</v>
      </c>
      <c r="AG196" s="229">
        <v>2E-3</v>
      </c>
      <c r="AH196" s="228">
        <v>13</v>
      </c>
      <c r="AI196" s="228">
        <v>12.2</v>
      </c>
      <c r="AJ196" s="228">
        <v>0.8</v>
      </c>
      <c r="AK196" s="229">
        <v>8.2000000000000007E-3</v>
      </c>
      <c r="AL196" s="228">
        <v>21.6</v>
      </c>
      <c r="AM196" s="228">
        <v>20.399999999999999</v>
      </c>
      <c r="AN196" s="228">
        <v>1.2</v>
      </c>
      <c r="AO196" s="229">
        <v>1.37E-2</v>
      </c>
      <c r="AP196" s="231">
        <v>1583.26</v>
      </c>
      <c r="AQ196" s="231">
        <v>1594.31</v>
      </c>
      <c r="AR196" s="228">
        <v>0</v>
      </c>
      <c r="AS196" s="228">
        <v>176</v>
      </c>
      <c r="AT196" s="228">
        <v>361</v>
      </c>
      <c r="AU196" s="228">
        <v>-185</v>
      </c>
      <c r="AV196" s="229">
        <v>-0.51319999999999999</v>
      </c>
      <c r="AW196" s="228">
        <v>148</v>
      </c>
      <c r="AX196" s="228">
        <v>316</v>
      </c>
      <c r="AY196" s="228">
        <v>-168</v>
      </c>
      <c r="AZ196" s="229">
        <v>-0.53129999999999999</v>
      </c>
      <c r="BA196" s="228">
        <v>26</v>
      </c>
      <c r="BB196" s="228">
        <v>43</v>
      </c>
      <c r="BC196" s="228">
        <v>-17</v>
      </c>
      <c r="BD196" s="229">
        <v>-0.38950000000000001</v>
      </c>
      <c r="BE196" s="228">
        <v>1</v>
      </c>
      <c r="BF196" s="228">
        <v>1</v>
      </c>
      <c r="BG196" s="228">
        <v>0</v>
      </c>
      <c r="BH196" s="229">
        <v>-0.23080000000000001</v>
      </c>
      <c r="BI196" s="228">
        <v>653</v>
      </c>
      <c r="BJ196" s="228">
        <v>672</v>
      </c>
      <c r="BK196" s="228">
        <v>-19</v>
      </c>
      <c r="BL196" s="229">
        <v>-2.8000000000000001E-2</v>
      </c>
      <c r="BM196" s="228">
        <v>271</v>
      </c>
      <c r="BN196" s="228">
        <v>355</v>
      </c>
      <c r="BO196" s="228">
        <v>-84</v>
      </c>
      <c r="BP196" s="229">
        <v>-0.2361</v>
      </c>
      <c r="BQ196" s="230">
        <v>1100</v>
      </c>
      <c r="BR196" s="230">
        <v>1387</v>
      </c>
      <c r="BS196" s="228">
        <v>-288</v>
      </c>
      <c r="BT196" s="229">
        <v>-0.20730000000000001</v>
      </c>
      <c r="BU196" s="230">
        <v>594386</v>
      </c>
      <c r="BV196" s="230">
        <v>1217186</v>
      </c>
      <c r="BW196" s="230">
        <v>-622800</v>
      </c>
      <c r="BX196" s="229">
        <v>-0.51170000000000004</v>
      </c>
      <c r="BY196" s="230">
        <v>3452</v>
      </c>
      <c r="BZ196" s="230">
        <v>3445</v>
      </c>
      <c r="CA196" s="228">
        <v>7</v>
      </c>
      <c r="CB196" s="229">
        <v>2.2000000000000001E-3</v>
      </c>
      <c r="CC196" s="230">
        <v>3313</v>
      </c>
      <c r="CD196" s="230">
        <v>3317</v>
      </c>
      <c r="CE196" s="228">
        <v>-4</v>
      </c>
      <c r="CF196" s="229">
        <v>-1.1000000000000001E-3</v>
      </c>
      <c r="CG196" s="228">
        <v>130</v>
      </c>
      <c r="CH196" s="228">
        <v>119</v>
      </c>
      <c r="CI196" s="228">
        <v>11</v>
      </c>
      <c r="CJ196" s="229">
        <v>9.35E-2</v>
      </c>
      <c r="CK196" s="228">
        <v>9</v>
      </c>
      <c r="CL196" s="228">
        <v>9</v>
      </c>
      <c r="CM196" s="228">
        <v>0</v>
      </c>
      <c r="CN196" s="229">
        <v>0</v>
      </c>
      <c r="CO196" s="230">
        <v>1029</v>
      </c>
      <c r="CP196" s="228">
        <v>960</v>
      </c>
      <c r="CQ196" s="228">
        <v>69</v>
      </c>
      <c r="CR196" s="229">
        <v>7.1900000000000006E-2</v>
      </c>
      <c r="CS196" s="228">
        <v>785</v>
      </c>
      <c r="CT196" s="228">
        <v>753</v>
      </c>
      <c r="CU196" s="228">
        <v>32</v>
      </c>
      <c r="CV196" s="229">
        <v>4.2799999999999998E-2</v>
      </c>
      <c r="CW196" s="230">
        <v>5266</v>
      </c>
      <c r="CX196" s="230">
        <v>5158</v>
      </c>
      <c r="CY196" s="228">
        <v>109</v>
      </c>
      <c r="CZ196" s="229">
        <v>2.1100000000000001E-2</v>
      </c>
      <c r="DA196" s="228">
        <v>19.46</v>
      </c>
      <c r="DB196" s="228">
        <v>20.239999999999998</v>
      </c>
      <c r="DC196" s="228">
        <v>-0.78</v>
      </c>
      <c r="DD196" s="228">
        <v>-0.78</v>
      </c>
      <c r="DE196" s="228">
        <v>28.54</v>
      </c>
      <c r="DF196" s="228">
        <v>28.61</v>
      </c>
      <c r="DG196" s="228">
        <v>-9.08</v>
      </c>
      <c r="DH196" s="228">
        <v>-7.0000000000000007E-2</v>
      </c>
      <c r="DI196" s="228">
        <v>18.75</v>
      </c>
      <c r="DJ196" s="228">
        <v>19.71</v>
      </c>
      <c r="DK196" s="228">
        <v>-0.96</v>
      </c>
      <c r="DL196" s="228">
        <v>-0.96</v>
      </c>
      <c r="DM196" s="228">
        <v>21.2</v>
      </c>
      <c r="DN196" s="228">
        <v>21.23</v>
      </c>
      <c r="DO196" s="228">
        <v>-0.03</v>
      </c>
      <c r="DP196" s="228">
        <v>-0.03</v>
      </c>
      <c r="DQ196" s="228">
        <v>0.76</v>
      </c>
      <c r="DR196" s="228">
        <v>0.78</v>
      </c>
      <c r="DS196" s="228">
        <v>-0.02</v>
      </c>
      <c r="DT196" s="229">
        <v>-2.5600000000000001E-2</v>
      </c>
      <c r="DU196" s="231">
        <v>1600</v>
      </c>
      <c r="DV196" s="231">
        <v>1500</v>
      </c>
      <c r="DW196" s="228">
        <v>0.41</v>
      </c>
      <c r="DX196" s="228">
        <v>0.53</v>
      </c>
      <c r="DY196" s="228">
        <v>-0.12</v>
      </c>
      <c r="DZ196" s="229">
        <v>-0.22639999999999999</v>
      </c>
      <c r="EA196" s="229">
        <v>4.0300000000000002E-2</v>
      </c>
      <c r="EB196" s="230">
        <v>808800</v>
      </c>
      <c r="EC196" s="229">
        <v>6.1999999999999998E-3</v>
      </c>
      <c r="ED196" s="229">
        <v>4.0300000000000002E-2</v>
      </c>
      <c r="EE196" s="228">
        <v>11.05</v>
      </c>
      <c r="EF196" s="229">
        <v>7.0000000000000001E-3</v>
      </c>
      <c r="EG196" s="230">
        <v>305508</v>
      </c>
      <c r="EH196" s="230">
        <v>791728</v>
      </c>
      <c r="EI196" s="229">
        <v>-0.61409999999999998</v>
      </c>
      <c r="EJ196" s="229">
        <v>0.51400000000000001</v>
      </c>
      <c r="EK196" s="228">
        <v>670.22</v>
      </c>
      <c r="EL196" s="228">
        <v>265.27</v>
      </c>
      <c r="EM196" s="228">
        <v>175.84</v>
      </c>
      <c r="EN196" s="228">
        <v>34.4</v>
      </c>
      <c r="EO196" s="231">
        <v>1111.33</v>
      </c>
      <c r="EP196" s="231">
        <v>1397.85</v>
      </c>
      <c r="EQ196" s="228">
        <v>-286.52</v>
      </c>
      <c r="ER196" s="229">
        <v>-0.20499999999999999</v>
      </c>
      <c r="ES196" s="231">
        <v>1044.76</v>
      </c>
      <c r="ET196" s="228">
        <v>732.12</v>
      </c>
      <c r="EU196" s="231">
        <v>3452.85</v>
      </c>
      <c r="EV196" s="231">
        <v>76137451</v>
      </c>
      <c r="EW196" s="231">
        <v>5229.7299999999996</v>
      </c>
      <c r="EX196" s="231">
        <v>5116.42</v>
      </c>
      <c r="EY196" s="228">
        <v>113.31</v>
      </c>
      <c r="EZ196" s="229">
        <v>2.2100000000000002E-2</v>
      </c>
      <c r="FA196" s="229">
        <v>0.437</v>
      </c>
      <c r="FB196" s="227" t="s">
        <v>555</v>
      </c>
      <c r="FC196">
        <f t="shared" si="4"/>
        <v>0</v>
      </c>
    </row>
    <row r="197" spans="1:159" ht="17.25" thickBot="1" x14ac:dyDescent="0.3">
      <c r="A197" s="226">
        <v>46008</v>
      </c>
      <c r="B197" s="227" t="s">
        <v>184</v>
      </c>
      <c r="C197" s="227" t="s">
        <v>595</v>
      </c>
      <c r="D197" s="228">
        <v>200</v>
      </c>
      <c r="E197" s="228">
        <v>13</v>
      </c>
      <c r="F197" s="231">
        <v>2623.6</v>
      </c>
      <c r="G197" s="231">
        <v>2627</v>
      </c>
      <c r="H197" s="228">
        <v>-3.4</v>
      </c>
      <c r="I197" s="229">
        <v>-1.2999999999999999E-3</v>
      </c>
      <c r="J197" s="231">
        <v>2614.1</v>
      </c>
      <c r="K197" s="231">
        <v>2622.4</v>
      </c>
      <c r="L197" s="228">
        <v>-8.3000000000000007</v>
      </c>
      <c r="M197" s="229">
        <v>-3.2000000000000002E-3</v>
      </c>
      <c r="N197" s="231">
        <v>2623.6</v>
      </c>
      <c r="O197" s="231">
        <v>2627</v>
      </c>
      <c r="P197" s="228">
        <v>-3.4</v>
      </c>
      <c r="Q197" s="229">
        <v>-1.2999999999999999E-3</v>
      </c>
      <c r="R197" s="231">
        <v>2637</v>
      </c>
      <c r="S197" s="231">
        <v>2643.2</v>
      </c>
      <c r="T197" s="228">
        <v>-6.2</v>
      </c>
      <c r="U197" s="229">
        <v>-2.3E-3</v>
      </c>
      <c r="V197" s="231">
        <v>2647</v>
      </c>
      <c r="W197" s="231">
        <v>2654.1</v>
      </c>
      <c r="X197" s="228">
        <v>-7.1</v>
      </c>
      <c r="Y197" s="229">
        <v>-2.7000000000000001E-3</v>
      </c>
      <c r="Z197" s="228">
        <v>9.5</v>
      </c>
      <c r="AA197" s="228">
        <v>4.5999999999999996</v>
      </c>
      <c r="AB197" s="228">
        <v>4.9000000000000004</v>
      </c>
      <c r="AC197" s="229">
        <v>3.5999999999999999E-3</v>
      </c>
      <c r="AD197" s="228">
        <v>9.5</v>
      </c>
      <c r="AE197" s="228">
        <v>4.5999999999999996</v>
      </c>
      <c r="AF197" s="228">
        <v>4.9000000000000004</v>
      </c>
      <c r="AG197" s="229">
        <v>3.5999999999999999E-3</v>
      </c>
      <c r="AH197" s="228">
        <v>22.9</v>
      </c>
      <c r="AI197" s="228">
        <v>20.8</v>
      </c>
      <c r="AJ197" s="228">
        <v>2.1</v>
      </c>
      <c r="AK197" s="229">
        <v>8.8000000000000005E-3</v>
      </c>
      <c r="AL197" s="228">
        <v>32.9</v>
      </c>
      <c r="AM197" s="228">
        <v>31.7</v>
      </c>
      <c r="AN197" s="228">
        <v>1.2</v>
      </c>
      <c r="AO197" s="229">
        <v>1.26E-2</v>
      </c>
      <c r="AP197" s="231">
        <v>2633.27</v>
      </c>
      <c r="AQ197" s="231">
        <v>2644.12</v>
      </c>
      <c r="AR197" s="228">
        <v>0</v>
      </c>
      <c r="AS197" s="228">
        <v>76</v>
      </c>
      <c r="AT197" s="228">
        <v>50</v>
      </c>
      <c r="AU197" s="228">
        <v>26</v>
      </c>
      <c r="AV197" s="229">
        <v>0.52959999999999996</v>
      </c>
      <c r="AW197" s="228">
        <v>59</v>
      </c>
      <c r="AX197" s="228">
        <v>41</v>
      </c>
      <c r="AY197" s="228">
        <v>18</v>
      </c>
      <c r="AZ197" s="229">
        <v>0.43880000000000002</v>
      </c>
      <c r="BA197" s="228">
        <v>16</v>
      </c>
      <c r="BB197" s="228">
        <v>8</v>
      </c>
      <c r="BC197" s="228">
        <v>8</v>
      </c>
      <c r="BD197" s="229">
        <v>1.0325</v>
      </c>
      <c r="BE197" s="228">
        <v>0</v>
      </c>
      <c r="BF197" s="228">
        <v>0</v>
      </c>
      <c r="BG197" s="228">
        <v>0</v>
      </c>
      <c r="BH197" s="229">
        <v>-0.25</v>
      </c>
      <c r="BI197" s="228">
        <v>303</v>
      </c>
      <c r="BJ197" s="228">
        <v>181</v>
      </c>
      <c r="BK197" s="228">
        <v>121</v>
      </c>
      <c r="BL197" s="229">
        <v>0.66910000000000003</v>
      </c>
      <c r="BM197" s="228">
        <v>65</v>
      </c>
      <c r="BN197" s="228">
        <v>48</v>
      </c>
      <c r="BO197" s="228">
        <v>17</v>
      </c>
      <c r="BP197" s="229">
        <v>0.35870000000000002</v>
      </c>
      <c r="BQ197" s="228">
        <v>443</v>
      </c>
      <c r="BR197" s="228">
        <v>278</v>
      </c>
      <c r="BS197" s="228">
        <v>165</v>
      </c>
      <c r="BT197" s="229">
        <v>0.59119999999999995</v>
      </c>
      <c r="BU197" s="230">
        <v>183154</v>
      </c>
      <c r="BV197" s="230">
        <v>162442</v>
      </c>
      <c r="BW197" s="230">
        <v>20712</v>
      </c>
      <c r="BX197" s="229">
        <v>0.1275</v>
      </c>
      <c r="BY197" s="228">
        <v>836</v>
      </c>
      <c r="BZ197" s="228">
        <v>827</v>
      </c>
      <c r="CA197" s="228">
        <v>10</v>
      </c>
      <c r="CB197" s="229">
        <v>1.15E-2</v>
      </c>
      <c r="CC197" s="228">
        <v>792</v>
      </c>
      <c r="CD197" s="228">
        <v>791</v>
      </c>
      <c r="CE197" s="228">
        <v>1</v>
      </c>
      <c r="CF197" s="229">
        <v>1.6000000000000001E-3</v>
      </c>
      <c r="CG197" s="228">
        <v>40</v>
      </c>
      <c r="CH197" s="228">
        <v>31</v>
      </c>
      <c r="CI197" s="228">
        <v>8</v>
      </c>
      <c r="CJ197" s="229">
        <v>0.26340000000000002</v>
      </c>
      <c r="CK197" s="228">
        <v>5</v>
      </c>
      <c r="CL197" s="228">
        <v>5</v>
      </c>
      <c r="CM197" s="228">
        <v>0</v>
      </c>
      <c r="CN197" s="229">
        <v>1.1599999999999999E-2</v>
      </c>
      <c r="CO197" s="228">
        <v>415</v>
      </c>
      <c r="CP197" s="228">
        <v>412</v>
      </c>
      <c r="CQ197" s="228">
        <v>3</v>
      </c>
      <c r="CR197" s="229">
        <v>7.1000000000000004E-3</v>
      </c>
      <c r="CS197" s="228">
        <v>250</v>
      </c>
      <c r="CT197" s="228">
        <v>251</v>
      </c>
      <c r="CU197" s="228">
        <v>-1</v>
      </c>
      <c r="CV197" s="229">
        <v>-4.4000000000000003E-3</v>
      </c>
      <c r="CW197" s="230">
        <v>1502</v>
      </c>
      <c r="CX197" s="230">
        <v>1490</v>
      </c>
      <c r="CY197" s="228">
        <v>11</v>
      </c>
      <c r="CZ197" s="229">
        <v>7.6E-3</v>
      </c>
      <c r="DA197" s="228">
        <v>28.32</v>
      </c>
      <c r="DB197" s="228">
        <v>29.69</v>
      </c>
      <c r="DC197" s="228">
        <v>-1.37</v>
      </c>
      <c r="DD197" s="228">
        <v>-1.37</v>
      </c>
      <c r="DE197" s="228">
        <v>40.729999999999997</v>
      </c>
      <c r="DF197" s="228">
        <v>40.840000000000003</v>
      </c>
      <c r="DG197" s="228">
        <v>-12.41</v>
      </c>
      <c r="DH197" s="228">
        <v>-0.11</v>
      </c>
      <c r="DI197" s="228">
        <v>28.52</v>
      </c>
      <c r="DJ197" s="228">
        <v>30.4</v>
      </c>
      <c r="DK197" s="228">
        <v>-1.88</v>
      </c>
      <c r="DL197" s="228">
        <v>-1.88</v>
      </c>
      <c r="DM197" s="228">
        <v>27.39</v>
      </c>
      <c r="DN197" s="228">
        <v>27.01</v>
      </c>
      <c r="DO197" s="228">
        <v>0.38</v>
      </c>
      <c r="DP197" s="228">
        <v>0.38</v>
      </c>
      <c r="DQ197" s="228">
        <v>0.6</v>
      </c>
      <c r="DR197" s="228">
        <v>0.61</v>
      </c>
      <c r="DS197" s="228">
        <v>-0.01</v>
      </c>
      <c r="DT197" s="229">
        <v>-1.6400000000000001E-2</v>
      </c>
      <c r="DU197" s="231">
        <v>2800</v>
      </c>
      <c r="DV197" s="231">
        <v>2500</v>
      </c>
      <c r="DW197" s="228">
        <v>0.21</v>
      </c>
      <c r="DX197" s="228">
        <v>0.26</v>
      </c>
      <c r="DY197" s="228">
        <v>-0.05</v>
      </c>
      <c r="DZ197" s="229">
        <v>-0.1923</v>
      </c>
      <c r="EA197" s="229">
        <v>5.2699999999999997E-2</v>
      </c>
      <c r="EB197" s="230">
        <v>136400</v>
      </c>
      <c r="EC197" s="229">
        <v>5.1000000000000004E-3</v>
      </c>
      <c r="ED197" s="229">
        <v>5.2699999999999997E-2</v>
      </c>
      <c r="EE197" s="228">
        <v>10.85</v>
      </c>
      <c r="EF197" s="229">
        <v>4.1000000000000003E-3</v>
      </c>
      <c r="EG197" s="230">
        <v>99360</v>
      </c>
      <c r="EH197" s="230">
        <v>89187</v>
      </c>
      <c r="EI197" s="229">
        <v>0.11409999999999999</v>
      </c>
      <c r="EJ197" s="229">
        <v>0.54249999999999998</v>
      </c>
      <c r="EK197" s="228">
        <v>318.83999999999997</v>
      </c>
      <c r="EL197" s="228">
        <v>64.19</v>
      </c>
      <c r="EM197" s="228">
        <v>76.28</v>
      </c>
      <c r="EN197" s="228">
        <v>21.19</v>
      </c>
      <c r="EO197" s="228">
        <v>459.3</v>
      </c>
      <c r="EP197" s="228">
        <v>291.68</v>
      </c>
      <c r="EQ197" s="228">
        <v>167.62</v>
      </c>
      <c r="ER197" s="229">
        <v>0.57469999999999999</v>
      </c>
      <c r="ES197" s="228">
        <v>451.25</v>
      </c>
      <c r="ET197" s="228">
        <v>252.93</v>
      </c>
      <c r="EU197" s="228">
        <v>836.7</v>
      </c>
      <c r="EV197" s="231">
        <v>14039249</v>
      </c>
      <c r="EW197" s="231">
        <v>1540.88</v>
      </c>
      <c r="EX197" s="231">
        <v>1531.95</v>
      </c>
      <c r="EY197" s="228">
        <v>8.93</v>
      </c>
      <c r="EZ197" s="229">
        <v>5.7999999999999996E-3</v>
      </c>
      <c r="FA197" s="229">
        <v>0.40770000000000001</v>
      </c>
      <c r="FB197" s="227" t="s">
        <v>567</v>
      </c>
      <c r="FC197">
        <f t="shared" si="4"/>
        <v>0</v>
      </c>
    </row>
    <row r="198" spans="1:159" ht="17.25" thickBot="1" x14ac:dyDescent="0.3">
      <c r="A198" s="226">
        <v>46008</v>
      </c>
      <c r="B198" s="227" t="s">
        <v>184</v>
      </c>
      <c r="C198" s="227" t="s">
        <v>663</v>
      </c>
      <c r="D198" s="228">
        <v>725</v>
      </c>
      <c r="E198" s="228">
        <v>13</v>
      </c>
      <c r="F198" s="228">
        <v>775.3</v>
      </c>
      <c r="G198" s="228">
        <v>789.75</v>
      </c>
      <c r="H198" s="228">
        <v>-14.45</v>
      </c>
      <c r="I198" s="229">
        <v>-1.83E-2</v>
      </c>
      <c r="J198" s="228">
        <v>774.55</v>
      </c>
      <c r="K198" s="228">
        <v>789.8</v>
      </c>
      <c r="L198" s="228">
        <v>-15.25</v>
      </c>
      <c r="M198" s="229">
        <v>-1.9300000000000001E-2</v>
      </c>
      <c r="N198" s="228">
        <v>775.3</v>
      </c>
      <c r="O198" s="228">
        <v>789.75</v>
      </c>
      <c r="P198" s="228">
        <v>-14.45</v>
      </c>
      <c r="Q198" s="229">
        <v>-1.83E-2</v>
      </c>
      <c r="R198" s="228">
        <v>0</v>
      </c>
      <c r="S198" s="228">
        <v>0</v>
      </c>
      <c r="T198" s="228">
        <v>0</v>
      </c>
      <c r="U198" s="229">
        <v>0</v>
      </c>
      <c r="V198" s="228">
        <v>0</v>
      </c>
      <c r="W198" s="228">
        <v>0</v>
      </c>
      <c r="X198" s="228">
        <v>0</v>
      </c>
      <c r="Y198" s="229">
        <v>0</v>
      </c>
      <c r="Z198" s="228">
        <v>0.75</v>
      </c>
      <c r="AA198" s="228">
        <v>-0.05</v>
      </c>
      <c r="AB198" s="228">
        <v>0.8</v>
      </c>
      <c r="AC198" s="229">
        <v>1E-3</v>
      </c>
      <c r="AD198" s="228">
        <v>0.75</v>
      </c>
      <c r="AE198" s="228">
        <v>-0.05</v>
      </c>
      <c r="AF198" s="228">
        <v>0.8</v>
      </c>
      <c r="AG198" s="229">
        <v>1E-3</v>
      </c>
      <c r="AH198" s="228">
        <v>0</v>
      </c>
      <c r="AI198" s="228">
        <v>0</v>
      </c>
      <c r="AJ198" s="228">
        <v>0</v>
      </c>
      <c r="AK198" s="229">
        <v>0</v>
      </c>
      <c r="AL198" s="228">
        <v>0</v>
      </c>
      <c r="AM198" s="228">
        <v>0</v>
      </c>
      <c r="AN198" s="228">
        <v>0</v>
      </c>
      <c r="AO198" s="229">
        <v>0</v>
      </c>
      <c r="AP198" s="228">
        <v>780.11</v>
      </c>
      <c r="AQ198" s="228">
        <v>0</v>
      </c>
      <c r="AR198" s="228">
        <v>0</v>
      </c>
      <c r="AS198" s="228">
        <v>49</v>
      </c>
      <c r="AT198" s="228">
        <v>67</v>
      </c>
      <c r="AU198" s="228">
        <v>-18</v>
      </c>
      <c r="AV198" s="229">
        <v>-0.27189999999999998</v>
      </c>
      <c r="AW198" s="228">
        <v>49</v>
      </c>
      <c r="AX198" s="228">
        <v>67</v>
      </c>
      <c r="AY198" s="228">
        <v>-18</v>
      </c>
      <c r="AZ198" s="229">
        <v>-0.27189999999999998</v>
      </c>
      <c r="BA198" s="228">
        <v>0</v>
      </c>
      <c r="BB198" s="228">
        <v>0</v>
      </c>
      <c r="BC198" s="228">
        <v>0</v>
      </c>
      <c r="BD198" s="229">
        <v>0</v>
      </c>
      <c r="BE198" s="228">
        <v>0</v>
      </c>
      <c r="BF198" s="228">
        <v>0</v>
      </c>
      <c r="BG198" s="228">
        <v>0</v>
      </c>
      <c r="BH198" s="229">
        <v>0</v>
      </c>
      <c r="BI198" s="228">
        <v>168</v>
      </c>
      <c r="BJ198" s="228">
        <v>160</v>
      </c>
      <c r="BK198" s="228">
        <v>7</v>
      </c>
      <c r="BL198" s="229">
        <v>4.6300000000000001E-2</v>
      </c>
      <c r="BM198" s="228">
        <v>71</v>
      </c>
      <c r="BN198" s="228">
        <v>49</v>
      </c>
      <c r="BO198" s="228">
        <v>22</v>
      </c>
      <c r="BP198" s="229">
        <v>0.45319999999999999</v>
      </c>
      <c r="BQ198" s="228">
        <v>287</v>
      </c>
      <c r="BR198" s="228">
        <v>276</v>
      </c>
      <c r="BS198" s="228">
        <v>11</v>
      </c>
      <c r="BT198" s="229">
        <v>4.0300000000000002E-2</v>
      </c>
      <c r="BU198" s="230">
        <v>421010</v>
      </c>
      <c r="BV198" s="230">
        <v>565087</v>
      </c>
      <c r="BW198" s="230">
        <v>-144077</v>
      </c>
      <c r="BX198" s="229">
        <v>-0.255</v>
      </c>
      <c r="BY198" s="228">
        <v>426</v>
      </c>
      <c r="BZ198" s="228">
        <v>424</v>
      </c>
      <c r="CA198" s="228">
        <v>2</v>
      </c>
      <c r="CB198" s="229">
        <v>4.4999999999999997E-3</v>
      </c>
      <c r="CC198" s="228">
        <v>426</v>
      </c>
      <c r="CD198" s="228">
        <v>424</v>
      </c>
      <c r="CE198" s="228">
        <v>2</v>
      </c>
      <c r="CF198" s="229">
        <v>4.4999999999999997E-3</v>
      </c>
      <c r="CG198" s="228">
        <v>0</v>
      </c>
      <c r="CH198" s="228">
        <v>0</v>
      </c>
      <c r="CI198" s="228">
        <v>0</v>
      </c>
      <c r="CJ198" s="229">
        <v>0</v>
      </c>
      <c r="CK198" s="228">
        <v>0</v>
      </c>
      <c r="CL198" s="228">
        <v>0</v>
      </c>
      <c r="CM198" s="228">
        <v>0</v>
      </c>
      <c r="CN198" s="229">
        <v>0</v>
      </c>
      <c r="CO198" s="228">
        <v>294</v>
      </c>
      <c r="CP198" s="228">
        <v>290</v>
      </c>
      <c r="CQ198" s="228">
        <v>4</v>
      </c>
      <c r="CR198" s="229">
        <v>1.26E-2</v>
      </c>
      <c r="CS198" s="228">
        <v>146</v>
      </c>
      <c r="CT198" s="228">
        <v>147</v>
      </c>
      <c r="CU198" s="228">
        <v>-1</v>
      </c>
      <c r="CV198" s="229">
        <v>-8.0000000000000002E-3</v>
      </c>
      <c r="CW198" s="228">
        <v>866</v>
      </c>
      <c r="CX198" s="228">
        <v>861</v>
      </c>
      <c r="CY198" s="228">
        <v>4</v>
      </c>
      <c r="CZ198" s="229">
        <v>5.1000000000000004E-3</v>
      </c>
      <c r="DA198" s="228">
        <v>33.15</v>
      </c>
      <c r="DB198" s="228">
        <v>33.85</v>
      </c>
      <c r="DC198" s="228">
        <v>-0.7</v>
      </c>
      <c r="DD198" s="228">
        <v>-0.7</v>
      </c>
      <c r="DE198" s="228">
        <v>52.02</v>
      </c>
      <c r="DF198" s="228">
        <v>52.09</v>
      </c>
      <c r="DG198" s="228">
        <v>-18.87</v>
      </c>
      <c r="DH198" s="228">
        <v>-7.0000000000000007E-2</v>
      </c>
      <c r="DI198" s="228">
        <v>33.75</v>
      </c>
      <c r="DJ198" s="228">
        <v>33.6</v>
      </c>
      <c r="DK198" s="228">
        <v>0.15</v>
      </c>
      <c r="DL198" s="228">
        <v>0.15</v>
      </c>
      <c r="DM198" s="228">
        <v>31.73</v>
      </c>
      <c r="DN198" s="228">
        <v>34.65</v>
      </c>
      <c r="DO198" s="228">
        <v>-2.92</v>
      </c>
      <c r="DP198" s="228">
        <v>-2.92</v>
      </c>
      <c r="DQ198" s="228">
        <v>0.5</v>
      </c>
      <c r="DR198" s="228">
        <v>0.51</v>
      </c>
      <c r="DS198" s="228">
        <v>-0.01</v>
      </c>
      <c r="DT198" s="229">
        <v>-1.9599999999999999E-2</v>
      </c>
      <c r="DU198" s="228">
        <v>840</v>
      </c>
      <c r="DV198" s="228">
        <v>800</v>
      </c>
      <c r="DW198" s="228">
        <v>0.42</v>
      </c>
      <c r="DX198" s="228">
        <v>0.3</v>
      </c>
      <c r="DY198" s="228">
        <v>0.12</v>
      </c>
      <c r="DZ198" s="229">
        <v>0.4</v>
      </c>
      <c r="EA198" s="229">
        <v>0</v>
      </c>
      <c r="EB198" s="228">
        <v>0</v>
      </c>
      <c r="EC198" s="229">
        <v>0</v>
      </c>
      <c r="ED198" s="229">
        <v>0</v>
      </c>
      <c r="EE198" s="228">
        <v>0</v>
      </c>
      <c r="EF198" s="229">
        <v>0</v>
      </c>
      <c r="EG198" s="230">
        <v>121735</v>
      </c>
      <c r="EH198" s="230">
        <v>236835</v>
      </c>
      <c r="EI198" s="229">
        <v>-0.48599999999999999</v>
      </c>
      <c r="EJ198" s="229">
        <v>0.28910000000000002</v>
      </c>
      <c r="EK198" s="228">
        <v>180.43</v>
      </c>
      <c r="EL198" s="228">
        <v>70.14</v>
      </c>
      <c r="EM198" s="228">
        <v>49.38</v>
      </c>
      <c r="EN198" s="228">
        <v>11.39</v>
      </c>
      <c r="EO198" s="228">
        <v>299.95</v>
      </c>
      <c r="EP198" s="228">
        <v>289.88</v>
      </c>
      <c r="EQ198" s="228">
        <v>10.07</v>
      </c>
      <c r="ER198" s="229">
        <v>3.4700000000000002E-2</v>
      </c>
      <c r="ES198" s="228">
        <v>327.33999999999997</v>
      </c>
      <c r="ET198" s="228">
        <v>147.80000000000001</v>
      </c>
      <c r="EU198" s="228">
        <v>426.18</v>
      </c>
      <c r="EV198" s="231">
        <v>12028036</v>
      </c>
      <c r="EW198" s="228">
        <v>901.32</v>
      </c>
      <c r="EX198" s="228">
        <v>905.37</v>
      </c>
      <c r="EY198" s="228">
        <v>-4.05</v>
      </c>
      <c r="EZ198" s="229">
        <v>-4.4999999999999997E-3</v>
      </c>
      <c r="FA198" s="229">
        <v>0.9284</v>
      </c>
      <c r="FB198" s="227" t="s">
        <v>567</v>
      </c>
      <c r="FC198">
        <f t="shared" si="4"/>
        <v>0</v>
      </c>
    </row>
    <row r="199" spans="1:159" ht="17.25" thickBot="1" x14ac:dyDescent="0.3">
      <c r="A199" s="226">
        <v>46008</v>
      </c>
      <c r="B199" s="227" t="s">
        <v>168</v>
      </c>
      <c r="C199" s="227" t="s">
        <v>297</v>
      </c>
      <c r="D199" s="228">
        <v>175</v>
      </c>
      <c r="E199" s="228">
        <v>13</v>
      </c>
      <c r="F199" s="231">
        <v>3912.7</v>
      </c>
      <c r="G199" s="231">
        <v>3935.9</v>
      </c>
      <c r="H199" s="228">
        <v>-23.2</v>
      </c>
      <c r="I199" s="229">
        <v>-5.8999999999999999E-3</v>
      </c>
      <c r="J199" s="231">
        <v>3907.9</v>
      </c>
      <c r="K199" s="231">
        <v>3929.5</v>
      </c>
      <c r="L199" s="228">
        <v>-21.6</v>
      </c>
      <c r="M199" s="229">
        <v>-5.4999999999999997E-3</v>
      </c>
      <c r="N199" s="231">
        <v>3912.7</v>
      </c>
      <c r="O199" s="231">
        <v>3935.9</v>
      </c>
      <c r="P199" s="228">
        <v>-23.2</v>
      </c>
      <c r="Q199" s="229">
        <v>-5.8999999999999999E-3</v>
      </c>
      <c r="R199" s="231">
        <v>3935.8</v>
      </c>
      <c r="S199" s="231">
        <v>3960.7</v>
      </c>
      <c r="T199" s="228">
        <v>-24.9</v>
      </c>
      <c r="U199" s="229">
        <v>-6.3E-3</v>
      </c>
      <c r="V199" s="231">
        <v>3956.4</v>
      </c>
      <c r="W199" s="231">
        <v>3979.9</v>
      </c>
      <c r="X199" s="228">
        <v>-23.5</v>
      </c>
      <c r="Y199" s="229">
        <v>-5.8999999999999999E-3</v>
      </c>
      <c r="Z199" s="228">
        <v>4.8</v>
      </c>
      <c r="AA199" s="228">
        <v>6.4</v>
      </c>
      <c r="AB199" s="228">
        <v>-1.6</v>
      </c>
      <c r="AC199" s="229">
        <v>1.1999999999999999E-3</v>
      </c>
      <c r="AD199" s="228">
        <v>4.8</v>
      </c>
      <c r="AE199" s="228">
        <v>6.4</v>
      </c>
      <c r="AF199" s="228">
        <v>-1.6</v>
      </c>
      <c r="AG199" s="229">
        <v>1.1999999999999999E-3</v>
      </c>
      <c r="AH199" s="228">
        <v>27.9</v>
      </c>
      <c r="AI199" s="228">
        <v>31.2</v>
      </c>
      <c r="AJ199" s="228">
        <v>-3.3</v>
      </c>
      <c r="AK199" s="229">
        <v>7.1000000000000004E-3</v>
      </c>
      <c r="AL199" s="228">
        <v>48.5</v>
      </c>
      <c r="AM199" s="228">
        <v>50.4</v>
      </c>
      <c r="AN199" s="228">
        <v>-1.9</v>
      </c>
      <c r="AO199" s="229">
        <v>1.24E-2</v>
      </c>
      <c r="AP199" s="231">
        <v>3917.85</v>
      </c>
      <c r="AQ199" s="231">
        <v>3941.68</v>
      </c>
      <c r="AR199" s="228">
        <v>0</v>
      </c>
      <c r="AS199" s="228">
        <v>459</v>
      </c>
      <c r="AT199" s="228">
        <v>899</v>
      </c>
      <c r="AU199" s="228">
        <v>-440</v>
      </c>
      <c r="AV199" s="229">
        <v>-0.4894</v>
      </c>
      <c r="AW199" s="228">
        <v>326</v>
      </c>
      <c r="AX199" s="228">
        <v>742</v>
      </c>
      <c r="AY199" s="228">
        <v>-415</v>
      </c>
      <c r="AZ199" s="229">
        <v>-0.56010000000000004</v>
      </c>
      <c r="BA199" s="228">
        <v>129</v>
      </c>
      <c r="BB199" s="228">
        <v>144</v>
      </c>
      <c r="BC199" s="228">
        <v>-15</v>
      </c>
      <c r="BD199" s="229">
        <v>-0.10150000000000001</v>
      </c>
      <c r="BE199" s="228">
        <v>4</v>
      </c>
      <c r="BF199" s="228">
        <v>13</v>
      </c>
      <c r="BG199" s="228">
        <v>-10</v>
      </c>
      <c r="BH199" s="229">
        <v>-0.73329999999999995</v>
      </c>
      <c r="BI199" s="230">
        <v>2178</v>
      </c>
      <c r="BJ199" s="230">
        <v>4807</v>
      </c>
      <c r="BK199" s="230">
        <v>-2629</v>
      </c>
      <c r="BL199" s="229">
        <v>-0.54690000000000005</v>
      </c>
      <c r="BM199" s="230">
        <v>1384</v>
      </c>
      <c r="BN199" s="230">
        <v>1804</v>
      </c>
      <c r="BO199" s="228">
        <v>-420</v>
      </c>
      <c r="BP199" s="229">
        <v>-0.23269999999999999</v>
      </c>
      <c r="BQ199" s="230">
        <v>4021</v>
      </c>
      <c r="BR199" s="230">
        <v>7509</v>
      </c>
      <c r="BS199" s="230">
        <v>-3489</v>
      </c>
      <c r="BT199" s="229">
        <v>-0.46460000000000001</v>
      </c>
      <c r="BU199" s="230">
        <v>690049</v>
      </c>
      <c r="BV199" s="230">
        <v>1574356</v>
      </c>
      <c r="BW199" s="230">
        <v>-884307</v>
      </c>
      <c r="BX199" s="229">
        <v>-0.56169999999999998</v>
      </c>
      <c r="BY199" s="230">
        <v>3645</v>
      </c>
      <c r="BZ199" s="230">
        <v>3624</v>
      </c>
      <c r="CA199" s="228">
        <v>21</v>
      </c>
      <c r="CB199" s="229">
        <v>5.8999999999999999E-3</v>
      </c>
      <c r="CC199" s="230">
        <v>3191</v>
      </c>
      <c r="CD199" s="230">
        <v>3274</v>
      </c>
      <c r="CE199" s="228">
        <v>-83</v>
      </c>
      <c r="CF199" s="229">
        <v>-2.5499999999999998E-2</v>
      </c>
      <c r="CG199" s="228">
        <v>411</v>
      </c>
      <c r="CH199" s="228">
        <v>306</v>
      </c>
      <c r="CI199" s="228">
        <v>105</v>
      </c>
      <c r="CJ199" s="229">
        <v>0.34420000000000001</v>
      </c>
      <c r="CK199" s="228">
        <v>43</v>
      </c>
      <c r="CL199" s="228">
        <v>44</v>
      </c>
      <c r="CM199" s="228">
        <v>-1</v>
      </c>
      <c r="CN199" s="229">
        <v>-1.4E-2</v>
      </c>
      <c r="CO199" s="230">
        <v>1468</v>
      </c>
      <c r="CP199" s="230">
        <v>1496</v>
      </c>
      <c r="CQ199" s="228">
        <v>-27</v>
      </c>
      <c r="CR199" s="229">
        <v>-1.83E-2</v>
      </c>
      <c r="CS199" s="228">
        <v>904</v>
      </c>
      <c r="CT199" s="230">
        <v>1015</v>
      </c>
      <c r="CU199" s="228">
        <v>-111</v>
      </c>
      <c r="CV199" s="229">
        <v>-0.1095</v>
      </c>
      <c r="CW199" s="230">
        <v>6017</v>
      </c>
      <c r="CX199" s="230">
        <v>6134</v>
      </c>
      <c r="CY199" s="228">
        <v>-117</v>
      </c>
      <c r="CZ199" s="229">
        <v>-1.9099999999999999E-2</v>
      </c>
      <c r="DA199" s="228">
        <v>16.46</v>
      </c>
      <c r="DB199" s="228">
        <v>16.47</v>
      </c>
      <c r="DC199" s="228">
        <v>-0.01</v>
      </c>
      <c r="DD199" s="228">
        <v>-0.01</v>
      </c>
      <c r="DE199" s="228">
        <v>24.81</v>
      </c>
      <c r="DF199" s="228">
        <v>24.86</v>
      </c>
      <c r="DG199" s="228">
        <v>-8.35</v>
      </c>
      <c r="DH199" s="228">
        <v>-0.05</v>
      </c>
      <c r="DI199" s="228">
        <v>16.16</v>
      </c>
      <c r="DJ199" s="228">
        <v>16.03</v>
      </c>
      <c r="DK199" s="228">
        <v>0.13</v>
      </c>
      <c r="DL199" s="228">
        <v>0.13</v>
      </c>
      <c r="DM199" s="228">
        <v>16.940000000000001</v>
      </c>
      <c r="DN199" s="228">
        <v>17.62</v>
      </c>
      <c r="DO199" s="228">
        <v>-0.68</v>
      </c>
      <c r="DP199" s="228">
        <v>-0.68</v>
      </c>
      <c r="DQ199" s="228">
        <v>0.62</v>
      </c>
      <c r="DR199" s="228">
        <v>0.68</v>
      </c>
      <c r="DS199" s="228">
        <v>-0.06</v>
      </c>
      <c r="DT199" s="229">
        <v>-8.8200000000000001E-2</v>
      </c>
      <c r="DU199" s="231">
        <v>4000</v>
      </c>
      <c r="DV199" s="231">
        <v>3800</v>
      </c>
      <c r="DW199" s="228">
        <v>0.64</v>
      </c>
      <c r="DX199" s="228">
        <v>0.38</v>
      </c>
      <c r="DY199" s="228">
        <v>0.26</v>
      </c>
      <c r="DZ199" s="229">
        <v>0.68420000000000003</v>
      </c>
      <c r="EA199" s="229">
        <v>0.12470000000000001</v>
      </c>
      <c r="EB199" s="230">
        <v>893900</v>
      </c>
      <c r="EC199" s="229">
        <v>5.8999999999999999E-3</v>
      </c>
      <c r="ED199" s="229">
        <v>0.12470000000000001</v>
      </c>
      <c r="EE199" s="228">
        <v>23.83</v>
      </c>
      <c r="EF199" s="229">
        <v>6.1000000000000004E-3</v>
      </c>
      <c r="EG199" s="230">
        <v>473267</v>
      </c>
      <c r="EH199" s="230">
        <v>1035250</v>
      </c>
      <c r="EI199" s="229">
        <v>-0.54279999999999995</v>
      </c>
      <c r="EJ199" s="229">
        <v>0.68579999999999997</v>
      </c>
      <c r="EK199" s="231">
        <v>2231.8000000000002</v>
      </c>
      <c r="EL199" s="231">
        <v>1366.18</v>
      </c>
      <c r="EM199" s="228">
        <v>460.33</v>
      </c>
      <c r="EN199" s="228">
        <v>59.14</v>
      </c>
      <c r="EO199" s="231">
        <v>4058.32</v>
      </c>
      <c r="EP199" s="231">
        <v>7587.47</v>
      </c>
      <c r="EQ199" s="231">
        <v>-3529.15</v>
      </c>
      <c r="ER199" s="229">
        <v>-0.46510000000000001</v>
      </c>
      <c r="ES199" s="231">
        <v>1497.49</v>
      </c>
      <c r="ET199" s="228">
        <v>864.3</v>
      </c>
      <c r="EU199" s="231">
        <v>3647.96</v>
      </c>
      <c r="EV199" s="231">
        <v>41744334</v>
      </c>
      <c r="EW199" s="231">
        <v>6009.75</v>
      </c>
      <c r="EX199" s="231">
        <v>6143.19</v>
      </c>
      <c r="EY199" s="228">
        <v>-133.44</v>
      </c>
      <c r="EZ199" s="229">
        <v>-2.1700000000000001E-2</v>
      </c>
      <c r="FA199" s="229">
        <v>0.36840000000000001</v>
      </c>
      <c r="FB199" s="227" t="s">
        <v>567</v>
      </c>
      <c r="FC199">
        <f t="shared" si="4"/>
        <v>0</v>
      </c>
    </row>
    <row r="200" spans="1:159" ht="17.25" thickBot="1" x14ac:dyDescent="0.3">
      <c r="A200" s="226">
        <v>46008</v>
      </c>
      <c r="B200" s="227" t="s">
        <v>162</v>
      </c>
      <c r="C200" s="227" t="s">
        <v>690</v>
      </c>
      <c r="D200" s="228">
        <v>800</v>
      </c>
      <c r="E200" s="228">
        <v>13</v>
      </c>
      <c r="F200" s="228">
        <v>346.6</v>
      </c>
      <c r="G200" s="228">
        <v>346.35</v>
      </c>
      <c r="H200" s="228">
        <v>0.25</v>
      </c>
      <c r="I200" s="229">
        <v>6.9999999999999999E-4</v>
      </c>
      <c r="J200" s="228">
        <v>346.35</v>
      </c>
      <c r="K200" s="228">
        <v>345.45</v>
      </c>
      <c r="L200" s="228">
        <v>0.9</v>
      </c>
      <c r="M200" s="229">
        <v>2.5999999999999999E-3</v>
      </c>
      <c r="N200" s="228">
        <v>346.6</v>
      </c>
      <c r="O200" s="228">
        <v>346.35</v>
      </c>
      <c r="P200" s="228">
        <v>0.25</v>
      </c>
      <c r="Q200" s="229">
        <v>6.9999999999999999E-4</v>
      </c>
      <c r="R200" s="228">
        <v>348.45</v>
      </c>
      <c r="S200" s="228">
        <v>348.3</v>
      </c>
      <c r="T200" s="228">
        <v>0.15</v>
      </c>
      <c r="U200" s="229">
        <v>4.0000000000000002E-4</v>
      </c>
      <c r="V200" s="228">
        <v>351.15</v>
      </c>
      <c r="W200" s="228">
        <v>350.5</v>
      </c>
      <c r="X200" s="228">
        <v>0.65</v>
      </c>
      <c r="Y200" s="229">
        <v>1.9E-3</v>
      </c>
      <c r="Z200" s="228">
        <v>0.25</v>
      </c>
      <c r="AA200" s="228">
        <v>0.9</v>
      </c>
      <c r="AB200" s="228">
        <v>-0.65</v>
      </c>
      <c r="AC200" s="229">
        <v>6.9999999999999999E-4</v>
      </c>
      <c r="AD200" s="228">
        <v>0.25</v>
      </c>
      <c r="AE200" s="228">
        <v>0.9</v>
      </c>
      <c r="AF200" s="228">
        <v>-0.65</v>
      </c>
      <c r="AG200" s="229">
        <v>6.9999999999999999E-4</v>
      </c>
      <c r="AH200" s="228">
        <v>2.1</v>
      </c>
      <c r="AI200" s="228">
        <v>2.85</v>
      </c>
      <c r="AJ200" s="228">
        <v>-0.75</v>
      </c>
      <c r="AK200" s="229">
        <v>6.1000000000000004E-3</v>
      </c>
      <c r="AL200" s="228">
        <v>4.8</v>
      </c>
      <c r="AM200" s="228">
        <v>5.05</v>
      </c>
      <c r="AN200" s="228">
        <v>-0.25</v>
      </c>
      <c r="AO200" s="229">
        <v>1.3899999999999999E-2</v>
      </c>
      <c r="AP200" s="228">
        <v>347.8</v>
      </c>
      <c r="AQ200" s="228">
        <v>349.61</v>
      </c>
      <c r="AR200" s="228">
        <v>0</v>
      </c>
      <c r="AS200" s="228">
        <v>473</v>
      </c>
      <c r="AT200" s="228">
        <v>385</v>
      </c>
      <c r="AU200" s="228">
        <v>88</v>
      </c>
      <c r="AV200" s="229">
        <v>0.22950000000000001</v>
      </c>
      <c r="AW200" s="228">
        <v>350</v>
      </c>
      <c r="AX200" s="228">
        <v>303</v>
      </c>
      <c r="AY200" s="228">
        <v>47</v>
      </c>
      <c r="AZ200" s="229">
        <v>0.15529999999999999</v>
      </c>
      <c r="BA200" s="228">
        <v>115</v>
      </c>
      <c r="BB200" s="228">
        <v>75</v>
      </c>
      <c r="BC200" s="228">
        <v>41</v>
      </c>
      <c r="BD200" s="229">
        <v>0.54549999999999998</v>
      </c>
      <c r="BE200" s="228">
        <v>8</v>
      </c>
      <c r="BF200" s="228">
        <v>7</v>
      </c>
      <c r="BG200" s="228">
        <v>1</v>
      </c>
      <c r="BH200" s="229">
        <v>7.4800000000000005E-2</v>
      </c>
      <c r="BI200" s="230">
        <v>2141</v>
      </c>
      <c r="BJ200" s="230">
        <v>1533</v>
      </c>
      <c r="BK200" s="228">
        <v>608</v>
      </c>
      <c r="BL200" s="229">
        <v>0.3967</v>
      </c>
      <c r="BM200" s="228">
        <v>669</v>
      </c>
      <c r="BN200" s="228">
        <v>382</v>
      </c>
      <c r="BO200" s="228">
        <v>287</v>
      </c>
      <c r="BP200" s="229">
        <v>0.75239999999999996</v>
      </c>
      <c r="BQ200" s="230">
        <v>3283</v>
      </c>
      <c r="BR200" s="230">
        <v>2300</v>
      </c>
      <c r="BS200" s="228">
        <v>984</v>
      </c>
      <c r="BT200" s="229">
        <v>0.42780000000000001</v>
      </c>
      <c r="BU200" s="230">
        <v>7045390</v>
      </c>
      <c r="BV200" s="230">
        <v>8391226</v>
      </c>
      <c r="BW200" s="230">
        <v>-1345836</v>
      </c>
      <c r="BX200" s="229">
        <v>-0.16039999999999999</v>
      </c>
      <c r="BY200" s="230">
        <v>3376</v>
      </c>
      <c r="BZ200" s="230">
        <v>3316</v>
      </c>
      <c r="CA200" s="228">
        <v>60</v>
      </c>
      <c r="CB200" s="229">
        <v>1.8200000000000001E-2</v>
      </c>
      <c r="CC200" s="230">
        <v>2851</v>
      </c>
      <c r="CD200" s="230">
        <v>2862</v>
      </c>
      <c r="CE200" s="228">
        <v>-10</v>
      </c>
      <c r="CF200" s="229">
        <v>-3.5999999999999999E-3</v>
      </c>
      <c r="CG200" s="228">
        <v>477</v>
      </c>
      <c r="CH200" s="228">
        <v>407</v>
      </c>
      <c r="CI200" s="228">
        <v>70</v>
      </c>
      <c r="CJ200" s="229">
        <v>0.1731</v>
      </c>
      <c r="CK200" s="228">
        <v>48</v>
      </c>
      <c r="CL200" s="228">
        <v>48</v>
      </c>
      <c r="CM200" s="228">
        <v>0</v>
      </c>
      <c r="CN200" s="229">
        <v>5.7999999999999996E-3</v>
      </c>
      <c r="CO200" s="230">
        <v>2613</v>
      </c>
      <c r="CP200" s="230">
        <v>2619</v>
      </c>
      <c r="CQ200" s="228">
        <v>-6</v>
      </c>
      <c r="CR200" s="229">
        <v>-2.3E-3</v>
      </c>
      <c r="CS200" s="230">
        <v>1231</v>
      </c>
      <c r="CT200" s="230">
        <v>1189</v>
      </c>
      <c r="CU200" s="228">
        <v>42</v>
      </c>
      <c r="CV200" s="229">
        <v>3.5299999999999998E-2</v>
      </c>
      <c r="CW200" s="230">
        <v>7221</v>
      </c>
      <c r="CX200" s="230">
        <v>7124</v>
      </c>
      <c r="CY200" s="228">
        <v>96</v>
      </c>
      <c r="CZ200" s="229">
        <v>1.35E-2</v>
      </c>
      <c r="DA200" s="228">
        <v>26.96</v>
      </c>
      <c r="DB200" s="228">
        <v>28.02</v>
      </c>
      <c r="DC200" s="228">
        <v>-1.06</v>
      </c>
      <c r="DD200" s="228">
        <v>-1.06</v>
      </c>
      <c r="DE200" s="228">
        <v>34.17</v>
      </c>
      <c r="DF200" s="228">
        <v>34.26</v>
      </c>
      <c r="DG200" s="228">
        <v>-7.21</v>
      </c>
      <c r="DH200" s="228">
        <v>-0.09</v>
      </c>
      <c r="DI200" s="228">
        <v>28.11</v>
      </c>
      <c r="DJ200" s="228">
        <v>29.07</v>
      </c>
      <c r="DK200" s="228">
        <v>-0.96</v>
      </c>
      <c r="DL200" s="228">
        <v>-0.96</v>
      </c>
      <c r="DM200" s="228">
        <v>23.28</v>
      </c>
      <c r="DN200" s="228">
        <v>23.78</v>
      </c>
      <c r="DO200" s="228">
        <v>-0.5</v>
      </c>
      <c r="DP200" s="228">
        <v>-0.5</v>
      </c>
      <c r="DQ200" s="228">
        <v>0.47</v>
      </c>
      <c r="DR200" s="228">
        <v>0.45</v>
      </c>
      <c r="DS200" s="228">
        <v>0.02</v>
      </c>
      <c r="DT200" s="229">
        <v>4.4400000000000002E-2</v>
      </c>
      <c r="DU200" s="228">
        <v>360</v>
      </c>
      <c r="DV200" s="228">
        <v>340</v>
      </c>
      <c r="DW200" s="228">
        <v>0.31</v>
      </c>
      <c r="DX200" s="228">
        <v>0.25</v>
      </c>
      <c r="DY200" s="228">
        <v>0.06</v>
      </c>
      <c r="DZ200" s="229">
        <v>0.24</v>
      </c>
      <c r="EA200" s="229">
        <v>0.15540000000000001</v>
      </c>
      <c r="EB200" s="230">
        <v>13101600</v>
      </c>
      <c r="EC200" s="229">
        <v>5.3E-3</v>
      </c>
      <c r="ED200" s="229">
        <v>0.15540000000000001</v>
      </c>
      <c r="EE200" s="228">
        <v>1.81</v>
      </c>
      <c r="EF200" s="229">
        <v>5.1999999999999998E-3</v>
      </c>
      <c r="EG200" s="230">
        <v>3460424</v>
      </c>
      <c r="EH200" s="230">
        <v>5454001</v>
      </c>
      <c r="EI200" s="229">
        <v>-0.36549999999999999</v>
      </c>
      <c r="EJ200" s="229">
        <v>0.49120000000000003</v>
      </c>
      <c r="EK200" s="231">
        <v>2298.1799999999998</v>
      </c>
      <c r="EL200" s="228">
        <v>656.36</v>
      </c>
      <c r="EM200" s="228">
        <v>475.54</v>
      </c>
      <c r="EN200" s="228">
        <v>143.03</v>
      </c>
      <c r="EO200" s="231">
        <v>3430.09</v>
      </c>
      <c r="EP200" s="231">
        <v>2419.9299999999998</v>
      </c>
      <c r="EQ200" s="231">
        <v>1010.17</v>
      </c>
      <c r="ER200" s="229">
        <v>0.41739999999999999</v>
      </c>
      <c r="ES200" s="231">
        <v>2869.55</v>
      </c>
      <c r="ET200" s="231">
        <v>1251.08</v>
      </c>
      <c r="EU200" s="231">
        <v>3379.39</v>
      </c>
      <c r="EV200" s="231">
        <v>284575867</v>
      </c>
      <c r="EW200" s="231">
        <v>7500.02</v>
      </c>
      <c r="EX200" s="231">
        <v>7407.04</v>
      </c>
      <c r="EY200" s="228">
        <v>92.98</v>
      </c>
      <c r="EZ200" s="229">
        <v>1.26E-2</v>
      </c>
      <c r="FA200" s="229">
        <v>0.73209999999999997</v>
      </c>
      <c r="FB200" s="227" t="s">
        <v>555</v>
      </c>
      <c r="FC200">
        <f t="shared" si="4"/>
        <v>0</v>
      </c>
    </row>
    <row r="201" spans="1:159" ht="17.25" thickBot="1" x14ac:dyDescent="0.3">
      <c r="A201" s="226">
        <v>46008</v>
      </c>
      <c r="B201" s="227" t="s">
        <v>170</v>
      </c>
      <c r="C201" s="227" t="s">
        <v>298</v>
      </c>
      <c r="D201" s="228">
        <v>250</v>
      </c>
      <c r="E201" s="228">
        <v>13</v>
      </c>
      <c r="F201" s="231">
        <v>3772.1</v>
      </c>
      <c r="G201" s="231">
        <v>3767.6</v>
      </c>
      <c r="H201" s="228">
        <v>4.5</v>
      </c>
      <c r="I201" s="229">
        <v>1.1999999999999999E-3</v>
      </c>
      <c r="J201" s="231">
        <v>3770.8</v>
      </c>
      <c r="K201" s="231">
        <v>3765.1</v>
      </c>
      <c r="L201" s="228">
        <v>5.7</v>
      </c>
      <c r="M201" s="229">
        <v>1.5E-3</v>
      </c>
      <c r="N201" s="231">
        <v>3772.1</v>
      </c>
      <c r="O201" s="231">
        <v>3767.6</v>
      </c>
      <c r="P201" s="228">
        <v>4.5</v>
      </c>
      <c r="Q201" s="229">
        <v>1.1999999999999999E-3</v>
      </c>
      <c r="R201" s="231">
        <v>3794.1</v>
      </c>
      <c r="S201" s="231">
        <v>3790</v>
      </c>
      <c r="T201" s="228">
        <v>4.0999999999999996</v>
      </c>
      <c r="U201" s="229">
        <v>1.1000000000000001E-3</v>
      </c>
      <c r="V201" s="231">
        <v>3771.9</v>
      </c>
      <c r="W201" s="231">
        <v>3801.4</v>
      </c>
      <c r="X201" s="228">
        <v>-29.5</v>
      </c>
      <c r="Y201" s="229">
        <v>-7.7999999999999996E-3</v>
      </c>
      <c r="Z201" s="228">
        <v>1.3</v>
      </c>
      <c r="AA201" s="228">
        <v>2.5</v>
      </c>
      <c r="AB201" s="228">
        <v>-1.2</v>
      </c>
      <c r="AC201" s="229">
        <v>2.9999999999999997E-4</v>
      </c>
      <c r="AD201" s="228">
        <v>1.3</v>
      </c>
      <c r="AE201" s="228">
        <v>2.5</v>
      </c>
      <c r="AF201" s="228">
        <v>-1.2</v>
      </c>
      <c r="AG201" s="229">
        <v>2.9999999999999997E-4</v>
      </c>
      <c r="AH201" s="228">
        <v>23.3</v>
      </c>
      <c r="AI201" s="228">
        <v>24.9</v>
      </c>
      <c r="AJ201" s="228">
        <v>-1.6</v>
      </c>
      <c r="AK201" s="229">
        <v>6.1999999999999998E-3</v>
      </c>
      <c r="AL201" s="228">
        <v>1.1000000000000001</v>
      </c>
      <c r="AM201" s="228">
        <v>36.299999999999997</v>
      </c>
      <c r="AN201" s="228">
        <v>-35.200000000000003</v>
      </c>
      <c r="AO201" s="229">
        <v>2.9999999999999997E-4</v>
      </c>
      <c r="AP201" s="231">
        <v>3758.21</v>
      </c>
      <c r="AQ201" s="231">
        <v>3775.69</v>
      </c>
      <c r="AR201" s="228">
        <v>0</v>
      </c>
      <c r="AS201" s="228">
        <v>78</v>
      </c>
      <c r="AT201" s="228">
        <v>92</v>
      </c>
      <c r="AU201" s="228">
        <v>-13</v>
      </c>
      <c r="AV201" s="229">
        <v>-0.14419999999999999</v>
      </c>
      <c r="AW201" s="228">
        <v>72</v>
      </c>
      <c r="AX201" s="228">
        <v>88</v>
      </c>
      <c r="AY201" s="228">
        <v>-16</v>
      </c>
      <c r="AZ201" s="229">
        <v>-0.1799</v>
      </c>
      <c r="BA201" s="228">
        <v>6</v>
      </c>
      <c r="BB201" s="228">
        <v>3</v>
      </c>
      <c r="BC201" s="228">
        <v>3</v>
      </c>
      <c r="BD201" s="229">
        <v>0.72970000000000002</v>
      </c>
      <c r="BE201" s="228">
        <v>0</v>
      </c>
      <c r="BF201" s="228">
        <v>0</v>
      </c>
      <c r="BG201" s="228">
        <v>0</v>
      </c>
      <c r="BH201" s="229">
        <v>0</v>
      </c>
      <c r="BI201" s="228">
        <v>166</v>
      </c>
      <c r="BJ201" s="228">
        <v>209</v>
      </c>
      <c r="BK201" s="228">
        <v>-43</v>
      </c>
      <c r="BL201" s="229">
        <v>-0.2039</v>
      </c>
      <c r="BM201" s="228">
        <v>78</v>
      </c>
      <c r="BN201" s="228">
        <v>33</v>
      </c>
      <c r="BO201" s="228">
        <v>45</v>
      </c>
      <c r="BP201" s="229">
        <v>1.3756999999999999</v>
      </c>
      <c r="BQ201" s="228">
        <v>322</v>
      </c>
      <c r="BR201" s="228">
        <v>333</v>
      </c>
      <c r="BS201" s="228">
        <v>-11</v>
      </c>
      <c r="BT201" s="229">
        <v>-3.2599999999999997E-2</v>
      </c>
      <c r="BU201" s="230">
        <v>146931</v>
      </c>
      <c r="BV201" s="230">
        <v>138520</v>
      </c>
      <c r="BW201" s="230">
        <v>8411</v>
      </c>
      <c r="BX201" s="229">
        <v>6.0699999999999997E-2</v>
      </c>
      <c r="BY201" s="228">
        <v>900</v>
      </c>
      <c r="BZ201" s="228">
        <v>910</v>
      </c>
      <c r="CA201" s="228">
        <v>-10</v>
      </c>
      <c r="CB201" s="229">
        <v>-1.15E-2</v>
      </c>
      <c r="CC201" s="228">
        <v>889</v>
      </c>
      <c r="CD201" s="228">
        <v>900</v>
      </c>
      <c r="CE201" s="228">
        <v>-10</v>
      </c>
      <c r="CF201" s="229">
        <v>-1.1599999999999999E-2</v>
      </c>
      <c r="CG201" s="228">
        <v>9</v>
      </c>
      <c r="CH201" s="228">
        <v>9</v>
      </c>
      <c r="CI201" s="228">
        <v>0</v>
      </c>
      <c r="CJ201" s="229">
        <v>-1.04E-2</v>
      </c>
      <c r="CK201" s="228">
        <v>2</v>
      </c>
      <c r="CL201" s="228">
        <v>2</v>
      </c>
      <c r="CM201" s="228">
        <v>0</v>
      </c>
      <c r="CN201" s="229">
        <v>6.25E-2</v>
      </c>
      <c r="CO201" s="228">
        <v>254</v>
      </c>
      <c r="CP201" s="228">
        <v>259</v>
      </c>
      <c r="CQ201" s="228">
        <v>-5</v>
      </c>
      <c r="CR201" s="229">
        <v>-1.9300000000000001E-2</v>
      </c>
      <c r="CS201" s="228">
        <v>119</v>
      </c>
      <c r="CT201" s="228">
        <v>118</v>
      </c>
      <c r="CU201" s="228">
        <v>1</v>
      </c>
      <c r="CV201" s="229">
        <v>1.12E-2</v>
      </c>
      <c r="CW201" s="230">
        <v>1273</v>
      </c>
      <c r="CX201" s="230">
        <v>1287</v>
      </c>
      <c r="CY201" s="228">
        <v>-14</v>
      </c>
      <c r="CZ201" s="229">
        <v>-1.0999999999999999E-2</v>
      </c>
      <c r="DA201" s="228">
        <v>18.2</v>
      </c>
      <c r="DB201" s="228">
        <v>17.66</v>
      </c>
      <c r="DC201" s="228">
        <v>0.54</v>
      </c>
      <c r="DD201" s="228">
        <v>0.54</v>
      </c>
      <c r="DE201" s="228">
        <v>25.34</v>
      </c>
      <c r="DF201" s="228">
        <v>25.4</v>
      </c>
      <c r="DG201" s="228">
        <v>-7.14</v>
      </c>
      <c r="DH201" s="228">
        <v>-0.06</v>
      </c>
      <c r="DI201" s="228">
        <v>17.989999999999998</v>
      </c>
      <c r="DJ201" s="228">
        <v>17.690000000000001</v>
      </c>
      <c r="DK201" s="228">
        <v>0.3</v>
      </c>
      <c r="DL201" s="228">
        <v>0.3</v>
      </c>
      <c r="DM201" s="228">
        <v>18.649999999999999</v>
      </c>
      <c r="DN201" s="228">
        <v>17.46</v>
      </c>
      <c r="DO201" s="228">
        <v>1.19</v>
      </c>
      <c r="DP201" s="228">
        <v>1.19</v>
      </c>
      <c r="DQ201" s="228">
        <v>0.47</v>
      </c>
      <c r="DR201" s="228">
        <v>0.45</v>
      </c>
      <c r="DS201" s="228">
        <v>0.02</v>
      </c>
      <c r="DT201" s="229">
        <v>4.4400000000000002E-2</v>
      </c>
      <c r="DU201" s="231">
        <v>3800</v>
      </c>
      <c r="DV201" s="231">
        <v>3800</v>
      </c>
      <c r="DW201" s="228">
        <v>0.47</v>
      </c>
      <c r="DX201" s="228">
        <v>0.16</v>
      </c>
      <c r="DY201" s="228">
        <v>0.31</v>
      </c>
      <c r="DZ201" s="229">
        <v>1.9375</v>
      </c>
      <c r="EA201" s="229">
        <v>1.17E-2</v>
      </c>
      <c r="EB201" s="230">
        <v>28000</v>
      </c>
      <c r="EC201" s="229">
        <v>5.7999999999999996E-3</v>
      </c>
      <c r="ED201" s="229">
        <v>1.17E-2</v>
      </c>
      <c r="EE201" s="228">
        <v>17.48</v>
      </c>
      <c r="EF201" s="229">
        <v>4.7000000000000002E-3</v>
      </c>
      <c r="EG201" s="230">
        <v>87429</v>
      </c>
      <c r="EH201" s="230">
        <v>87282</v>
      </c>
      <c r="EI201" s="229">
        <v>1.6999999999999999E-3</v>
      </c>
      <c r="EJ201" s="229">
        <v>0.59499999999999997</v>
      </c>
      <c r="EK201" s="228">
        <v>171.8</v>
      </c>
      <c r="EL201" s="228">
        <v>74.94</v>
      </c>
      <c r="EM201" s="228">
        <v>78.11</v>
      </c>
      <c r="EN201" s="228">
        <v>9.8000000000000007</v>
      </c>
      <c r="EO201" s="228">
        <v>324.85000000000002</v>
      </c>
      <c r="EP201" s="228">
        <v>339.21</v>
      </c>
      <c r="EQ201" s="228">
        <v>-14.36</v>
      </c>
      <c r="ER201" s="229">
        <v>-4.2299999999999997E-2</v>
      </c>
      <c r="ES201" s="228">
        <v>262.74</v>
      </c>
      <c r="ET201" s="228">
        <v>115.04</v>
      </c>
      <c r="EU201" s="228">
        <v>899.7</v>
      </c>
      <c r="EV201" s="231">
        <v>16072672</v>
      </c>
      <c r="EW201" s="231">
        <v>1277.48</v>
      </c>
      <c r="EX201" s="231">
        <v>1291.45</v>
      </c>
      <c r="EY201" s="228">
        <v>-13.97</v>
      </c>
      <c r="EZ201" s="229">
        <v>-1.0800000000000001E-2</v>
      </c>
      <c r="FA201" s="229">
        <v>0.2099</v>
      </c>
      <c r="FB201" s="227" t="s">
        <v>556</v>
      </c>
      <c r="FC201">
        <f t="shared" si="4"/>
        <v>0</v>
      </c>
    </row>
    <row r="202" spans="1:159" ht="17.25" thickBot="1" x14ac:dyDescent="0.3">
      <c r="A202" s="226">
        <v>46008</v>
      </c>
      <c r="B202" s="227" t="s">
        <v>161</v>
      </c>
      <c r="C202" s="227" t="s">
        <v>299</v>
      </c>
      <c r="D202" s="228">
        <v>375</v>
      </c>
      <c r="E202" s="228">
        <v>13</v>
      </c>
      <c r="F202" s="231">
        <v>1279.4000000000001</v>
      </c>
      <c r="G202" s="231">
        <v>1285.5</v>
      </c>
      <c r="H202" s="228">
        <v>-6.1</v>
      </c>
      <c r="I202" s="229">
        <v>-4.7000000000000002E-3</v>
      </c>
      <c r="J202" s="231">
        <v>1274.5</v>
      </c>
      <c r="K202" s="231">
        <v>1281.2</v>
      </c>
      <c r="L202" s="228">
        <v>-6.7</v>
      </c>
      <c r="M202" s="229">
        <v>-5.1999999999999998E-3</v>
      </c>
      <c r="N202" s="231">
        <v>1279.4000000000001</v>
      </c>
      <c r="O202" s="231">
        <v>1285.5</v>
      </c>
      <c r="P202" s="228">
        <v>-6.1</v>
      </c>
      <c r="Q202" s="229">
        <v>-4.7000000000000002E-3</v>
      </c>
      <c r="R202" s="231">
        <v>1285.5999999999999</v>
      </c>
      <c r="S202" s="231">
        <v>1293.3</v>
      </c>
      <c r="T202" s="228">
        <v>-7.7</v>
      </c>
      <c r="U202" s="229">
        <v>-6.0000000000000001E-3</v>
      </c>
      <c r="V202" s="231">
        <v>1290</v>
      </c>
      <c r="W202" s="231">
        <v>1283.0999999999999</v>
      </c>
      <c r="X202" s="228">
        <v>6.9</v>
      </c>
      <c r="Y202" s="229">
        <v>5.4000000000000003E-3</v>
      </c>
      <c r="Z202" s="228">
        <v>4.9000000000000004</v>
      </c>
      <c r="AA202" s="228">
        <v>4.3</v>
      </c>
      <c r="AB202" s="228">
        <v>0.6</v>
      </c>
      <c r="AC202" s="229">
        <v>3.8E-3</v>
      </c>
      <c r="AD202" s="228">
        <v>4.9000000000000004</v>
      </c>
      <c r="AE202" s="228">
        <v>4.3</v>
      </c>
      <c r="AF202" s="228">
        <v>0.6</v>
      </c>
      <c r="AG202" s="229">
        <v>3.8E-3</v>
      </c>
      <c r="AH202" s="228">
        <v>11.1</v>
      </c>
      <c r="AI202" s="228">
        <v>12.1</v>
      </c>
      <c r="AJ202" s="228">
        <v>-1</v>
      </c>
      <c r="AK202" s="229">
        <v>8.6999999999999994E-3</v>
      </c>
      <c r="AL202" s="228">
        <v>15.5</v>
      </c>
      <c r="AM202" s="228">
        <v>1.9</v>
      </c>
      <c r="AN202" s="228">
        <v>13.6</v>
      </c>
      <c r="AO202" s="229">
        <v>1.2200000000000001E-2</v>
      </c>
      <c r="AP202" s="231">
        <v>1291.3699999999999</v>
      </c>
      <c r="AQ202" s="231">
        <v>1301.73</v>
      </c>
      <c r="AR202" s="228">
        <v>0</v>
      </c>
      <c r="AS202" s="228">
        <v>86</v>
      </c>
      <c r="AT202" s="228">
        <v>139</v>
      </c>
      <c r="AU202" s="228">
        <v>-53</v>
      </c>
      <c r="AV202" s="229">
        <v>-0.38129999999999997</v>
      </c>
      <c r="AW202" s="228">
        <v>52</v>
      </c>
      <c r="AX202" s="228">
        <v>120</v>
      </c>
      <c r="AY202" s="228">
        <v>-68</v>
      </c>
      <c r="AZ202" s="229">
        <v>-0.56779999999999997</v>
      </c>
      <c r="BA202" s="228">
        <v>33</v>
      </c>
      <c r="BB202" s="228">
        <v>18</v>
      </c>
      <c r="BC202" s="228">
        <v>15</v>
      </c>
      <c r="BD202" s="229">
        <v>0.8</v>
      </c>
      <c r="BE202" s="228">
        <v>1</v>
      </c>
      <c r="BF202" s="228">
        <v>0</v>
      </c>
      <c r="BG202" s="228">
        <v>1</v>
      </c>
      <c r="BH202" s="229">
        <v>6</v>
      </c>
      <c r="BI202" s="228">
        <v>169</v>
      </c>
      <c r="BJ202" s="228">
        <v>436</v>
      </c>
      <c r="BK202" s="228">
        <v>-267</v>
      </c>
      <c r="BL202" s="229">
        <v>-0.61339999999999995</v>
      </c>
      <c r="BM202" s="228">
        <v>70</v>
      </c>
      <c r="BN202" s="228">
        <v>264</v>
      </c>
      <c r="BO202" s="228">
        <v>-194</v>
      </c>
      <c r="BP202" s="229">
        <v>-0.73640000000000005</v>
      </c>
      <c r="BQ202" s="228">
        <v>324</v>
      </c>
      <c r="BR202" s="228">
        <v>839</v>
      </c>
      <c r="BS202" s="228">
        <v>-515</v>
      </c>
      <c r="BT202" s="229">
        <v>-0.61370000000000002</v>
      </c>
      <c r="BU202" s="230">
        <v>404351</v>
      </c>
      <c r="BV202" s="230">
        <v>479101</v>
      </c>
      <c r="BW202" s="230">
        <v>-74750</v>
      </c>
      <c r="BX202" s="229">
        <v>-0.156</v>
      </c>
      <c r="BY202" s="228">
        <v>360</v>
      </c>
      <c r="BZ202" s="228">
        <v>351</v>
      </c>
      <c r="CA202" s="228">
        <v>9</v>
      </c>
      <c r="CB202" s="229">
        <v>2.63E-2</v>
      </c>
      <c r="CC202" s="228">
        <v>318</v>
      </c>
      <c r="CD202" s="228">
        <v>328</v>
      </c>
      <c r="CE202" s="228">
        <v>-10</v>
      </c>
      <c r="CF202" s="229">
        <v>-3.0300000000000001E-2</v>
      </c>
      <c r="CG202" s="228">
        <v>39</v>
      </c>
      <c r="CH202" s="228">
        <v>20</v>
      </c>
      <c r="CI202" s="228">
        <v>19</v>
      </c>
      <c r="CJ202" s="229">
        <v>0.92510000000000003</v>
      </c>
      <c r="CK202" s="228">
        <v>2</v>
      </c>
      <c r="CL202" s="228">
        <v>2</v>
      </c>
      <c r="CM202" s="228">
        <v>0</v>
      </c>
      <c r="CN202" s="229">
        <v>0.15379999999999999</v>
      </c>
      <c r="CO202" s="228">
        <v>164</v>
      </c>
      <c r="CP202" s="228">
        <v>161</v>
      </c>
      <c r="CQ202" s="228">
        <v>3</v>
      </c>
      <c r="CR202" s="229">
        <v>1.5900000000000001E-2</v>
      </c>
      <c r="CS202" s="228">
        <v>96</v>
      </c>
      <c r="CT202" s="228">
        <v>103</v>
      </c>
      <c r="CU202" s="228">
        <v>-7</v>
      </c>
      <c r="CV202" s="229">
        <v>-6.7000000000000004E-2</v>
      </c>
      <c r="CW202" s="228">
        <v>620</v>
      </c>
      <c r="CX202" s="228">
        <v>615</v>
      </c>
      <c r="CY202" s="228">
        <v>5</v>
      </c>
      <c r="CZ202" s="229">
        <v>7.9000000000000008E-3</v>
      </c>
      <c r="DA202" s="228">
        <v>22.66</v>
      </c>
      <c r="DB202" s="228">
        <v>22.26</v>
      </c>
      <c r="DC202" s="228">
        <v>0.4</v>
      </c>
      <c r="DD202" s="228">
        <v>0.4</v>
      </c>
      <c r="DE202" s="228">
        <v>39.83</v>
      </c>
      <c r="DF202" s="228">
        <v>39.93</v>
      </c>
      <c r="DG202" s="228">
        <v>-17.170000000000002</v>
      </c>
      <c r="DH202" s="228">
        <v>-0.1</v>
      </c>
      <c r="DI202" s="228">
        <v>22.68</v>
      </c>
      <c r="DJ202" s="228">
        <v>22.82</v>
      </c>
      <c r="DK202" s="228">
        <v>-0.14000000000000001</v>
      </c>
      <c r="DL202" s="228">
        <v>-0.14000000000000001</v>
      </c>
      <c r="DM202" s="228">
        <v>22.61</v>
      </c>
      <c r="DN202" s="228">
        <v>21.34</v>
      </c>
      <c r="DO202" s="228">
        <v>1.27</v>
      </c>
      <c r="DP202" s="228">
        <v>1.27</v>
      </c>
      <c r="DQ202" s="228">
        <v>0.57999999999999996</v>
      </c>
      <c r="DR202" s="228">
        <v>0.64</v>
      </c>
      <c r="DS202" s="228">
        <v>-0.06</v>
      </c>
      <c r="DT202" s="229">
        <v>-9.3799999999999994E-2</v>
      </c>
      <c r="DU202" s="231">
        <v>1300</v>
      </c>
      <c r="DV202" s="231">
        <v>1300</v>
      </c>
      <c r="DW202" s="228">
        <v>0.41</v>
      </c>
      <c r="DX202" s="228">
        <v>0.61</v>
      </c>
      <c r="DY202" s="228">
        <v>-0.2</v>
      </c>
      <c r="DZ202" s="229">
        <v>-0.32790000000000002</v>
      </c>
      <c r="EA202" s="229">
        <v>0.11559999999999999</v>
      </c>
      <c r="EB202" s="230">
        <v>175525</v>
      </c>
      <c r="EC202" s="229">
        <v>4.7999999999999996E-3</v>
      </c>
      <c r="ED202" s="229">
        <v>0.11559999999999999</v>
      </c>
      <c r="EE202" s="228">
        <v>10.36</v>
      </c>
      <c r="EF202" s="229">
        <v>8.0000000000000002E-3</v>
      </c>
      <c r="EG202" s="230">
        <v>199309</v>
      </c>
      <c r="EH202" s="230">
        <v>147252</v>
      </c>
      <c r="EI202" s="229">
        <v>0.35349999999999998</v>
      </c>
      <c r="EJ202" s="229">
        <v>0.4929</v>
      </c>
      <c r="EK202" s="228">
        <v>175.4</v>
      </c>
      <c r="EL202" s="228">
        <v>69</v>
      </c>
      <c r="EM202" s="228">
        <v>91.56</v>
      </c>
      <c r="EN202" s="228">
        <v>12.53</v>
      </c>
      <c r="EO202" s="228">
        <v>335.96</v>
      </c>
      <c r="EP202" s="228">
        <v>862.23</v>
      </c>
      <c r="EQ202" s="228">
        <v>-526.27</v>
      </c>
      <c r="ER202" s="229">
        <v>-0.61040000000000005</v>
      </c>
      <c r="ES202" s="228">
        <v>172.61</v>
      </c>
      <c r="ET202" s="228">
        <v>94.89</v>
      </c>
      <c r="EU202" s="228">
        <v>359.95</v>
      </c>
      <c r="EV202" s="231">
        <v>24646022</v>
      </c>
      <c r="EW202" s="228">
        <v>627.44000000000005</v>
      </c>
      <c r="EX202" s="228">
        <v>623.65</v>
      </c>
      <c r="EY202" s="228">
        <v>3.79</v>
      </c>
      <c r="EZ202" s="229">
        <v>6.1000000000000004E-3</v>
      </c>
      <c r="FA202" s="229">
        <v>0.19650000000000001</v>
      </c>
      <c r="FB202" s="227" t="s">
        <v>567</v>
      </c>
      <c r="FC202">
        <f t="shared" si="4"/>
        <v>0</v>
      </c>
    </row>
    <row r="203" spans="1:159" ht="17.25" thickBot="1" x14ac:dyDescent="0.3">
      <c r="A203" s="226">
        <v>46008</v>
      </c>
      <c r="B203" s="227" t="s">
        <v>197</v>
      </c>
      <c r="C203" s="227" t="s">
        <v>482</v>
      </c>
      <c r="D203" s="228">
        <v>100</v>
      </c>
      <c r="E203" s="228">
        <v>13</v>
      </c>
      <c r="F203" s="231">
        <v>4057.2</v>
      </c>
      <c r="G203" s="231">
        <v>4121</v>
      </c>
      <c r="H203" s="228">
        <v>-63.8</v>
      </c>
      <c r="I203" s="229">
        <v>-1.55E-2</v>
      </c>
      <c r="J203" s="231">
        <v>4045.2</v>
      </c>
      <c r="K203" s="231">
        <v>4108.7</v>
      </c>
      <c r="L203" s="228">
        <v>-63.5</v>
      </c>
      <c r="M203" s="229">
        <v>-1.55E-2</v>
      </c>
      <c r="N203" s="231">
        <v>4057.2</v>
      </c>
      <c r="O203" s="231">
        <v>4121</v>
      </c>
      <c r="P203" s="228">
        <v>-63.8</v>
      </c>
      <c r="Q203" s="229">
        <v>-1.55E-2</v>
      </c>
      <c r="R203" s="231">
        <v>4080.1</v>
      </c>
      <c r="S203" s="231">
        <v>4144.3</v>
      </c>
      <c r="T203" s="228">
        <v>-64.2</v>
      </c>
      <c r="U203" s="229">
        <v>-1.55E-2</v>
      </c>
      <c r="V203" s="231">
        <v>4102.8</v>
      </c>
      <c r="W203" s="231">
        <v>4169.3</v>
      </c>
      <c r="X203" s="228">
        <v>-66.5</v>
      </c>
      <c r="Y203" s="229">
        <v>-1.5900000000000001E-2</v>
      </c>
      <c r="Z203" s="228">
        <v>12</v>
      </c>
      <c r="AA203" s="228">
        <v>12.3</v>
      </c>
      <c r="AB203" s="228">
        <v>-0.3</v>
      </c>
      <c r="AC203" s="229">
        <v>3.0000000000000001E-3</v>
      </c>
      <c r="AD203" s="228">
        <v>12</v>
      </c>
      <c r="AE203" s="228">
        <v>12.3</v>
      </c>
      <c r="AF203" s="228">
        <v>-0.3</v>
      </c>
      <c r="AG203" s="229">
        <v>3.0000000000000001E-3</v>
      </c>
      <c r="AH203" s="228">
        <v>34.9</v>
      </c>
      <c r="AI203" s="228">
        <v>35.6</v>
      </c>
      <c r="AJ203" s="228">
        <v>-0.7</v>
      </c>
      <c r="AK203" s="229">
        <v>8.6E-3</v>
      </c>
      <c r="AL203" s="228">
        <v>57.6</v>
      </c>
      <c r="AM203" s="228">
        <v>60.6</v>
      </c>
      <c r="AN203" s="228">
        <v>-3</v>
      </c>
      <c r="AO203" s="229">
        <v>1.4200000000000001E-2</v>
      </c>
      <c r="AP203" s="231">
        <v>4077.31</v>
      </c>
      <c r="AQ203" s="231">
        <v>4101.8500000000004</v>
      </c>
      <c r="AR203" s="228">
        <v>0</v>
      </c>
      <c r="AS203" s="228">
        <v>254</v>
      </c>
      <c r="AT203" s="228">
        <v>299</v>
      </c>
      <c r="AU203" s="228">
        <v>-45</v>
      </c>
      <c r="AV203" s="229">
        <v>-0.152</v>
      </c>
      <c r="AW203" s="228">
        <v>195</v>
      </c>
      <c r="AX203" s="228">
        <v>246</v>
      </c>
      <c r="AY203" s="228">
        <v>-50</v>
      </c>
      <c r="AZ203" s="229">
        <v>-0.20399999999999999</v>
      </c>
      <c r="BA203" s="228">
        <v>52</v>
      </c>
      <c r="BB203" s="228">
        <v>50</v>
      </c>
      <c r="BC203" s="228">
        <v>2</v>
      </c>
      <c r="BD203" s="229">
        <v>2.9700000000000001E-2</v>
      </c>
      <c r="BE203" s="228">
        <v>6</v>
      </c>
      <c r="BF203" s="228">
        <v>3</v>
      </c>
      <c r="BG203" s="228">
        <v>3</v>
      </c>
      <c r="BH203" s="229">
        <v>0.96250000000000002</v>
      </c>
      <c r="BI203" s="230">
        <v>1677</v>
      </c>
      <c r="BJ203" s="230">
        <v>1797</v>
      </c>
      <c r="BK203" s="228">
        <v>-120</v>
      </c>
      <c r="BL203" s="229">
        <v>-6.7000000000000004E-2</v>
      </c>
      <c r="BM203" s="228">
        <v>899</v>
      </c>
      <c r="BN203" s="228">
        <v>473</v>
      </c>
      <c r="BO203" s="228">
        <v>426</v>
      </c>
      <c r="BP203" s="229">
        <v>0.90010000000000001</v>
      </c>
      <c r="BQ203" s="230">
        <v>2830</v>
      </c>
      <c r="BR203" s="230">
        <v>2570</v>
      </c>
      <c r="BS203" s="228">
        <v>260</v>
      </c>
      <c r="BT203" s="229">
        <v>0.1012</v>
      </c>
      <c r="BU203" s="230">
        <v>536728</v>
      </c>
      <c r="BV203" s="230">
        <v>588503</v>
      </c>
      <c r="BW203" s="230">
        <v>-51775</v>
      </c>
      <c r="BX203" s="229">
        <v>-8.7999999999999995E-2</v>
      </c>
      <c r="BY203" s="230">
        <v>3690</v>
      </c>
      <c r="BZ203" s="230">
        <v>3689</v>
      </c>
      <c r="CA203" s="228">
        <v>0</v>
      </c>
      <c r="CB203" s="229">
        <v>1E-4</v>
      </c>
      <c r="CC203" s="230">
        <v>3299</v>
      </c>
      <c r="CD203" s="230">
        <v>3323</v>
      </c>
      <c r="CE203" s="228">
        <v>-24</v>
      </c>
      <c r="CF203" s="229">
        <v>-7.1000000000000004E-3</v>
      </c>
      <c r="CG203" s="228">
        <v>345</v>
      </c>
      <c r="CH203" s="228">
        <v>323</v>
      </c>
      <c r="CI203" s="228">
        <v>22</v>
      </c>
      <c r="CJ203" s="229">
        <v>6.9699999999999998E-2</v>
      </c>
      <c r="CK203" s="228">
        <v>46</v>
      </c>
      <c r="CL203" s="228">
        <v>44</v>
      </c>
      <c r="CM203" s="228">
        <v>2</v>
      </c>
      <c r="CN203" s="229">
        <v>3.56E-2</v>
      </c>
      <c r="CO203" s="230">
        <v>2194</v>
      </c>
      <c r="CP203" s="230">
        <v>2112</v>
      </c>
      <c r="CQ203" s="228">
        <v>82</v>
      </c>
      <c r="CR203" s="229">
        <v>3.9E-2</v>
      </c>
      <c r="CS203" s="230">
        <v>1176</v>
      </c>
      <c r="CT203" s="230">
        <v>1167</v>
      </c>
      <c r="CU203" s="228">
        <v>9</v>
      </c>
      <c r="CV203" s="229">
        <v>8.0000000000000002E-3</v>
      </c>
      <c r="CW203" s="230">
        <v>7060</v>
      </c>
      <c r="CX203" s="230">
        <v>6968</v>
      </c>
      <c r="CY203" s="228">
        <v>92</v>
      </c>
      <c r="CZ203" s="229">
        <v>1.32E-2</v>
      </c>
      <c r="DA203" s="228">
        <v>27.21</v>
      </c>
      <c r="DB203" s="228">
        <v>26.38</v>
      </c>
      <c r="DC203" s="228">
        <v>0.83</v>
      </c>
      <c r="DD203" s="228">
        <v>0.83</v>
      </c>
      <c r="DE203" s="228">
        <v>42.47</v>
      </c>
      <c r="DF203" s="228">
        <v>42.52</v>
      </c>
      <c r="DG203" s="228">
        <v>-15.26</v>
      </c>
      <c r="DH203" s="228">
        <v>-0.05</v>
      </c>
      <c r="DI203" s="228">
        <v>28.42</v>
      </c>
      <c r="DJ203" s="228">
        <v>26.49</v>
      </c>
      <c r="DK203" s="228">
        <v>1.93</v>
      </c>
      <c r="DL203" s="228">
        <v>1.93</v>
      </c>
      <c r="DM203" s="228">
        <v>24.94</v>
      </c>
      <c r="DN203" s="228">
        <v>25.97</v>
      </c>
      <c r="DO203" s="228">
        <v>-1.03</v>
      </c>
      <c r="DP203" s="228">
        <v>-1.03</v>
      </c>
      <c r="DQ203" s="228">
        <v>0.54</v>
      </c>
      <c r="DR203" s="228">
        <v>0.55000000000000004</v>
      </c>
      <c r="DS203" s="228">
        <v>-0.01</v>
      </c>
      <c r="DT203" s="229">
        <v>-1.8200000000000001E-2</v>
      </c>
      <c r="DU203" s="231">
        <v>4300</v>
      </c>
      <c r="DV203" s="231">
        <v>4000</v>
      </c>
      <c r="DW203" s="228">
        <v>0.54</v>
      </c>
      <c r="DX203" s="228">
        <v>0.26</v>
      </c>
      <c r="DY203" s="228">
        <v>0.28000000000000003</v>
      </c>
      <c r="DZ203" s="229">
        <v>1.0769</v>
      </c>
      <c r="EA203" s="229">
        <v>0.106</v>
      </c>
      <c r="EB203" s="230">
        <v>904500</v>
      </c>
      <c r="EC203" s="229">
        <v>5.5999999999999999E-3</v>
      </c>
      <c r="ED203" s="229">
        <v>0.106</v>
      </c>
      <c r="EE203" s="228">
        <v>24.54</v>
      </c>
      <c r="EF203" s="229">
        <v>6.0000000000000001E-3</v>
      </c>
      <c r="EG203" s="230">
        <v>326212</v>
      </c>
      <c r="EH203" s="230">
        <v>294490</v>
      </c>
      <c r="EI203" s="229">
        <v>0.1077</v>
      </c>
      <c r="EJ203" s="229">
        <v>0.60780000000000001</v>
      </c>
      <c r="EK203" s="231">
        <v>1785.49</v>
      </c>
      <c r="EL203" s="228">
        <v>899.63</v>
      </c>
      <c r="EM203" s="228">
        <v>255.46</v>
      </c>
      <c r="EN203" s="228">
        <v>90.39</v>
      </c>
      <c r="EO203" s="231">
        <v>2940.58</v>
      </c>
      <c r="EP203" s="231">
        <v>2680.39</v>
      </c>
      <c r="EQ203" s="228">
        <v>260.19</v>
      </c>
      <c r="ER203" s="229">
        <v>9.7100000000000006E-2</v>
      </c>
      <c r="ES203" s="231">
        <v>2393.9</v>
      </c>
      <c r="ET203" s="231">
        <v>1221.05</v>
      </c>
      <c r="EU203" s="231">
        <v>3692.41</v>
      </c>
      <c r="EV203" s="231">
        <v>33590487</v>
      </c>
      <c r="EW203" s="231">
        <v>7307.35</v>
      </c>
      <c r="EX203" s="231">
        <v>7274.68</v>
      </c>
      <c r="EY203" s="228">
        <v>32.67</v>
      </c>
      <c r="EZ203" s="229">
        <v>4.4999999999999997E-3</v>
      </c>
      <c r="FA203" s="229">
        <v>0.51800000000000002</v>
      </c>
      <c r="FB203" s="227" t="s">
        <v>567</v>
      </c>
      <c r="FC203">
        <f t="shared" si="4"/>
        <v>0</v>
      </c>
    </row>
    <row r="204" spans="1:159" ht="17.25" thickBot="1" x14ac:dyDescent="0.3">
      <c r="A204" s="226">
        <v>46008</v>
      </c>
      <c r="B204" s="227" t="s">
        <v>162</v>
      </c>
      <c r="C204" s="227" t="s">
        <v>300</v>
      </c>
      <c r="D204" s="228">
        <v>175</v>
      </c>
      <c r="E204" s="228">
        <v>13</v>
      </c>
      <c r="F204" s="231">
        <v>3643.9</v>
      </c>
      <c r="G204" s="231">
        <v>3628.8</v>
      </c>
      <c r="H204" s="228">
        <v>15.1</v>
      </c>
      <c r="I204" s="229">
        <v>4.1999999999999997E-3</v>
      </c>
      <c r="J204" s="231">
        <v>3638.9</v>
      </c>
      <c r="K204" s="231">
        <v>3619.6</v>
      </c>
      <c r="L204" s="228">
        <v>19.3</v>
      </c>
      <c r="M204" s="229">
        <v>5.3E-3</v>
      </c>
      <c r="N204" s="231">
        <v>3643.9</v>
      </c>
      <c r="O204" s="231">
        <v>3628.8</v>
      </c>
      <c r="P204" s="228">
        <v>15.1</v>
      </c>
      <c r="Q204" s="229">
        <v>4.1999999999999997E-3</v>
      </c>
      <c r="R204" s="231">
        <v>3661.7</v>
      </c>
      <c r="S204" s="231">
        <v>3643.4</v>
      </c>
      <c r="T204" s="228">
        <v>18.3</v>
      </c>
      <c r="U204" s="229">
        <v>5.0000000000000001E-3</v>
      </c>
      <c r="V204" s="231">
        <v>3671.4</v>
      </c>
      <c r="W204" s="231">
        <v>3658.8</v>
      </c>
      <c r="X204" s="228">
        <v>12.6</v>
      </c>
      <c r="Y204" s="229">
        <v>3.3999999999999998E-3</v>
      </c>
      <c r="Z204" s="228">
        <v>5</v>
      </c>
      <c r="AA204" s="228">
        <v>9.1999999999999993</v>
      </c>
      <c r="AB204" s="228">
        <v>-4.2</v>
      </c>
      <c r="AC204" s="229">
        <v>1.4E-3</v>
      </c>
      <c r="AD204" s="228">
        <v>5</v>
      </c>
      <c r="AE204" s="228">
        <v>9.1999999999999993</v>
      </c>
      <c r="AF204" s="228">
        <v>-4.2</v>
      </c>
      <c r="AG204" s="229">
        <v>1.4E-3</v>
      </c>
      <c r="AH204" s="228">
        <v>22.8</v>
      </c>
      <c r="AI204" s="228">
        <v>23.8</v>
      </c>
      <c r="AJ204" s="228">
        <v>-1</v>
      </c>
      <c r="AK204" s="229">
        <v>6.3E-3</v>
      </c>
      <c r="AL204" s="228">
        <v>32.5</v>
      </c>
      <c r="AM204" s="228">
        <v>39.200000000000003</v>
      </c>
      <c r="AN204" s="228">
        <v>-6.7</v>
      </c>
      <c r="AO204" s="229">
        <v>8.8999999999999999E-3</v>
      </c>
      <c r="AP204" s="231">
        <v>3646.32</v>
      </c>
      <c r="AQ204" s="231">
        <v>3664.11</v>
      </c>
      <c r="AR204" s="228">
        <v>0</v>
      </c>
      <c r="AS204" s="228">
        <v>165</v>
      </c>
      <c r="AT204" s="228">
        <v>136</v>
      </c>
      <c r="AU204" s="228">
        <v>28</v>
      </c>
      <c r="AV204" s="229">
        <v>0.2072</v>
      </c>
      <c r="AW204" s="228">
        <v>149</v>
      </c>
      <c r="AX204" s="228">
        <v>129</v>
      </c>
      <c r="AY204" s="228">
        <v>20</v>
      </c>
      <c r="AZ204" s="229">
        <v>0.155</v>
      </c>
      <c r="BA204" s="228">
        <v>16</v>
      </c>
      <c r="BB204" s="228">
        <v>7</v>
      </c>
      <c r="BC204" s="228">
        <v>9</v>
      </c>
      <c r="BD204" s="229">
        <v>1.1963999999999999</v>
      </c>
      <c r="BE204" s="228">
        <v>0</v>
      </c>
      <c r="BF204" s="228">
        <v>0</v>
      </c>
      <c r="BG204" s="228">
        <v>0</v>
      </c>
      <c r="BH204" s="229">
        <v>-0.57140000000000002</v>
      </c>
      <c r="BI204" s="228">
        <v>710</v>
      </c>
      <c r="BJ204" s="228">
        <v>404</v>
      </c>
      <c r="BK204" s="228">
        <v>306</v>
      </c>
      <c r="BL204" s="229">
        <v>0.75749999999999995</v>
      </c>
      <c r="BM204" s="228">
        <v>390</v>
      </c>
      <c r="BN204" s="228">
        <v>232</v>
      </c>
      <c r="BO204" s="228">
        <v>159</v>
      </c>
      <c r="BP204" s="229">
        <v>0.68440000000000001</v>
      </c>
      <c r="BQ204" s="230">
        <v>1265</v>
      </c>
      <c r="BR204" s="228">
        <v>772</v>
      </c>
      <c r="BS204" s="228">
        <v>493</v>
      </c>
      <c r="BT204" s="229">
        <v>0.63839999999999997</v>
      </c>
      <c r="BU204" s="230">
        <v>449395</v>
      </c>
      <c r="BV204" s="230">
        <v>271365</v>
      </c>
      <c r="BW204" s="230">
        <v>178030</v>
      </c>
      <c r="BX204" s="229">
        <v>0.65610000000000002</v>
      </c>
      <c r="BY204" s="230">
        <v>2724</v>
      </c>
      <c r="BZ204" s="230">
        <v>2732</v>
      </c>
      <c r="CA204" s="228">
        <v>-8</v>
      </c>
      <c r="CB204" s="229">
        <v>-2.8999999999999998E-3</v>
      </c>
      <c r="CC204" s="230">
        <v>2673</v>
      </c>
      <c r="CD204" s="230">
        <v>2688</v>
      </c>
      <c r="CE204" s="228">
        <v>-14</v>
      </c>
      <c r="CF204" s="229">
        <v>-5.4000000000000003E-3</v>
      </c>
      <c r="CG204" s="228">
        <v>38</v>
      </c>
      <c r="CH204" s="228">
        <v>32</v>
      </c>
      <c r="CI204" s="228">
        <v>6</v>
      </c>
      <c r="CJ204" s="229">
        <v>0.19919999999999999</v>
      </c>
      <c r="CK204" s="228">
        <v>13</v>
      </c>
      <c r="CL204" s="228">
        <v>13</v>
      </c>
      <c r="CM204" s="228">
        <v>0</v>
      </c>
      <c r="CN204" s="229">
        <v>0</v>
      </c>
      <c r="CO204" s="228">
        <v>661</v>
      </c>
      <c r="CP204" s="228">
        <v>661</v>
      </c>
      <c r="CQ204" s="228">
        <v>0</v>
      </c>
      <c r="CR204" s="229">
        <v>-5.0000000000000001E-4</v>
      </c>
      <c r="CS204" s="228">
        <v>655</v>
      </c>
      <c r="CT204" s="228">
        <v>650</v>
      </c>
      <c r="CU204" s="228">
        <v>5</v>
      </c>
      <c r="CV204" s="229">
        <v>7.3000000000000001E-3</v>
      </c>
      <c r="CW204" s="230">
        <v>4040</v>
      </c>
      <c r="CX204" s="230">
        <v>4043</v>
      </c>
      <c r="CY204" s="228">
        <v>-4</v>
      </c>
      <c r="CZ204" s="229">
        <v>-8.9999999999999998E-4</v>
      </c>
      <c r="DA204" s="228">
        <v>20.6</v>
      </c>
      <c r="DB204" s="228">
        <v>20.07</v>
      </c>
      <c r="DC204" s="228">
        <v>0.53</v>
      </c>
      <c r="DD204" s="228">
        <v>0.53</v>
      </c>
      <c r="DE204" s="228">
        <v>29.68</v>
      </c>
      <c r="DF204" s="228">
        <v>29.75</v>
      </c>
      <c r="DG204" s="228">
        <v>-9.08</v>
      </c>
      <c r="DH204" s="228">
        <v>-7.0000000000000007E-2</v>
      </c>
      <c r="DI204" s="228">
        <v>20.27</v>
      </c>
      <c r="DJ204" s="228">
        <v>20.010000000000002</v>
      </c>
      <c r="DK204" s="228">
        <v>0.26</v>
      </c>
      <c r="DL204" s="228">
        <v>0.26</v>
      </c>
      <c r="DM204" s="228">
        <v>21.21</v>
      </c>
      <c r="DN204" s="228">
        <v>20.170000000000002</v>
      </c>
      <c r="DO204" s="228">
        <v>1.04</v>
      </c>
      <c r="DP204" s="228">
        <v>1.04</v>
      </c>
      <c r="DQ204" s="228">
        <v>0.99</v>
      </c>
      <c r="DR204" s="228">
        <v>0.98</v>
      </c>
      <c r="DS204" s="228">
        <v>0.01</v>
      </c>
      <c r="DT204" s="229">
        <v>1.0200000000000001E-2</v>
      </c>
      <c r="DU204" s="231">
        <v>3700</v>
      </c>
      <c r="DV204" s="231">
        <v>3400</v>
      </c>
      <c r="DW204" s="228">
        <v>0.55000000000000004</v>
      </c>
      <c r="DX204" s="228">
        <v>0.56999999999999995</v>
      </c>
      <c r="DY204" s="228">
        <v>-0.02</v>
      </c>
      <c r="DZ204" s="229">
        <v>-3.5099999999999999E-2</v>
      </c>
      <c r="EA204" s="229">
        <v>1.8700000000000001E-2</v>
      </c>
      <c r="EB204" s="230">
        <v>122675</v>
      </c>
      <c r="EC204" s="229">
        <v>4.8999999999999998E-3</v>
      </c>
      <c r="ED204" s="229">
        <v>1.8700000000000001E-2</v>
      </c>
      <c r="EE204" s="228">
        <v>17.79</v>
      </c>
      <c r="EF204" s="229">
        <v>4.8999999999999998E-3</v>
      </c>
      <c r="EG204" s="230">
        <v>299749</v>
      </c>
      <c r="EH204" s="230">
        <v>148308</v>
      </c>
      <c r="EI204" s="229">
        <v>1.0210999999999999</v>
      </c>
      <c r="EJ204" s="229">
        <v>0.66700000000000004</v>
      </c>
      <c r="EK204" s="228">
        <v>731.42</v>
      </c>
      <c r="EL204" s="228">
        <v>381.13</v>
      </c>
      <c r="EM204" s="228">
        <v>164.77</v>
      </c>
      <c r="EN204" s="228">
        <v>25.06</v>
      </c>
      <c r="EO204" s="231">
        <v>1277.33</v>
      </c>
      <c r="EP204" s="228">
        <v>779.54</v>
      </c>
      <c r="EQ204" s="228">
        <v>497.79</v>
      </c>
      <c r="ER204" s="229">
        <v>0.63859999999999995</v>
      </c>
      <c r="ES204" s="228">
        <v>669.98</v>
      </c>
      <c r="ET204" s="228">
        <v>613.98</v>
      </c>
      <c r="EU204" s="231">
        <v>2724.72</v>
      </c>
      <c r="EV204" s="231">
        <v>35369445</v>
      </c>
      <c r="EW204" s="231">
        <v>4008.68</v>
      </c>
      <c r="EX204" s="231">
        <v>4000.43</v>
      </c>
      <c r="EY204" s="228">
        <v>8.25</v>
      </c>
      <c r="EZ204" s="229">
        <v>2.0999999999999999E-3</v>
      </c>
      <c r="FA204" s="229">
        <v>0.31340000000000001</v>
      </c>
      <c r="FB204" s="227" t="s">
        <v>556</v>
      </c>
      <c r="FC204">
        <f t="shared" si="4"/>
        <v>0</v>
      </c>
    </row>
    <row r="205" spans="1:159" ht="17.25" thickBot="1" x14ac:dyDescent="0.3">
      <c r="A205" s="226">
        <v>46008</v>
      </c>
      <c r="B205" s="227" t="s">
        <v>157</v>
      </c>
      <c r="C205" s="227" t="s">
        <v>302</v>
      </c>
      <c r="D205" s="228">
        <v>50</v>
      </c>
      <c r="E205" s="228">
        <v>13</v>
      </c>
      <c r="F205" s="231">
        <v>11568</v>
      </c>
      <c r="G205" s="231">
        <v>11571</v>
      </c>
      <c r="H205" s="228">
        <v>-3</v>
      </c>
      <c r="I205" s="229">
        <v>-2.9999999999999997E-4</v>
      </c>
      <c r="J205" s="231">
        <v>11540</v>
      </c>
      <c r="K205" s="231">
        <v>11528</v>
      </c>
      <c r="L205" s="228">
        <v>12</v>
      </c>
      <c r="M205" s="229">
        <v>1E-3</v>
      </c>
      <c r="N205" s="231">
        <v>11568</v>
      </c>
      <c r="O205" s="231">
        <v>11571</v>
      </c>
      <c r="P205" s="228">
        <v>-3</v>
      </c>
      <c r="Q205" s="229">
        <v>-2.9999999999999997E-4</v>
      </c>
      <c r="R205" s="231">
        <v>11637</v>
      </c>
      <c r="S205" s="231">
        <v>11639</v>
      </c>
      <c r="T205" s="228">
        <v>-2</v>
      </c>
      <c r="U205" s="229">
        <v>-2.0000000000000001E-4</v>
      </c>
      <c r="V205" s="231">
        <v>11713</v>
      </c>
      <c r="W205" s="231">
        <v>11710</v>
      </c>
      <c r="X205" s="228">
        <v>3</v>
      </c>
      <c r="Y205" s="229">
        <v>2.9999999999999997E-4</v>
      </c>
      <c r="Z205" s="228">
        <v>28</v>
      </c>
      <c r="AA205" s="228">
        <v>43</v>
      </c>
      <c r="AB205" s="228">
        <v>-15</v>
      </c>
      <c r="AC205" s="229">
        <v>2.3999999999999998E-3</v>
      </c>
      <c r="AD205" s="228">
        <v>28</v>
      </c>
      <c r="AE205" s="228">
        <v>43</v>
      </c>
      <c r="AF205" s="228">
        <v>-15</v>
      </c>
      <c r="AG205" s="229">
        <v>2.3999999999999998E-3</v>
      </c>
      <c r="AH205" s="228">
        <v>97</v>
      </c>
      <c r="AI205" s="228">
        <v>111</v>
      </c>
      <c r="AJ205" s="228">
        <v>-14</v>
      </c>
      <c r="AK205" s="229">
        <v>8.3999999999999995E-3</v>
      </c>
      <c r="AL205" s="228">
        <v>173</v>
      </c>
      <c r="AM205" s="228">
        <v>182</v>
      </c>
      <c r="AN205" s="228">
        <v>-9</v>
      </c>
      <c r="AO205" s="229">
        <v>1.4999999999999999E-2</v>
      </c>
      <c r="AP205" s="231">
        <v>11569.65</v>
      </c>
      <c r="AQ205" s="231">
        <v>11640.19</v>
      </c>
      <c r="AR205" s="228">
        <v>0</v>
      </c>
      <c r="AS205" s="228">
        <v>265</v>
      </c>
      <c r="AT205" s="228">
        <v>268</v>
      </c>
      <c r="AU205" s="228">
        <v>-4</v>
      </c>
      <c r="AV205" s="229">
        <v>-1.3599999999999999E-2</v>
      </c>
      <c r="AW205" s="228">
        <v>174</v>
      </c>
      <c r="AX205" s="228">
        <v>205</v>
      </c>
      <c r="AY205" s="228">
        <v>-32</v>
      </c>
      <c r="AZ205" s="229">
        <v>-0.1547</v>
      </c>
      <c r="BA205" s="228">
        <v>90</v>
      </c>
      <c r="BB205" s="228">
        <v>62</v>
      </c>
      <c r="BC205" s="228">
        <v>28</v>
      </c>
      <c r="BD205" s="229">
        <v>0.45029999999999998</v>
      </c>
      <c r="BE205" s="228">
        <v>1</v>
      </c>
      <c r="BF205" s="228">
        <v>1</v>
      </c>
      <c r="BG205" s="228">
        <v>0</v>
      </c>
      <c r="BH205" s="229">
        <v>6.25E-2</v>
      </c>
      <c r="BI205" s="228">
        <v>788</v>
      </c>
      <c r="BJ205" s="228">
        <v>776</v>
      </c>
      <c r="BK205" s="228">
        <v>12</v>
      </c>
      <c r="BL205" s="229">
        <v>1.54E-2</v>
      </c>
      <c r="BM205" s="228">
        <v>278</v>
      </c>
      <c r="BN205" s="228">
        <v>410</v>
      </c>
      <c r="BO205" s="228">
        <v>-132</v>
      </c>
      <c r="BP205" s="229">
        <v>-0.32100000000000001</v>
      </c>
      <c r="BQ205" s="230">
        <v>1331</v>
      </c>
      <c r="BR205" s="230">
        <v>1455</v>
      </c>
      <c r="BS205" s="228">
        <v>-123</v>
      </c>
      <c r="BT205" s="229">
        <v>-8.4699999999999998E-2</v>
      </c>
      <c r="BU205" s="230">
        <v>208589</v>
      </c>
      <c r="BV205" s="230">
        <v>188841</v>
      </c>
      <c r="BW205" s="230">
        <v>19748</v>
      </c>
      <c r="BX205" s="229">
        <v>0.1046</v>
      </c>
      <c r="BY205" s="230">
        <v>3411</v>
      </c>
      <c r="BZ205" s="230">
        <v>3367</v>
      </c>
      <c r="CA205" s="228">
        <v>43</v>
      </c>
      <c r="CB205" s="229">
        <v>1.29E-2</v>
      </c>
      <c r="CC205" s="230">
        <v>3107</v>
      </c>
      <c r="CD205" s="230">
        <v>3135</v>
      </c>
      <c r="CE205" s="228">
        <v>-28</v>
      </c>
      <c r="CF205" s="229">
        <v>-8.9999999999999993E-3</v>
      </c>
      <c r="CG205" s="228">
        <v>289</v>
      </c>
      <c r="CH205" s="228">
        <v>218</v>
      </c>
      <c r="CI205" s="228">
        <v>71</v>
      </c>
      <c r="CJ205" s="229">
        <v>0.3271</v>
      </c>
      <c r="CK205" s="228">
        <v>15</v>
      </c>
      <c r="CL205" s="228">
        <v>14</v>
      </c>
      <c r="CM205" s="228">
        <v>0</v>
      </c>
      <c r="CN205" s="229">
        <v>3.2800000000000003E-2</v>
      </c>
      <c r="CO205" s="230">
        <v>1159</v>
      </c>
      <c r="CP205" s="230">
        <v>1114</v>
      </c>
      <c r="CQ205" s="228">
        <v>44</v>
      </c>
      <c r="CR205" s="229">
        <v>3.9800000000000002E-2</v>
      </c>
      <c r="CS205" s="228">
        <v>680</v>
      </c>
      <c r="CT205" s="228">
        <v>669</v>
      </c>
      <c r="CU205" s="228">
        <v>11</v>
      </c>
      <c r="CV205" s="229">
        <v>1.66E-2</v>
      </c>
      <c r="CW205" s="230">
        <v>5250</v>
      </c>
      <c r="CX205" s="230">
        <v>5151</v>
      </c>
      <c r="CY205" s="228">
        <v>99</v>
      </c>
      <c r="CZ205" s="229">
        <v>1.9199999999999998E-2</v>
      </c>
      <c r="DA205" s="228">
        <v>16.559999999999999</v>
      </c>
      <c r="DB205" s="228">
        <v>16.8</v>
      </c>
      <c r="DC205" s="228">
        <v>-0.24</v>
      </c>
      <c r="DD205" s="228">
        <v>-0.24</v>
      </c>
      <c r="DE205" s="228">
        <v>24.06</v>
      </c>
      <c r="DF205" s="228">
        <v>24.12</v>
      </c>
      <c r="DG205" s="228">
        <v>-7.5</v>
      </c>
      <c r="DH205" s="228">
        <v>-0.06</v>
      </c>
      <c r="DI205" s="228">
        <v>16.91</v>
      </c>
      <c r="DJ205" s="228">
        <v>17.34</v>
      </c>
      <c r="DK205" s="228">
        <v>-0.43</v>
      </c>
      <c r="DL205" s="228">
        <v>-0.43</v>
      </c>
      <c r="DM205" s="228">
        <v>15.58</v>
      </c>
      <c r="DN205" s="228">
        <v>15.77</v>
      </c>
      <c r="DO205" s="228">
        <v>-0.19</v>
      </c>
      <c r="DP205" s="228">
        <v>-0.19</v>
      </c>
      <c r="DQ205" s="228">
        <v>0.59</v>
      </c>
      <c r="DR205" s="228">
        <v>0.6</v>
      </c>
      <c r="DS205" s="228">
        <v>-0.01</v>
      </c>
      <c r="DT205" s="229">
        <v>-1.67E-2</v>
      </c>
      <c r="DU205" s="231">
        <v>12000</v>
      </c>
      <c r="DV205" s="231">
        <v>10800</v>
      </c>
      <c r="DW205" s="228">
        <v>0.35</v>
      </c>
      <c r="DX205" s="228">
        <v>0.53</v>
      </c>
      <c r="DY205" s="228">
        <v>-0.18</v>
      </c>
      <c r="DZ205" s="229">
        <v>-0.33960000000000001</v>
      </c>
      <c r="EA205" s="229">
        <v>8.9099999999999999E-2</v>
      </c>
      <c r="EB205" s="230">
        <v>200700</v>
      </c>
      <c r="EC205" s="229">
        <v>6.0000000000000001E-3</v>
      </c>
      <c r="ED205" s="229">
        <v>8.9099999999999999E-2</v>
      </c>
      <c r="EE205" s="228">
        <v>70.540000000000006</v>
      </c>
      <c r="EF205" s="229">
        <v>6.1000000000000004E-3</v>
      </c>
      <c r="EG205" s="230">
        <v>137767</v>
      </c>
      <c r="EH205" s="230">
        <v>129360</v>
      </c>
      <c r="EI205" s="229">
        <v>6.5000000000000002E-2</v>
      </c>
      <c r="EJ205" s="229">
        <v>0.66049999999999998</v>
      </c>
      <c r="EK205" s="228">
        <v>814</v>
      </c>
      <c r="EL205" s="228">
        <v>276.43</v>
      </c>
      <c r="EM205" s="228">
        <v>265.45</v>
      </c>
      <c r="EN205" s="228">
        <v>51.42</v>
      </c>
      <c r="EO205" s="231">
        <v>1355.88</v>
      </c>
      <c r="EP205" s="231">
        <v>1483.68</v>
      </c>
      <c r="EQ205" s="228">
        <v>-127.8</v>
      </c>
      <c r="ER205" s="229">
        <v>-8.6099999999999996E-2</v>
      </c>
      <c r="ES205" s="231">
        <v>1213.1500000000001</v>
      </c>
      <c r="ET205" s="228">
        <v>664.29</v>
      </c>
      <c r="EU205" s="231">
        <v>3412.44</v>
      </c>
      <c r="EV205" s="231">
        <v>11962066</v>
      </c>
      <c r="EW205" s="231">
        <v>5289.89</v>
      </c>
      <c r="EX205" s="231">
        <v>5191.6899999999996</v>
      </c>
      <c r="EY205" s="228">
        <v>98.2</v>
      </c>
      <c r="EZ205" s="229">
        <v>1.89E-2</v>
      </c>
      <c r="FA205" s="229">
        <v>0.37940000000000002</v>
      </c>
      <c r="FB205" s="227" t="s">
        <v>567</v>
      </c>
      <c r="FC205">
        <f t="shared" si="4"/>
        <v>0</v>
      </c>
    </row>
    <row r="206" spans="1:159" ht="17.25" thickBot="1" x14ac:dyDescent="0.3">
      <c r="A206" s="226">
        <v>46008</v>
      </c>
      <c r="B206" s="227" t="s">
        <v>172</v>
      </c>
      <c r="C206" s="227" t="s">
        <v>593</v>
      </c>
      <c r="D206" s="228">
        <v>4425</v>
      </c>
      <c r="E206" s="228">
        <v>13</v>
      </c>
      <c r="F206" s="228">
        <v>153.55000000000001</v>
      </c>
      <c r="G206" s="228">
        <v>153.22</v>
      </c>
      <c r="H206" s="228">
        <v>0.33</v>
      </c>
      <c r="I206" s="229">
        <v>2.2000000000000001E-3</v>
      </c>
      <c r="J206" s="228">
        <v>153.04</v>
      </c>
      <c r="K206" s="228">
        <v>153.19999999999999</v>
      </c>
      <c r="L206" s="228">
        <v>-0.16</v>
      </c>
      <c r="M206" s="229">
        <v>-1E-3</v>
      </c>
      <c r="N206" s="228">
        <v>153.55000000000001</v>
      </c>
      <c r="O206" s="228">
        <v>153.22</v>
      </c>
      <c r="P206" s="228">
        <v>0.33</v>
      </c>
      <c r="Q206" s="229">
        <v>2.2000000000000001E-3</v>
      </c>
      <c r="R206" s="228">
        <v>154.1</v>
      </c>
      <c r="S206" s="228">
        <v>153.6</v>
      </c>
      <c r="T206" s="228">
        <v>0.5</v>
      </c>
      <c r="U206" s="229">
        <v>3.3E-3</v>
      </c>
      <c r="V206" s="228">
        <v>154.79</v>
      </c>
      <c r="W206" s="228">
        <v>154.07</v>
      </c>
      <c r="X206" s="228">
        <v>0.72</v>
      </c>
      <c r="Y206" s="229">
        <v>4.7000000000000002E-3</v>
      </c>
      <c r="Z206" s="228">
        <v>0.51</v>
      </c>
      <c r="AA206" s="228">
        <v>0.02</v>
      </c>
      <c r="AB206" s="228">
        <v>0.49</v>
      </c>
      <c r="AC206" s="229">
        <v>3.3E-3</v>
      </c>
      <c r="AD206" s="228">
        <v>0.51</v>
      </c>
      <c r="AE206" s="228">
        <v>0.02</v>
      </c>
      <c r="AF206" s="228">
        <v>0.49</v>
      </c>
      <c r="AG206" s="229">
        <v>3.3E-3</v>
      </c>
      <c r="AH206" s="228">
        <v>1.06</v>
      </c>
      <c r="AI206" s="228">
        <v>0.4</v>
      </c>
      <c r="AJ206" s="228">
        <v>0.66</v>
      </c>
      <c r="AK206" s="229">
        <v>6.8999999999999999E-3</v>
      </c>
      <c r="AL206" s="228">
        <v>1.75</v>
      </c>
      <c r="AM206" s="228">
        <v>0.87</v>
      </c>
      <c r="AN206" s="228">
        <v>0.88</v>
      </c>
      <c r="AO206" s="229">
        <v>1.14E-2</v>
      </c>
      <c r="AP206" s="228">
        <v>153.85</v>
      </c>
      <c r="AQ206" s="228">
        <v>154.31</v>
      </c>
      <c r="AR206" s="228">
        <v>0</v>
      </c>
      <c r="AS206" s="228">
        <v>180</v>
      </c>
      <c r="AT206" s="228">
        <v>141</v>
      </c>
      <c r="AU206" s="228">
        <v>38</v>
      </c>
      <c r="AV206" s="229">
        <v>0.27179999999999999</v>
      </c>
      <c r="AW206" s="228">
        <v>146</v>
      </c>
      <c r="AX206" s="228">
        <v>116</v>
      </c>
      <c r="AY206" s="228">
        <v>30</v>
      </c>
      <c r="AZ206" s="229">
        <v>0.2586</v>
      </c>
      <c r="BA206" s="228">
        <v>32</v>
      </c>
      <c r="BB206" s="228">
        <v>24</v>
      </c>
      <c r="BC206" s="228">
        <v>8</v>
      </c>
      <c r="BD206" s="229">
        <v>0.32769999999999999</v>
      </c>
      <c r="BE206" s="228">
        <v>1</v>
      </c>
      <c r="BF206" s="228">
        <v>1</v>
      </c>
      <c r="BG206" s="228">
        <v>0</v>
      </c>
      <c r="BH206" s="229">
        <v>0.55559999999999998</v>
      </c>
      <c r="BI206" s="228">
        <v>258</v>
      </c>
      <c r="BJ206" s="228">
        <v>181</v>
      </c>
      <c r="BK206" s="228">
        <v>77</v>
      </c>
      <c r="BL206" s="229">
        <v>0.4249</v>
      </c>
      <c r="BM206" s="228">
        <v>137</v>
      </c>
      <c r="BN206" s="228">
        <v>112</v>
      </c>
      <c r="BO206" s="228">
        <v>26</v>
      </c>
      <c r="BP206" s="229">
        <v>0.22950000000000001</v>
      </c>
      <c r="BQ206" s="228">
        <v>575</v>
      </c>
      <c r="BR206" s="228">
        <v>434</v>
      </c>
      <c r="BS206" s="228">
        <v>141</v>
      </c>
      <c r="BT206" s="229">
        <v>0.32469999999999999</v>
      </c>
      <c r="BU206" s="230">
        <v>10114338</v>
      </c>
      <c r="BV206" s="230">
        <v>7441082</v>
      </c>
      <c r="BW206" s="230">
        <v>2673256</v>
      </c>
      <c r="BX206" s="229">
        <v>0.35930000000000001</v>
      </c>
      <c r="BY206" s="230">
        <v>1175</v>
      </c>
      <c r="BZ206" s="230">
        <v>1168</v>
      </c>
      <c r="CA206" s="228">
        <v>6</v>
      </c>
      <c r="CB206" s="229">
        <v>5.3E-3</v>
      </c>
      <c r="CC206" s="230">
        <v>1049</v>
      </c>
      <c r="CD206" s="230">
        <v>1051</v>
      </c>
      <c r="CE206" s="228">
        <v>-2</v>
      </c>
      <c r="CF206" s="229">
        <v>-1.9E-3</v>
      </c>
      <c r="CG206" s="228">
        <v>115</v>
      </c>
      <c r="CH206" s="228">
        <v>108</v>
      </c>
      <c r="CI206" s="228">
        <v>8</v>
      </c>
      <c r="CJ206" s="229">
        <v>7.1400000000000005E-2</v>
      </c>
      <c r="CK206" s="228">
        <v>10</v>
      </c>
      <c r="CL206" s="228">
        <v>10</v>
      </c>
      <c r="CM206" s="228">
        <v>1</v>
      </c>
      <c r="CN206" s="229">
        <v>5.5899999999999998E-2</v>
      </c>
      <c r="CO206" s="228">
        <v>599</v>
      </c>
      <c r="CP206" s="228">
        <v>597</v>
      </c>
      <c r="CQ206" s="228">
        <v>3</v>
      </c>
      <c r="CR206" s="229">
        <v>4.3E-3</v>
      </c>
      <c r="CS206" s="228">
        <v>404</v>
      </c>
      <c r="CT206" s="228">
        <v>408</v>
      </c>
      <c r="CU206" s="228">
        <v>-3</v>
      </c>
      <c r="CV206" s="229">
        <v>-8.2000000000000007E-3</v>
      </c>
      <c r="CW206" s="230">
        <v>2178</v>
      </c>
      <c r="CX206" s="230">
        <v>2173</v>
      </c>
      <c r="CY206" s="228">
        <v>5</v>
      </c>
      <c r="CZ206" s="229">
        <v>2.5000000000000001E-3</v>
      </c>
      <c r="DA206" s="228">
        <v>29.15</v>
      </c>
      <c r="DB206" s="228">
        <v>29.54</v>
      </c>
      <c r="DC206" s="228">
        <v>-0.39</v>
      </c>
      <c r="DD206" s="228">
        <v>-0.39</v>
      </c>
      <c r="DE206" s="228">
        <v>40.74</v>
      </c>
      <c r="DF206" s="228">
        <v>40.840000000000003</v>
      </c>
      <c r="DG206" s="228">
        <v>-11.59</v>
      </c>
      <c r="DH206" s="228">
        <v>-0.1</v>
      </c>
      <c r="DI206" s="228">
        <v>29.25</v>
      </c>
      <c r="DJ206" s="228">
        <v>29.8</v>
      </c>
      <c r="DK206" s="228">
        <v>-0.55000000000000004</v>
      </c>
      <c r="DL206" s="228">
        <v>-0.55000000000000004</v>
      </c>
      <c r="DM206" s="228">
        <v>28.96</v>
      </c>
      <c r="DN206" s="228">
        <v>29.13</v>
      </c>
      <c r="DO206" s="228">
        <v>-0.17</v>
      </c>
      <c r="DP206" s="228">
        <v>-0.17</v>
      </c>
      <c r="DQ206" s="228">
        <v>0.67</v>
      </c>
      <c r="DR206" s="228">
        <v>0.68</v>
      </c>
      <c r="DS206" s="228">
        <v>-0.01</v>
      </c>
      <c r="DT206" s="229">
        <v>-1.47E-2</v>
      </c>
      <c r="DU206" s="228">
        <v>160</v>
      </c>
      <c r="DV206" s="228">
        <v>150</v>
      </c>
      <c r="DW206" s="228">
        <v>0.53</v>
      </c>
      <c r="DX206" s="228">
        <v>0.62</v>
      </c>
      <c r="DY206" s="228">
        <v>-0.09</v>
      </c>
      <c r="DZ206" s="229">
        <v>-0.1452</v>
      </c>
      <c r="EA206" s="229">
        <v>0.10680000000000001</v>
      </c>
      <c r="EB206" s="230">
        <v>7637550</v>
      </c>
      <c r="EC206" s="229">
        <v>3.5999999999999999E-3</v>
      </c>
      <c r="ED206" s="229">
        <v>0.10680000000000001</v>
      </c>
      <c r="EE206" s="228">
        <v>0.46</v>
      </c>
      <c r="EF206" s="229">
        <v>3.0000000000000001E-3</v>
      </c>
      <c r="EG206" s="230">
        <v>5645089</v>
      </c>
      <c r="EH206" s="230">
        <v>3534755</v>
      </c>
      <c r="EI206" s="229">
        <v>0.59699999999999998</v>
      </c>
      <c r="EJ206" s="229">
        <v>0.55810000000000004</v>
      </c>
      <c r="EK206" s="228">
        <v>269.12</v>
      </c>
      <c r="EL206" s="228">
        <v>134.66</v>
      </c>
      <c r="EM206" s="228">
        <v>180.11</v>
      </c>
      <c r="EN206" s="228">
        <v>26.51</v>
      </c>
      <c r="EO206" s="228">
        <v>583.89</v>
      </c>
      <c r="EP206" s="228">
        <v>437.42</v>
      </c>
      <c r="EQ206" s="228">
        <v>146.47</v>
      </c>
      <c r="ER206" s="229">
        <v>0.33479999999999999</v>
      </c>
      <c r="ES206" s="228">
        <v>624.51</v>
      </c>
      <c r="ET206" s="228">
        <v>388.42</v>
      </c>
      <c r="EU206" s="231">
        <v>1175.01</v>
      </c>
      <c r="EV206" s="231">
        <v>289041713</v>
      </c>
      <c r="EW206" s="231">
        <v>2187.94</v>
      </c>
      <c r="EX206" s="231">
        <v>2178.94</v>
      </c>
      <c r="EY206" s="228">
        <v>9</v>
      </c>
      <c r="EZ206" s="229">
        <v>4.1000000000000003E-3</v>
      </c>
      <c r="FA206" s="229">
        <v>0.49080000000000001</v>
      </c>
      <c r="FB206" s="227" t="s">
        <v>555</v>
      </c>
      <c r="FC206">
        <f t="shared" si="4"/>
        <v>0</v>
      </c>
    </row>
    <row r="207" spans="1:159" ht="17.25" thickBot="1" x14ac:dyDescent="0.3">
      <c r="A207" s="226">
        <v>46008</v>
      </c>
      <c r="B207" s="227" t="s">
        <v>168</v>
      </c>
      <c r="C207" s="227" t="s">
        <v>569</v>
      </c>
      <c r="D207" s="228">
        <v>400</v>
      </c>
      <c r="E207" s="228">
        <v>13</v>
      </c>
      <c r="F207" s="231">
        <v>1422.1</v>
      </c>
      <c r="G207" s="231">
        <v>1453.3</v>
      </c>
      <c r="H207" s="228">
        <v>-31.2</v>
      </c>
      <c r="I207" s="229">
        <v>-2.1499999999999998E-2</v>
      </c>
      <c r="J207" s="231">
        <v>1424.9</v>
      </c>
      <c r="K207" s="231">
        <v>1451.4</v>
      </c>
      <c r="L207" s="228">
        <v>-26.5</v>
      </c>
      <c r="M207" s="229">
        <v>-1.83E-2</v>
      </c>
      <c r="N207" s="231">
        <v>1422.1</v>
      </c>
      <c r="O207" s="231">
        <v>1453.3</v>
      </c>
      <c r="P207" s="228">
        <v>-31.2</v>
      </c>
      <c r="Q207" s="229">
        <v>-2.1499999999999998E-2</v>
      </c>
      <c r="R207" s="231">
        <v>1430.1</v>
      </c>
      <c r="S207" s="231">
        <v>1462.2</v>
      </c>
      <c r="T207" s="228">
        <v>-32.1</v>
      </c>
      <c r="U207" s="229">
        <v>-2.1999999999999999E-2</v>
      </c>
      <c r="V207" s="231">
        <v>1442.5</v>
      </c>
      <c r="W207" s="231">
        <v>1463.5</v>
      </c>
      <c r="X207" s="228">
        <v>-21</v>
      </c>
      <c r="Y207" s="229">
        <v>-1.43E-2</v>
      </c>
      <c r="Z207" s="228">
        <v>-2.8</v>
      </c>
      <c r="AA207" s="228">
        <v>1.9</v>
      </c>
      <c r="AB207" s="228">
        <v>-4.7</v>
      </c>
      <c r="AC207" s="229">
        <v>-2E-3</v>
      </c>
      <c r="AD207" s="228">
        <v>-2.8</v>
      </c>
      <c r="AE207" s="228">
        <v>1.9</v>
      </c>
      <c r="AF207" s="228">
        <v>-4.7</v>
      </c>
      <c r="AG207" s="229">
        <v>-2E-3</v>
      </c>
      <c r="AH207" s="228">
        <v>5.2</v>
      </c>
      <c r="AI207" s="228">
        <v>10.8</v>
      </c>
      <c r="AJ207" s="228">
        <v>-5.6</v>
      </c>
      <c r="AK207" s="229">
        <v>3.5999999999999999E-3</v>
      </c>
      <c r="AL207" s="228">
        <v>17.600000000000001</v>
      </c>
      <c r="AM207" s="228">
        <v>12.1</v>
      </c>
      <c r="AN207" s="228">
        <v>5.5</v>
      </c>
      <c r="AO207" s="229">
        <v>1.24E-2</v>
      </c>
      <c r="AP207" s="231">
        <v>1436.3</v>
      </c>
      <c r="AQ207" s="231">
        <v>1446.97</v>
      </c>
      <c r="AR207" s="228">
        <v>0</v>
      </c>
      <c r="AS207" s="228">
        <v>323</v>
      </c>
      <c r="AT207" s="228">
        <v>123</v>
      </c>
      <c r="AU207" s="228">
        <v>200</v>
      </c>
      <c r="AV207" s="229">
        <v>1.6257999999999999</v>
      </c>
      <c r="AW207" s="228">
        <v>289</v>
      </c>
      <c r="AX207" s="228">
        <v>115</v>
      </c>
      <c r="AY207" s="228">
        <v>174</v>
      </c>
      <c r="AZ207" s="229">
        <v>1.5201</v>
      </c>
      <c r="BA207" s="228">
        <v>33</v>
      </c>
      <c r="BB207" s="228">
        <v>8</v>
      </c>
      <c r="BC207" s="228">
        <v>25</v>
      </c>
      <c r="BD207" s="229">
        <v>3.1583000000000001</v>
      </c>
      <c r="BE207" s="228">
        <v>1</v>
      </c>
      <c r="BF207" s="228">
        <v>0</v>
      </c>
      <c r="BG207" s="228">
        <v>1</v>
      </c>
      <c r="BH207" s="229">
        <v>1.625</v>
      </c>
      <c r="BI207" s="228">
        <v>525</v>
      </c>
      <c r="BJ207" s="228">
        <v>209</v>
      </c>
      <c r="BK207" s="228">
        <v>315</v>
      </c>
      <c r="BL207" s="229">
        <v>1.5062</v>
      </c>
      <c r="BM207" s="228">
        <v>439</v>
      </c>
      <c r="BN207" s="228">
        <v>52</v>
      </c>
      <c r="BO207" s="228">
        <v>388</v>
      </c>
      <c r="BP207" s="229">
        <v>7.4797000000000002</v>
      </c>
      <c r="BQ207" s="230">
        <v>1287</v>
      </c>
      <c r="BR207" s="228">
        <v>384</v>
      </c>
      <c r="BS207" s="228">
        <v>903</v>
      </c>
      <c r="BT207" s="229">
        <v>2.3500999999999999</v>
      </c>
      <c r="BU207" s="230">
        <v>1185574</v>
      </c>
      <c r="BV207" s="230">
        <v>431893</v>
      </c>
      <c r="BW207" s="230">
        <v>753681</v>
      </c>
      <c r="BX207" s="229">
        <v>1.7451000000000001</v>
      </c>
      <c r="BY207" s="230">
        <v>1785</v>
      </c>
      <c r="BZ207" s="230">
        <v>1775</v>
      </c>
      <c r="CA207" s="228">
        <v>10</v>
      </c>
      <c r="CB207" s="229">
        <v>5.4000000000000003E-3</v>
      </c>
      <c r="CC207" s="230">
        <v>1734</v>
      </c>
      <c r="CD207" s="230">
        <v>1743</v>
      </c>
      <c r="CE207" s="228">
        <v>-9</v>
      </c>
      <c r="CF207" s="229">
        <v>-5.3E-3</v>
      </c>
      <c r="CG207" s="228">
        <v>47</v>
      </c>
      <c r="CH207" s="228">
        <v>29</v>
      </c>
      <c r="CI207" s="228">
        <v>18</v>
      </c>
      <c r="CJ207" s="229">
        <v>0.64339999999999997</v>
      </c>
      <c r="CK207" s="228">
        <v>4</v>
      </c>
      <c r="CL207" s="228">
        <v>3</v>
      </c>
      <c r="CM207" s="228">
        <v>1</v>
      </c>
      <c r="CN207" s="229">
        <v>0.15</v>
      </c>
      <c r="CO207" s="228">
        <v>573</v>
      </c>
      <c r="CP207" s="228">
        <v>506</v>
      </c>
      <c r="CQ207" s="228">
        <v>67</v>
      </c>
      <c r="CR207" s="229">
        <v>0.1326</v>
      </c>
      <c r="CS207" s="228">
        <v>486</v>
      </c>
      <c r="CT207" s="228">
        <v>378</v>
      </c>
      <c r="CU207" s="228">
        <v>108</v>
      </c>
      <c r="CV207" s="229">
        <v>0.28589999999999999</v>
      </c>
      <c r="CW207" s="230">
        <v>2844</v>
      </c>
      <c r="CX207" s="230">
        <v>2659</v>
      </c>
      <c r="CY207" s="228">
        <v>185</v>
      </c>
      <c r="CZ207" s="229">
        <v>6.9500000000000006E-2</v>
      </c>
      <c r="DA207" s="228">
        <v>22.34</v>
      </c>
      <c r="DB207" s="228">
        <v>19.079999999999998</v>
      </c>
      <c r="DC207" s="228">
        <v>3.26</v>
      </c>
      <c r="DD207" s="228">
        <v>3.26</v>
      </c>
      <c r="DE207" s="228">
        <v>27.04</v>
      </c>
      <c r="DF207" s="228">
        <v>26.99</v>
      </c>
      <c r="DG207" s="228">
        <v>-4.7</v>
      </c>
      <c r="DH207" s="228">
        <v>0.05</v>
      </c>
      <c r="DI207" s="228">
        <v>22.77</v>
      </c>
      <c r="DJ207" s="228">
        <v>19.059999999999999</v>
      </c>
      <c r="DK207" s="228">
        <v>3.71</v>
      </c>
      <c r="DL207" s="228">
        <v>3.71</v>
      </c>
      <c r="DM207" s="228">
        <v>21.83</v>
      </c>
      <c r="DN207" s="228">
        <v>19.18</v>
      </c>
      <c r="DO207" s="228">
        <v>2.65</v>
      </c>
      <c r="DP207" s="228">
        <v>2.65</v>
      </c>
      <c r="DQ207" s="228">
        <v>0.85</v>
      </c>
      <c r="DR207" s="228">
        <v>0.75</v>
      </c>
      <c r="DS207" s="228">
        <v>0.1</v>
      </c>
      <c r="DT207" s="229">
        <v>0.1333</v>
      </c>
      <c r="DU207" s="231">
        <v>1500</v>
      </c>
      <c r="DV207" s="231">
        <v>1400</v>
      </c>
      <c r="DW207" s="228">
        <v>0.84</v>
      </c>
      <c r="DX207" s="228">
        <v>0.25</v>
      </c>
      <c r="DY207" s="228">
        <v>0.59</v>
      </c>
      <c r="DZ207" s="229">
        <v>2.36</v>
      </c>
      <c r="EA207" s="229">
        <v>2.8500000000000001E-2</v>
      </c>
      <c r="EB207" s="230">
        <v>224800</v>
      </c>
      <c r="EC207" s="229">
        <v>5.5999999999999999E-3</v>
      </c>
      <c r="ED207" s="229">
        <v>2.8500000000000001E-2</v>
      </c>
      <c r="EE207" s="228">
        <v>10.67</v>
      </c>
      <c r="EF207" s="229">
        <v>7.4000000000000003E-3</v>
      </c>
      <c r="EG207" s="230">
        <v>885836</v>
      </c>
      <c r="EH207" s="230">
        <v>303754</v>
      </c>
      <c r="EI207" s="229">
        <v>1.9162999999999999</v>
      </c>
      <c r="EJ207" s="229">
        <v>0.74719999999999998</v>
      </c>
      <c r="EK207" s="228">
        <v>547.17999999999995</v>
      </c>
      <c r="EL207" s="228">
        <v>441.36</v>
      </c>
      <c r="EM207" s="228">
        <v>326.42</v>
      </c>
      <c r="EN207" s="228">
        <v>19.89</v>
      </c>
      <c r="EO207" s="231">
        <v>1314.96</v>
      </c>
      <c r="EP207" s="228">
        <v>396.99</v>
      </c>
      <c r="EQ207" s="228">
        <v>917.97</v>
      </c>
      <c r="ER207" s="229">
        <v>2.3123999999999998</v>
      </c>
      <c r="ES207" s="228">
        <v>598.1</v>
      </c>
      <c r="ET207" s="228">
        <v>480.53</v>
      </c>
      <c r="EU207" s="231">
        <v>1785</v>
      </c>
      <c r="EV207" s="231">
        <v>47269416</v>
      </c>
      <c r="EW207" s="231">
        <v>2863.63</v>
      </c>
      <c r="EX207" s="231">
        <v>2717.8</v>
      </c>
      <c r="EY207" s="228">
        <v>145.83000000000001</v>
      </c>
      <c r="EZ207" s="229">
        <v>5.3699999999999998E-2</v>
      </c>
      <c r="FA207" s="229">
        <v>0.42299999999999999</v>
      </c>
      <c r="FB207" s="227" t="s">
        <v>567</v>
      </c>
      <c r="FC207">
        <f t="shared" si="4"/>
        <v>0</v>
      </c>
    </row>
    <row r="208" spans="1:159" ht="17.25" thickBot="1" x14ac:dyDescent="0.3">
      <c r="A208" s="226">
        <v>46008</v>
      </c>
      <c r="B208" s="227" t="s">
        <v>162</v>
      </c>
      <c r="C208" s="227" t="s">
        <v>675</v>
      </c>
      <c r="D208" s="228">
        <v>550</v>
      </c>
      <c r="E208" s="228">
        <v>13</v>
      </c>
      <c r="F208" s="231">
        <v>1251.5</v>
      </c>
      <c r="G208" s="231">
        <v>1258.7</v>
      </c>
      <c r="H208" s="228">
        <v>-7.2</v>
      </c>
      <c r="I208" s="229">
        <v>-5.7000000000000002E-3</v>
      </c>
      <c r="J208" s="231">
        <v>1248.8</v>
      </c>
      <c r="K208" s="231">
        <v>1257</v>
      </c>
      <c r="L208" s="228">
        <v>-8.1999999999999993</v>
      </c>
      <c r="M208" s="229">
        <v>-6.4999999999999997E-3</v>
      </c>
      <c r="N208" s="231">
        <v>1251.5</v>
      </c>
      <c r="O208" s="231">
        <v>1258.7</v>
      </c>
      <c r="P208" s="228">
        <v>-7.2</v>
      </c>
      <c r="Q208" s="229">
        <v>-5.7000000000000002E-3</v>
      </c>
      <c r="R208" s="231">
        <v>1258.9000000000001</v>
      </c>
      <c r="S208" s="231">
        <v>1266.4000000000001</v>
      </c>
      <c r="T208" s="228">
        <v>-7.5</v>
      </c>
      <c r="U208" s="229">
        <v>-5.8999999999999999E-3</v>
      </c>
      <c r="V208" s="231">
        <v>1256</v>
      </c>
      <c r="W208" s="231">
        <v>1270.5</v>
      </c>
      <c r="X208" s="228">
        <v>-14.5</v>
      </c>
      <c r="Y208" s="229">
        <v>-1.14E-2</v>
      </c>
      <c r="Z208" s="228">
        <v>2.7</v>
      </c>
      <c r="AA208" s="228">
        <v>1.7</v>
      </c>
      <c r="AB208" s="228">
        <v>1</v>
      </c>
      <c r="AC208" s="229">
        <v>2.2000000000000001E-3</v>
      </c>
      <c r="AD208" s="228">
        <v>2.7</v>
      </c>
      <c r="AE208" s="228">
        <v>1.7</v>
      </c>
      <c r="AF208" s="228">
        <v>1</v>
      </c>
      <c r="AG208" s="229">
        <v>2.2000000000000001E-3</v>
      </c>
      <c r="AH208" s="228">
        <v>10.1</v>
      </c>
      <c r="AI208" s="228">
        <v>9.4</v>
      </c>
      <c r="AJ208" s="228">
        <v>0.7</v>
      </c>
      <c r="AK208" s="229">
        <v>8.0999999999999996E-3</v>
      </c>
      <c r="AL208" s="228">
        <v>7.2</v>
      </c>
      <c r="AM208" s="228">
        <v>13.5</v>
      </c>
      <c r="AN208" s="228">
        <v>-6.3</v>
      </c>
      <c r="AO208" s="229">
        <v>5.7999999999999996E-3</v>
      </c>
      <c r="AP208" s="231">
        <v>1255.44</v>
      </c>
      <c r="AQ208" s="231">
        <v>1261.24</v>
      </c>
      <c r="AR208" s="228">
        <v>0</v>
      </c>
      <c r="AS208" s="228">
        <v>51</v>
      </c>
      <c r="AT208" s="228">
        <v>399</v>
      </c>
      <c r="AU208" s="228">
        <v>-348</v>
      </c>
      <c r="AV208" s="229">
        <v>-0.871</v>
      </c>
      <c r="AW208" s="228">
        <v>49</v>
      </c>
      <c r="AX208" s="228">
        <v>320</v>
      </c>
      <c r="AY208" s="228">
        <v>-271</v>
      </c>
      <c r="AZ208" s="229">
        <v>-0.84760000000000002</v>
      </c>
      <c r="BA208" s="228">
        <v>3</v>
      </c>
      <c r="BB208" s="228">
        <v>79</v>
      </c>
      <c r="BC208" s="228">
        <v>-76</v>
      </c>
      <c r="BD208" s="229">
        <v>-0.96689999999999998</v>
      </c>
      <c r="BE208" s="228">
        <v>0</v>
      </c>
      <c r="BF208" s="228">
        <v>0</v>
      </c>
      <c r="BG208" s="228">
        <v>0</v>
      </c>
      <c r="BH208" s="229">
        <v>-0.71430000000000005</v>
      </c>
      <c r="BI208" s="228">
        <v>150</v>
      </c>
      <c r="BJ208" s="230">
        <v>1046</v>
      </c>
      <c r="BK208" s="228">
        <v>-896</v>
      </c>
      <c r="BL208" s="229">
        <v>-0.85650000000000004</v>
      </c>
      <c r="BM208" s="228">
        <v>54</v>
      </c>
      <c r="BN208" s="228">
        <v>714</v>
      </c>
      <c r="BO208" s="228">
        <v>-660</v>
      </c>
      <c r="BP208" s="229">
        <v>-0.9244</v>
      </c>
      <c r="BQ208" s="228">
        <v>256</v>
      </c>
      <c r="BR208" s="230">
        <v>2159</v>
      </c>
      <c r="BS208" s="230">
        <v>-1903</v>
      </c>
      <c r="BT208" s="229">
        <v>-0.88160000000000005</v>
      </c>
      <c r="BU208" s="230">
        <v>383340</v>
      </c>
      <c r="BV208" s="230">
        <v>1145261</v>
      </c>
      <c r="BW208" s="230">
        <v>-761921</v>
      </c>
      <c r="BX208" s="229">
        <v>-0.6653</v>
      </c>
      <c r="BY208" s="228">
        <v>540</v>
      </c>
      <c r="BZ208" s="228">
        <v>551</v>
      </c>
      <c r="CA208" s="228">
        <v>-11</v>
      </c>
      <c r="CB208" s="229">
        <v>-1.9400000000000001E-2</v>
      </c>
      <c r="CC208" s="228">
        <v>516</v>
      </c>
      <c r="CD208" s="228">
        <v>527</v>
      </c>
      <c r="CE208" s="228">
        <v>-11</v>
      </c>
      <c r="CF208" s="229">
        <v>-0.02</v>
      </c>
      <c r="CG208" s="228">
        <v>23</v>
      </c>
      <c r="CH208" s="228">
        <v>23</v>
      </c>
      <c r="CI208" s="228">
        <v>0</v>
      </c>
      <c r="CJ208" s="229">
        <v>-5.8999999999999999E-3</v>
      </c>
      <c r="CK208" s="228">
        <v>1</v>
      </c>
      <c r="CL208" s="228">
        <v>1</v>
      </c>
      <c r="CM208" s="228">
        <v>0</v>
      </c>
      <c r="CN208" s="229">
        <v>0</v>
      </c>
      <c r="CO208" s="228">
        <v>349</v>
      </c>
      <c r="CP208" s="228">
        <v>346</v>
      </c>
      <c r="CQ208" s="228">
        <v>3</v>
      </c>
      <c r="CR208" s="229">
        <v>9.7999999999999997E-3</v>
      </c>
      <c r="CS208" s="228">
        <v>196</v>
      </c>
      <c r="CT208" s="228">
        <v>196</v>
      </c>
      <c r="CU208" s="228">
        <v>-1</v>
      </c>
      <c r="CV208" s="229">
        <v>-2.8E-3</v>
      </c>
      <c r="CW208" s="230">
        <v>1085</v>
      </c>
      <c r="CX208" s="230">
        <v>1093</v>
      </c>
      <c r="CY208" s="228">
        <v>-8</v>
      </c>
      <c r="CZ208" s="229">
        <v>-7.1999999999999998E-3</v>
      </c>
      <c r="DA208" s="228">
        <v>25.88</v>
      </c>
      <c r="DB208" s="228">
        <v>25.45</v>
      </c>
      <c r="DC208" s="228">
        <v>0.43</v>
      </c>
      <c r="DD208" s="228">
        <v>0.43</v>
      </c>
      <c r="DE208" s="228">
        <v>40.450000000000003</v>
      </c>
      <c r="DF208" s="228">
        <v>40.549999999999997</v>
      </c>
      <c r="DG208" s="228">
        <v>-14.57</v>
      </c>
      <c r="DH208" s="228">
        <v>-0.1</v>
      </c>
      <c r="DI208" s="228">
        <v>25.97</v>
      </c>
      <c r="DJ208" s="228">
        <v>25.75</v>
      </c>
      <c r="DK208" s="228">
        <v>0.22</v>
      </c>
      <c r="DL208" s="228">
        <v>0.22</v>
      </c>
      <c r="DM208" s="228">
        <v>25.61</v>
      </c>
      <c r="DN208" s="228">
        <v>25</v>
      </c>
      <c r="DO208" s="228">
        <v>0.61</v>
      </c>
      <c r="DP208" s="228">
        <v>0.61</v>
      </c>
      <c r="DQ208" s="228">
        <v>0.56000000000000005</v>
      </c>
      <c r="DR208" s="228">
        <v>0.56999999999999995</v>
      </c>
      <c r="DS208" s="228">
        <v>-0.01</v>
      </c>
      <c r="DT208" s="229">
        <v>-1.7500000000000002E-2</v>
      </c>
      <c r="DU208" s="231">
        <v>1320</v>
      </c>
      <c r="DV208" s="231">
        <v>1180</v>
      </c>
      <c r="DW208" s="228">
        <v>0.36</v>
      </c>
      <c r="DX208" s="228">
        <v>0.68</v>
      </c>
      <c r="DY208" s="228">
        <v>-0.32</v>
      </c>
      <c r="DZ208" s="229">
        <v>-0.47060000000000002</v>
      </c>
      <c r="EA208" s="229">
        <v>4.4499999999999998E-2</v>
      </c>
      <c r="EB208" s="230">
        <v>193050</v>
      </c>
      <c r="EC208" s="229">
        <v>5.8999999999999999E-3</v>
      </c>
      <c r="ED208" s="229">
        <v>4.4499999999999998E-2</v>
      </c>
      <c r="EE208" s="228">
        <v>5.8</v>
      </c>
      <c r="EF208" s="229">
        <v>4.5999999999999999E-3</v>
      </c>
      <c r="EG208" s="230">
        <v>198359</v>
      </c>
      <c r="EH208" s="230">
        <v>373858</v>
      </c>
      <c r="EI208" s="229">
        <v>-0.46939999999999998</v>
      </c>
      <c r="EJ208" s="229">
        <v>0.51739999999999997</v>
      </c>
      <c r="EK208" s="228">
        <v>156.44</v>
      </c>
      <c r="EL208" s="228">
        <v>53.16</v>
      </c>
      <c r="EM208" s="228">
        <v>51.66</v>
      </c>
      <c r="EN208" s="228">
        <v>20.45</v>
      </c>
      <c r="EO208" s="228">
        <v>261.26</v>
      </c>
      <c r="EP208" s="231">
        <v>2196.64</v>
      </c>
      <c r="EQ208" s="231">
        <v>-1935.38</v>
      </c>
      <c r="ER208" s="229">
        <v>-0.88109999999999999</v>
      </c>
      <c r="ES208" s="228">
        <v>369.82</v>
      </c>
      <c r="ET208" s="228">
        <v>193.63</v>
      </c>
      <c r="EU208" s="228">
        <v>540.48</v>
      </c>
      <c r="EV208" s="231">
        <v>22813802</v>
      </c>
      <c r="EW208" s="231">
        <v>1103.92</v>
      </c>
      <c r="EX208" s="231">
        <v>1115.26</v>
      </c>
      <c r="EY208" s="228">
        <v>-11.34</v>
      </c>
      <c r="EZ208" s="229">
        <v>-1.0200000000000001E-2</v>
      </c>
      <c r="FA208" s="229">
        <v>0.38009999999999999</v>
      </c>
      <c r="FB208" s="227" t="s">
        <v>568</v>
      </c>
      <c r="FC208">
        <f t="shared" si="4"/>
        <v>0</v>
      </c>
    </row>
    <row r="209" spans="1:159" ht="17.25" thickBot="1" x14ac:dyDescent="0.3">
      <c r="A209" s="226">
        <v>46008</v>
      </c>
      <c r="B209" s="227" t="s">
        <v>498</v>
      </c>
      <c r="C209" s="227" t="s">
        <v>303</v>
      </c>
      <c r="D209" s="228">
        <v>1355</v>
      </c>
      <c r="E209" s="228">
        <v>13</v>
      </c>
      <c r="F209" s="228">
        <v>747.75</v>
      </c>
      <c r="G209" s="228">
        <v>752.6</v>
      </c>
      <c r="H209" s="228">
        <v>-4.8499999999999996</v>
      </c>
      <c r="I209" s="229">
        <v>-6.4000000000000003E-3</v>
      </c>
      <c r="J209" s="228">
        <v>746.3</v>
      </c>
      <c r="K209" s="228">
        <v>749.9</v>
      </c>
      <c r="L209" s="228">
        <v>-3.6</v>
      </c>
      <c r="M209" s="229">
        <v>-4.7999999999999996E-3</v>
      </c>
      <c r="N209" s="228">
        <v>747.75</v>
      </c>
      <c r="O209" s="228">
        <v>752.6</v>
      </c>
      <c r="P209" s="228">
        <v>-4.8499999999999996</v>
      </c>
      <c r="Q209" s="229">
        <v>-6.4000000000000003E-3</v>
      </c>
      <c r="R209" s="228">
        <v>752.45</v>
      </c>
      <c r="S209" s="228">
        <v>756.75</v>
      </c>
      <c r="T209" s="228">
        <v>-4.3</v>
      </c>
      <c r="U209" s="229">
        <v>-5.7000000000000002E-3</v>
      </c>
      <c r="V209" s="228">
        <v>755.45</v>
      </c>
      <c r="W209" s="228">
        <v>761.25</v>
      </c>
      <c r="X209" s="228">
        <v>-5.8</v>
      </c>
      <c r="Y209" s="229">
        <v>-7.6E-3</v>
      </c>
      <c r="Z209" s="228">
        <v>1.45</v>
      </c>
      <c r="AA209" s="228">
        <v>2.7</v>
      </c>
      <c r="AB209" s="228">
        <v>-1.25</v>
      </c>
      <c r="AC209" s="229">
        <v>1.9E-3</v>
      </c>
      <c r="AD209" s="228">
        <v>1.45</v>
      </c>
      <c r="AE209" s="228">
        <v>2.7</v>
      </c>
      <c r="AF209" s="228">
        <v>-1.25</v>
      </c>
      <c r="AG209" s="229">
        <v>1.9E-3</v>
      </c>
      <c r="AH209" s="228">
        <v>6.15</v>
      </c>
      <c r="AI209" s="228">
        <v>6.85</v>
      </c>
      <c r="AJ209" s="228">
        <v>-0.7</v>
      </c>
      <c r="AK209" s="229">
        <v>8.2000000000000007E-3</v>
      </c>
      <c r="AL209" s="228">
        <v>9.15</v>
      </c>
      <c r="AM209" s="228">
        <v>11.35</v>
      </c>
      <c r="AN209" s="228">
        <v>-2.2000000000000002</v>
      </c>
      <c r="AO209" s="229">
        <v>1.23E-2</v>
      </c>
      <c r="AP209" s="228">
        <v>748.37</v>
      </c>
      <c r="AQ209" s="228">
        <v>753.21</v>
      </c>
      <c r="AR209" s="228">
        <v>0</v>
      </c>
      <c r="AS209" s="228">
        <v>168</v>
      </c>
      <c r="AT209" s="228">
        <v>305</v>
      </c>
      <c r="AU209" s="228">
        <v>-136</v>
      </c>
      <c r="AV209" s="229">
        <v>-0.4481</v>
      </c>
      <c r="AW209" s="228">
        <v>149</v>
      </c>
      <c r="AX209" s="228">
        <v>266</v>
      </c>
      <c r="AY209" s="228">
        <v>-117</v>
      </c>
      <c r="AZ209" s="229">
        <v>-0.44019999999999998</v>
      </c>
      <c r="BA209" s="228">
        <v>19</v>
      </c>
      <c r="BB209" s="228">
        <v>34</v>
      </c>
      <c r="BC209" s="228">
        <v>-16</v>
      </c>
      <c r="BD209" s="229">
        <v>-0.45540000000000003</v>
      </c>
      <c r="BE209" s="228">
        <v>1</v>
      </c>
      <c r="BF209" s="228">
        <v>5</v>
      </c>
      <c r="BG209" s="228">
        <v>-4</v>
      </c>
      <c r="BH209" s="229">
        <v>-0.8478</v>
      </c>
      <c r="BI209" s="228">
        <v>518</v>
      </c>
      <c r="BJ209" s="228">
        <v>785</v>
      </c>
      <c r="BK209" s="228">
        <v>-266</v>
      </c>
      <c r="BL209" s="229">
        <v>-0.33929999999999999</v>
      </c>
      <c r="BM209" s="228">
        <v>198</v>
      </c>
      <c r="BN209" s="228">
        <v>346</v>
      </c>
      <c r="BO209" s="228">
        <v>-148</v>
      </c>
      <c r="BP209" s="229">
        <v>-0.42670000000000002</v>
      </c>
      <c r="BQ209" s="228">
        <v>885</v>
      </c>
      <c r="BR209" s="230">
        <v>1436</v>
      </c>
      <c r="BS209" s="228">
        <v>-550</v>
      </c>
      <c r="BT209" s="229">
        <v>-0.38350000000000001</v>
      </c>
      <c r="BU209" s="230">
        <v>1718891</v>
      </c>
      <c r="BV209" s="230">
        <v>1234228</v>
      </c>
      <c r="BW209" s="230">
        <v>484663</v>
      </c>
      <c r="BX209" s="229">
        <v>0.39269999999999999</v>
      </c>
      <c r="BY209" s="230">
        <v>2633</v>
      </c>
      <c r="BZ209" s="230">
        <v>2617</v>
      </c>
      <c r="CA209" s="228">
        <v>16</v>
      </c>
      <c r="CB209" s="229">
        <v>6.1000000000000004E-3</v>
      </c>
      <c r="CC209" s="230">
        <v>2573</v>
      </c>
      <c r="CD209" s="230">
        <v>2562</v>
      </c>
      <c r="CE209" s="228">
        <v>11</v>
      </c>
      <c r="CF209" s="229">
        <v>4.1000000000000003E-3</v>
      </c>
      <c r="CG209" s="228">
        <v>54</v>
      </c>
      <c r="CH209" s="228">
        <v>49</v>
      </c>
      <c r="CI209" s="228">
        <v>5</v>
      </c>
      <c r="CJ209" s="229">
        <v>0.10630000000000001</v>
      </c>
      <c r="CK209" s="228">
        <v>6</v>
      </c>
      <c r="CL209" s="228">
        <v>6</v>
      </c>
      <c r="CM209" s="228">
        <v>0</v>
      </c>
      <c r="CN209" s="229">
        <v>0.05</v>
      </c>
      <c r="CO209" s="228">
        <v>746</v>
      </c>
      <c r="CP209" s="228">
        <v>728</v>
      </c>
      <c r="CQ209" s="228">
        <v>17</v>
      </c>
      <c r="CR209" s="229">
        <v>2.3900000000000001E-2</v>
      </c>
      <c r="CS209" s="228">
        <v>513</v>
      </c>
      <c r="CT209" s="228">
        <v>491</v>
      </c>
      <c r="CU209" s="228">
        <v>22</v>
      </c>
      <c r="CV209" s="229">
        <v>4.4999999999999998E-2</v>
      </c>
      <c r="CW209" s="230">
        <v>3891</v>
      </c>
      <c r="CX209" s="230">
        <v>3836</v>
      </c>
      <c r="CY209" s="228">
        <v>56</v>
      </c>
      <c r="CZ209" s="229">
        <v>1.4500000000000001E-2</v>
      </c>
      <c r="DA209" s="228">
        <v>22.18</v>
      </c>
      <c r="DB209" s="228">
        <v>22.34</v>
      </c>
      <c r="DC209" s="228">
        <v>-0.16</v>
      </c>
      <c r="DD209" s="228">
        <v>-0.16</v>
      </c>
      <c r="DE209" s="228">
        <v>32.1</v>
      </c>
      <c r="DF209" s="228">
        <v>32.17</v>
      </c>
      <c r="DG209" s="228">
        <v>-9.92</v>
      </c>
      <c r="DH209" s="228">
        <v>-7.0000000000000007E-2</v>
      </c>
      <c r="DI209" s="228">
        <v>22.14</v>
      </c>
      <c r="DJ209" s="228">
        <v>22.45</v>
      </c>
      <c r="DK209" s="228">
        <v>-0.31</v>
      </c>
      <c r="DL209" s="228">
        <v>-0.31</v>
      </c>
      <c r="DM209" s="228">
        <v>22.29</v>
      </c>
      <c r="DN209" s="228">
        <v>22.07</v>
      </c>
      <c r="DO209" s="228">
        <v>0.22</v>
      </c>
      <c r="DP209" s="228">
        <v>0.22</v>
      </c>
      <c r="DQ209" s="228">
        <v>0.69</v>
      </c>
      <c r="DR209" s="228">
        <v>0.67</v>
      </c>
      <c r="DS209" s="228">
        <v>0.02</v>
      </c>
      <c r="DT209" s="229">
        <v>2.9899999999999999E-2</v>
      </c>
      <c r="DU209" s="228">
        <v>770</v>
      </c>
      <c r="DV209" s="228">
        <v>700</v>
      </c>
      <c r="DW209" s="228">
        <v>0.38</v>
      </c>
      <c r="DX209" s="228">
        <v>0.44</v>
      </c>
      <c r="DY209" s="228">
        <v>-0.06</v>
      </c>
      <c r="DZ209" s="229">
        <v>-0.13639999999999999</v>
      </c>
      <c r="EA209" s="229">
        <v>2.29E-2</v>
      </c>
      <c r="EB209" s="230">
        <v>731700</v>
      </c>
      <c r="EC209" s="229">
        <v>6.3E-3</v>
      </c>
      <c r="ED209" s="229">
        <v>2.29E-2</v>
      </c>
      <c r="EE209" s="228">
        <v>4.84</v>
      </c>
      <c r="EF209" s="229">
        <v>6.4999999999999997E-3</v>
      </c>
      <c r="EG209" s="230">
        <v>973025</v>
      </c>
      <c r="EH209" s="230">
        <v>599923</v>
      </c>
      <c r="EI209" s="229">
        <v>0.62190000000000001</v>
      </c>
      <c r="EJ209" s="229">
        <v>0.56610000000000005</v>
      </c>
      <c r="EK209" s="228">
        <v>537.85</v>
      </c>
      <c r="EL209" s="228">
        <v>197.44</v>
      </c>
      <c r="EM209" s="228">
        <v>168.36</v>
      </c>
      <c r="EN209" s="228">
        <v>30.62</v>
      </c>
      <c r="EO209" s="228">
        <v>903.65</v>
      </c>
      <c r="EP209" s="231">
        <v>1478.92</v>
      </c>
      <c r="EQ209" s="228">
        <v>-575.27</v>
      </c>
      <c r="ER209" s="229">
        <v>-0.38900000000000001</v>
      </c>
      <c r="ES209" s="228">
        <v>771.95</v>
      </c>
      <c r="ET209" s="228">
        <v>497.05</v>
      </c>
      <c r="EU209" s="231">
        <v>2633.41</v>
      </c>
      <c r="EV209" s="231">
        <v>82588393</v>
      </c>
      <c r="EW209" s="231">
        <v>3902.42</v>
      </c>
      <c r="EX209" s="231">
        <v>3865.85</v>
      </c>
      <c r="EY209" s="228">
        <v>36.57</v>
      </c>
      <c r="EZ209" s="229">
        <v>9.4999999999999998E-3</v>
      </c>
      <c r="FA209" s="229">
        <v>0.63009999999999999</v>
      </c>
      <c r="FB209" s="227" t="s">
        <v>567</v>
      </c>
      <c r="FC209">
        <f t="shared" si="4"/>
        <v>0</v>
      </c>
    </row>
    <row r="210" spans="1:159" ht="17.25" thickBot="1" x14ac:dyDescent="0.3">
      <c r="A210" s="226">
        <v>46008</v>
      </c>
      <c r="B210" s="227" t="s">
        <v>168</v>
      </c>
      <c r="C210" s="227" t="s">
        <v>586</v>
      </c>
      <c r="D210" s="228">
        <v>1025</v>
      </c>
      <c r="E210" s="228">
        <v>13</v>
      </c>
      <c r="F210" s="228">
        <v>471.95</v>
      </c>
      <c r="G210" s="228">
        <v>478.95</v>
      </c>
      <c r="H210" s="228">
        <v>-7</v>
      </c>
      <c r="I210" s="229">
        <v>-1.46E-2</v>
      </c>
      <c r="J210" s="228">
        <v>470.85</v>
      </c>
      <c r="K210" s="228">
        <v>477.15</v>
      </c>
      <c r="L210" s="228">
        <v>-6.3</v>
      </c>
      <c r="M210" s="229">
        <v>-1.32E-2</v>
      </c>
      <c r="N210" s="228">
        <v>471.95</v>
      </c>
      <c r="O210" s="228">
        <v>478.95</v>
      </c>
      <c r="P210" s="228">
        <v>-7</v>
      </c>
      <c r="Q210" s="229">
        <v>-1.46E-2</v>
      </c>
      <c r="R210" s="228">
        <v>474.25</v>
      </c>
      <c r="S210" s="228">
        <v>481.65</v>
      </c>
      <c r="T210" s="228">
        <v>-7.4</v>
      </c>
      <c r="U210" s="229">
        <v>-1.54E-2</v>
      </c>
      <c r="V210" s="228">
        <v>476.65</v>
      </c>
      <c r="W210" s="228">
        <v>486.2</v>
      </c>
      <c r="X210" s="228">
        <v>-9.5500000000000007</v>
      </c>
      <c r="Y210" s="229">
        <v>-1.9599999999999999E-2</v>
      </c>
      <c r="Z210" s="228">
        <v>1.1000000000000001</v>
      </c>
      <c r="AA210" s="228">
        <v>1.8</v>
      </c>
      <c r="AB210" s="228">
        <v>-0.7</v>
      </c>
      <c r="AC210" s="229">
        <v>2.3E-3</v>
      </c>
      <c r="AD210" s="228">
        <v>1.1000000000000001</v>
      </c>
      <c r="AE210" s="228">
        <v>1.8</v>
      </c>
      <c r="AF210" s="228">
        <v>-0.7</v>
      </c>
      <c r="AG210" s="229">
        <v>2.3E-3</v>
      </c>
      <c r="AH210" s="228">
        <v>3.4</v>
      </c>
      <c r="AI210" s="228">
        <v>4.5</v>
      </c>
      <c r="AJ210" s="228">
        <v>-1.1000000000000001</v>
      </c>
      <c r="AK210" s="229">
        <v>7.1999999999999998E-3</v>
      </c>
      <c r="AL210" s="228">
        <v>5.8</v>
      </c>
      <c r="AM210" s="228">
        <v>9.0500000000000007</v>
      </c>
      <c r="AN210" s="228">
        <v>-3.25</v>
      </c>
      <c r="AO210" s="229">
        <v>1.23E-2</v>
      </c>
      <c r="AP210" s="228">
        <v>474.38</v>
      </c>
      <c r="AQ210" s="228">
        <v>477.24</v>
      </c>
      <c r="AR210" s="228">
        <v>0</v>
      </c>
      <c r="AS210" s="228">
        <v>273</v>
      </c>
      <c r="AT210" s="228">
        <v>310</v>
      </c>
      <c r="AU210" s="228">
        <v>-37</v>
      </c>
      <c r="AV210" s="229">
        <v>-0.1179</v>
      </c>
      <c r="AW210" s="228">
        <v>246</v>
      </c>
      <c r="AX210" s="228">
        <v>284</v>
      </c>
      <c r="AY210" s="228">
        <v>-39</v>
      </c>
      <c r="AZ210" s="229">
        <v>-0.13569999999999999</v>
      </c>
      <c r="BA210" s="228">
        <v>26</v>
      </c>
      <c r="BB210" s="228">
        <v>25</v>
      </c>
      <c r="BC210" s="228">
        <v>1</v>
      </c>
      <c r="BD210" s="229">
        <v>5.2299999999999999E-2</v>
      </c>
      <c r="BE210" s="228">
        <v>1</v>
      </c>
      <c r="BF210" s="228">
        <v>1</v>
      </c>
      <c r="BG210" s="228">
        <v>1</v>
      </c>
      <c r="BH210" s="229">
        <v>0.9375</v>
      </c>
      <c r="BI210" s="228">
        <v>840</v>
      </c>
      <c r="BJ210" s="230">
        <v>1105</v>
      </c>
      <c r="BK210" s="228">
        <v>-265</v>
      </c>
      <c r="BL210" s="229">
        <v>-0.24010000000000001</v>
      </c>
      <c r="BM210" s="228">
        <v>371</v>
      </c>
      <c r="BN210" s="228">
        <v>349</v>
      </c>
      <c r="BO210" s="228">
        <v>21</v>
      </c>
      <c r="BP210" s="229">
        <v>6.08E-2</v>
      </c>
      <c r="BQ210" s="230">
        <v>1484</v>
      </c>
      <c r="BR210" s="230">
        <v>1765</v>
      </c>
      <c r="BS210" s="228">
        <v>-281</v>
      </c>
      <c r="BT210" s="229">
        <v>-0.15909999999999999</v>
      </c>
      <c r="BU210" s="230">
        <v>3565788</v>
      </c>
      <c r="BV210" s="230">
        <v>4229999</v>
      </c>
      <c r="BW210" s="230">
        <v>-664211</v>
      </c>
      <c r="BX210" s="229">
        <v>-0.157</v>
      </c>
      <c r="BY210" s="230">
        <v>2220</v>
      </c>
      <c r="BZ210" s="230">
        <v>2196</v>
      </c>
      <c r="CA210" s="228">
        <v>24</v>
      </c>
      <c r="CB210" s="229">
        <v>1.11E-2</v>
      </c>
      <c r="CC210" s="230">
        <v>2125</v>
      </c>
      <c r="CD210" s="230">
        <v>2109</v>
      </c>
      <c r="CE210" s="228">
        <v>15</v>
      </c>
      <c r="CF210" s="229">
        <v>7.3000000000000001E-3</v>
      </c>
      <c r="CG210" s="228">
        <v>88</v>
      </c>
      <c r="CH210" s="228">
        <v>80</v>
      </c>
      <c r="CI210" s="228">
        <v>9</v>
      </c>
      <c r="CJ210" s="229">
        <v>0.1084</v>
      </c>
      <c r="CK210" s="228">
        <v>7</v>
      </c>
      <c r="CL210" s="228">
        <v>7</v>
      </c>
      <c r="CM210" s="228">
        <v>0</v>
      </c>
      <c r="CN210" s="229">
        <v>6.2E-2</v>
      </c>
      <c r="CO210" s="230">
        <v>1173</v>
      </c>
      <c r="CP210" s="230">
        <v>1188</v>
      </c>
      <c r="CQ210" s="228">
        <v>-15</v>
      </c>
      <c r="CR210" s="229">
        <v>-1.2999999999999999E-2</v>
      </c>
      <c r="CS210" s="228">
        <v>495</v>
      </c>
      <c r="CT210" s="228">
        <v>507</v>
      </c>
      <c r="CU210" s="228">
        <v>-12</v>
      </c>
      <c r="CV210" s="229">
        <v>-2.3300000000000001E-2</v>
      </c>
      <c r="CW210" s="230">
        <v>3889</v>
      </c>
      <c r="CX210" s="230">
        <v>3891</v>
      </c>
      <c r="CY210" s="228">
        <v>-3</v>
      </c>
      <c r="CZ210" s="229">
        <v>-6.9999999999999999E-4</v>
      </c>
      <c r="DA210" s="228">
        <v>27.34</v>
      </c>
      <c r="DB210" s="228">
        <v>27.87</v>
      </c>
      <c r="DC210" s="228">
        <v>-0.53</v>
      </c>
      <c r="DD210" s="228">
        <v>-0.53</v>
      </c>
      <c r="DE210" s="228">
        <v>37.83</v>
      </c>
      <c r="DF210" s="228">
        <v>37.880000000000003</v>
      </c>
      <c r="DG210" s="228">
        <v>-10.49</v>
      </c>
      <c r="DH210" s="228">
        <v>-0.05</v>
      </c>
      <c r="DI210" s="228">
        <v>27.84</v>
      </c>
      <c r="DJ210" s="228">
        <v>28.16</v>
      </c>
      <c r="DK210" s="228">
        <v>-0.32</v>
      </c>
      <c r="DL210" s="228">
        <v>-0.32</v>
      </c>
      <c r="DM210" s="228">
        <v>26.21</v>
      </c>
      <c r="DN210" s="228">
        <v>26.93</v>
      </c>
      <c r="DO210" s="228">
        <v>-0.72</v>
      </c>
      <c r="DP210" s="228">
        <v>-0.72</v>
      </c>
      <c r="DQ210" s="228">
        <v>0.42</v>
      </c>
      <c r="DR210" s="228">
        <v>0.43</v>
      </c>
      <c r="DS210" s="228">
        <v>-0.01</v>
      </c>
      <c r="DT210" s="229">
        <v>-2.3300000000000001E-2</v>
      </c>
      <c r="DU210" s="228">
        <v>500</v>
      </c>
      <c r="DV210" s="228">
        <v>450</v>
      </c>
      <c r="DW210" s="228">
        <v>0.44</v>
      </c>
      <c r="DX210" s="228">
        <v>0.32</v>
      </c>
      <c r="DY210" s="228">
        <v>0.12</v>
      </c>
      <c r="DZ210" s="229">
        <v>0.375</v>
      </c>
      <c r="EA210" s="229">
        <v>4.3099999999999999E-2</v>
      </c>
      <c r="EB210" s="230">
        <v>1836000</v>
      </c>
      <c r="EC210" s="229">
        <v>4.8999999999999998E-3</v>
      </c>
      <c r="ED210" s="229">
        <v>4.3099999999999999E-2</v>
      </c>
      <c r="EE210" s="228">
        <v>2.86</v>
      </c>
      <c r="EF210" s="229">
        <v>6.0000000000000001E-3</v>
      </c>
      <c r="EG210" s="230">
        <v>1802539</v>
      </c>
      <c r="EH210" s="230">
        <v>1925209</v>
      </c>
      <c r="EI210" s="229">
        <v>-6.3700000000000007E-2</v>
      </c>
      <c r="EJ210" s="229">
        <v>0.50549999999999995</v>
      </c>
      <c r="EK210" s="228">
        <v>883.97</v>
      </c>
      <c r="EL210" s="228">
        <v>372.45</v>
      </c>
      <c r="EM210" s="228">
        <v>277.68</v>
      </c>
      <c r="EN210" s="228">
        <v>51.06</v>
      </c>
      <c r="EO210" s="231">
        <v>1534.11</v>
      </c>
      <c r="EP210" s="231">
        <v>1846.8</v>
      </c>
      <c r="EQ210" s="228">
        <v>-312.69</v>
      </c>
      <c r="ER210" s="229">
        <v>-0.16930000000000001</v>
      </c>
      <c r="ES210" s="231">
        <v>1235.19</v>
      </c>
      <c r="ET210" s="228">
        <v>480.18</v>
      </c>
      <c r="EU210" s="231">
        <v>2221</v>
      </c>
      <c r="EV210" s="231">
        <v>203804339</v>
      </c>
      <c r="EW210" s="231">
        <v>3936.37</v>
      </c>
      <c r="EX210" s="231">
        <v>3975.36</v>
      </c>
      <c r="EY210" s="228">
        <v>-38.99</v>
      </c>
      <c r="EZ210" s="229">
        <v>-9.7999999999999997E-3</v>
      </c>
      <c r="FA210" s="229">
        <v>0.40429999999999999</v>
      </c>
      <c r="FB210" s="227" t="s">
        <v>567</v>
      </c>
      <c r="FC210">
        <f t="shared" si="4"/>
        <v>0</v>
      </c>
    </row>
    <row r="211" spans="1:159" ht="17.25" thickBot="1" x14ac:dyDescent="0.3">
      <c r="A211" s="226">
        <v>46008</v>
      </c>
      <c r="B211" s="227" t="s">
        <v>227</v>
      </c>
      <c r="C211" s="227" t="s">
        <v>304</v>
      </c>
      <c r="D211" s="228">
        <v>1150</v>
      </c>
      <c r="E211" s="228">
        <v>13</v>
      </c>
      <c r="F211" s="228">
        <v>570.1</v>
      </c>
      <c r="G211" s="228">
        <v>570.85</v>
      </c>
      <c r="H211" s="228">
        <v>-0.75</v>
      </c>
      <c r="I211" s="229">
        <v>-1.2999999999999999E-3</v>
      </c>
      <c r="J211" s="228">
        <v>569.79999999999995</v>
      </c>
      <c r="K211" s="228">
        <v>569.5</v>
      </c>
      <c r="L211" s="228">
        <v>0.3</v>
      </c>
      <c r="M211" s="229">
        <v>5.0000000000000001E-4</v>
      </c>
      <c r="N211" s="228">
        <v>570.1</v>
      </c>
      <c r="O211" s="228">
        <v>570.85</v>
      </c>
      <c r="P211" s="228">
        <v>-0.75</v>
      </c>
      <c r="Q211" s="229">
        <v>-1.2999999999999999E-3</v>
      </c>
      <c r="R211" s="228">
        <v>572.6</v>
      </c>
      <c r="S211" s="228">
        <v>573.29999999999995</v>
      </c>
      <c r="T211" s="228">
        <v>-0.7</v>
      </c>
      <c r="U211" s="229">
        <v>-1.1999999999999999E-3</v>
      </c>
      <c r="V211" s="228">
        <v>573.75</v>
      </c>
      <c r="W211" s="228">
        <v>574.95000000000005</v>
      </c>
      <c r="X211" s="228">
        <v>-1.2</v>
      </c>
      <c r="Y211" s="229">
        <v>-2.0999999999999999E-3</v>
      </c>
      <c r="Z211" s="228">
        <v>0.3</v>
      </c>
      <c r="AA211" s="228">
        <v>1.35</v>
      </c>
      <c r="AB211" s="228">
        <v>-1.05</v>
      </c>
      <c r="AC211" s="229">
        <v>5.0000000000000001E-4</v>
      </c>
      <c r="AD211" s="228">
        <v>0.3</v>
      </c>
      <c r="AE211" s="228">
        <v>1.35</v>
      </c>
      <c r="AF211" s="228">
        <v>-1.05</v>
      </c>
      <c r="AG211" s="229">
        <v>5.0000000000000001E-4</v>
      </c>
      <c r="AH211" s="228">
        <v>2.8</v>
      </c>
      <c r="AI211" s="228">
        <v>3.8</v>
      </c>
      <c r="AJ211" s="228">
        <v>-1</v>
      </c>
      <c r="AK211" s="229">
        <v>4.8999999999999998E-3</v>
      </c>
      <c r="AL211" s="228">
        <v>3.95</v>
      </c>
      <c r="AM211" s="228">
        <v>5.45</v>
      </c>
      <c r="AN211" s="228">
        <v>-1.5</v>
      </c>
      <c r="AO211" s="229">
        <v>6.8999999999999999E-3</v>
      </c>
      <c r="AP211" s="228">
        <v>572.45000000000005</v>
      </c>
      <c r="AQ211" s="228">
        <v>575.02</v>
      </c>
      <c r="AR211" s="228">
        <v>0</v>
      </c>
      <c r="AS211" s="230">
        <v>2031</v>
      </c>
      <c r="AT211" s="230">
        <v>4304</v>
      </c>
      <c r="AU211" s="230">
        <v>-2273</v>
      </c>
      <c r="AV211" s="229">
        <v>-0.52810000000000001</v>
      </c>
      <c r="AW211" s="230">
        <v>1689</v>
      </c>
      <c r="AX211" s="230">
        <v>3821</v>
      </c>
      <c r="AY211" s="230">
        <v>-2132</v>
      </c>
      <c r="AZ211" s="229">
        <v>-0.55789999999999995</v>
      </c>
      <c r="BA211" s="228">
        <v>315</v>
      </c>
      <c r="BB211" s="228">
        <v>449</v>
      </c>
      <c r="BC211" s="228">
        <v>-135</v>
      </c>
      <c r="BD211" s="229">
        <v>-0.29970000000000002</v>
      </c>
      <c r="BE211" s="228">
        <v>27</v>
      </c>
      <c r="BF211" s="228">
        <v>34</v>
      </c>
      <c r="BG211" s="228">
        <v>-7</v>
      </c>
      <c r="BH211" s="229">
        <v>-0.19689999999999999</v>
      </c>
      <c r="BI211" s="230">
        <v>9432</v>
      </c>
      <c r="BJ211" s="230">
        <v>15542</v>
      </c>
      <c r="BK211" s="230">
        <v>-6110</v>
      </c>
      <c r="BL211" s="229">
        <v>-0.3931</v>
      </c>
      <c r="BM211" s="230">
        <v>4919</v>
      </c>
      <c r="BN211" s="230">
        <v>7798</v>
      </c>
      <c r="BO211" s="230">
        <v>-2878</v>
      </c>
      <c r="BP211" s="229">
        <v>-0.36909999999999998</v>
      </c>
      <c r="BQ211" s="230">
        <v>16382</v>
      </c>
      <c r="BR211" s="230">
        <v>27644</v>
      </c>
      <c r="BS211" s="230">
        <v>-11261</v>
      </c>
      <c r="BT211" s="229">
        <v>-0.40739999999999998</v>
      </c>
      <c r="BU211" s="230">
        <v>31591329</v>
      </c>
      <c r="BV211" s="230">
        <v>35971221</v>
      </c>
      <c r="BW211" s="230">
        <v>-4379892</v>
      </c>
      <c r="BX211" s="229">
        <v>-0.12180000000000001</v>
      </c>
      <c r="BY211" s="230">
        <v>6122</v>
      </c>
      <c r="BZ211" s="230">
        <v>6421</v>
      </c>
      <c r="CA211" s="228">
        <v>-299</v>
      </c>
      <c r="CB211" s="229">
        <v>-4.65E-2</v>
      </c>
      <c r="CC211" s="230">
        <v>5760</v>
      </c>
      <c r="CD211" s="230">
        <v>6114</v>
      </c>
      <c r="CE211" s="228">
        <v>-354</v>
      </c>
      <c r="CF211" s="229">
        <v>-5.79E-2</v>
      </c>
      <c r="CG211" s="228">
        <v>323</v>
      </c>
      <c r="CH211" s="228">
        <v>270</v>
      </c>
      <c r="CI211" s="228">
        <v>53</v>
      </c>
      <c r="CJ211" s="229">
        <v>0.19789999999999999</v>
      </c>
      <c r="CK211" s="228">
        <v>39</v>
      </c>
      <c r="CL211" s="228">
        <v>37</v>
      </c>
      <c r="CM211" s="228">
        <v>2</v>
      </c>
      <c r="CN211" s="229">
        <v>4.3900000000000002E-2</v>
      </c>
      <c r="CO211" s="230">
        <v>3209</v>
      </c>
      <c r="CP211" s="230">
        <v>2987</v>
      </c>
      <c r="CQ211" s="228">
        <v>223</v>
      </c>
      <c r="CR211" s="229">
        <v>7.4499999999999997E-2</v>
      </c>
      <c r="CS211" s="230">
        <v>2900</v>
      </c>
      <c r="CT211" s="230">
        <v>2744</v>
      </c>
      <c r="CU211" s="228">
        <v>156</v>
      </c>
      <c r="CV211" s="229">
        <v>5.6800000000000003E-2</v>
      </c>
      <c r="CW211" s="230">
        <v>12232</v>
      </c>
      <c r="CX211" s="230">
        <v>12152</v>
      </c>
      <c r="CY211" s="228">
        <v>80</v>
      </c>
      <c r="CZ211" s="229">
        <v>6.6E-3</v>
      </c>
      <c r="DA211" s="228">
        <v>27.66</v>
      </c>
      <c r="DB211" s="228">
        <v>30.41</v>
      </c>
      <c r="DC211" s="228">
        <v>-2.75</v>
      </c>
      <c r="DD211" s="228">
        <v>-2.75</v>
      </c>
      <c r="DE211" s="228">
        <v>37.119999999999997</v>
      </c>
      <c r="DF211" s="228">
        <v>37.21</v>
      </c>
      <c r="DG211" s="228">
        <v>-9.4600000000000009</v>
      </c>
      <c r="DH211" s="228">
        <v>-0.09</v>
      </c>
      <c r="DI211" s="228">
        <v>27.52</v>
      </c>
      <c r="DJ211" s="228">
        <v>29.41</v>
      </c>
      <c r="DK211" s="228">
        <v>-1.89</v>
      </c>
      <c r="DL211" s="228">
        <v>-1.89</v>
      </c>
      <c r="DM211" s="228">
        <v>27.94</v>
      </c>
      <c r="DN211" s="228">
        <v>32.39</v>
      </c>
      <c r="DO211" s="228">
        <v>-4.45</v>
      </c>
      <c r="DP211" s="228">
        <v>-4.45</v>
      </c>
      <c r="DQ211" s="228">
        <v>0.9</v>
      </c>
      <c r="DR211" s="228">
        <v>0.92</v>
      </c>
      <c r="DS211" s="228">
        <v>-0.02</v>
      </c>
      <c r="DT211" s="229">
        <v>-2.1700000000000001E-2</v>
      </c>
      <c r="DU211" s="228">
        <v>600</v>
      </c>
      <c r="DV211" s="228">
        <v>540</v>
      </c>
      <c r="DW211" s="228">
        <v>0.52</v>
      </c>
      <c r="DX211" s="228">
        <v>0.5</v>
      </c>
      <c r="DY211" s="228">
        <v>0.02</v>
      </c>
      <c r="DZ211" s="229">
        <v>0.04</v>
      </c>
      <c r="EA211" s="229">
        <v>5.91E-2</v>
      </c>
      <c r="EB211" s="230">
        <v>5385450</v>
      </c>
      <c r="EC211" s="229">
        <v>4.4000000000000003E-3</v>
      </c>
      <c r="ED211" s="229">
        <v>5.91E-2</v>
      </c>
      <c r="EE211" s="228">
        <v>2.57</v>
      </c>
      <c r="EF211" s="229">
        <v>4.4999999999999997E-3</v>
      </c>
      <c r="EG211" s="230">
        <v>12338576</v>
      </c>
      <c r="EH211" s="230">
        <v>13684264</v>
      </c>
      <c r="EI211" s="229">
        <v>-9.8299999999999998E-2</v>
      </c>
      <c r="EJ211" s="229">
        <v>0.3906</v>
      </c>
      <c r="EK211" s="231">
        <v>9832.8799999999992</v>
      </c>
      <c r="EL211" s="231">
        <v>4840.33</v>
      </c>
      <c r="EM211" s="231">
        <v>2041.13</v>
      </c>
      <c r="EN211" s="228">
        <v>268.39</v>
      </c>
      <c r="EO211" s="231">
        <v>16714.34</v>
      </c>
      <c r="EP211" s="231">
        <v>27567.09</v>
      </c>
      <c r="EQ211" s="231">
        <v>-10852.74</v>
      </c>
      <c r="ER211" s="229">
        <v>-0.39369999999999999</v>
      </c>
      <c r="ES211" s="231">
        <v>3203.74</v>
      </c>
      <c r="ET211" s="231">
        <v>2681.84</v>
      </c>
      <c r="EU211" s="231">
        <v>6123.73</v>
      </c>
      <c r="EV211" s="231">
        <v>255091106</v>
      </c>
      <c r="EW211" s="231">
        <v>12009.32</v>
      </c>
      <c r="EX211" s="231">
        <v>11904.43</v>
      </c>
      <c r="EY211" s="228">
        <v>104.89</v>
      </c>
      <c r="EZ211" s="229">
        <v>8.8000000000000005E-3</v>
      </c>
      <c r="FA211" s="229">
        <v>0.84109999999999996</v>
      </c>
      <c r="FB211" s="227" t="s">
        <v>568</v>
      </c>
      <c r="FC211">
        <f t="shared" si="4"/>
        <v>0</v>
      </c>
    </row>
    <row r="212" spans="1:159" ht="17.25" thickBot="1" x14ac:dyDescent="0.3">
      <c r="A212" s="226">
        <v>46008</v>
      </c>
      <c r="B212" s="227" t="s">
        <v>184</v>
      </c>
      <c r="C212" s="227" t="s">
        <v>305</v>
      </c>
      <c r="D212" s="228">
        <v>375</v>
      </c>
      <c r="E212" s="228">
        <v>13</v>
      </c>
      <c r="F212" s="231">
        <v>1383.1</v>
      </c>
      <c r="G212" s="231">
        <v>1391.6</v>
      </c>
      <c r="H212" s="228">
        <v>-8.5</v>
      </c>
      <c r="I212" s="229">
        <v>-6.1000000000000004E-3</v>
      </c>
      <c r="J212" s="231">
        <v>1380.5</v>
      </c>
      <c r="K212" s="231">
        <v>1394.3</v>
      </c>
      <c r="L212" s="228">
        <v>-13.8</v>
      </c>
      <c r="M212" s="229">
        <v>-9.9000000000000008E-3</v>
      </c>
      <c r="N212" s="231">
        <v>1383.1</v>
      </c>
      <c r="O212" s="231">
        <v>1391.6</v>
      </c>
      <c r="P212" s="228">
        <v>-8.5</v>
      </c>
      <c r="Q212" s="229">
        <v>-6.1000000000000004E-3</v>
      </c>
      <c r="R212" s="231">
        <v>1370.4</v>
      </c>
      <c r="S212" s="231">
        <v>1377.7</v>
      </c>
      <c r="T212" s="228">
        <v>-7.3</v>
      </c>
      <c r="U212" s="229">
        <v>-5.3E-3</v>
      </c>
      <c r="V212" s="231">
        <v>1365.4</v>
      </c>
      <c r="W212" s="231">
        <v>1368.3</v>
      </c>
      <c r="X212" s="228">
        <v>-2.9</v>
      </c>
      <c r="Y212" s="229">
        <v>-2.0999999999999999E-3</v>
      </c>
      <c r="Z212" s="228">
        <v>2.6</v>
      </c>
      <c r="AA212" s="228">
        <v>-2.7</v>
      </c>
      <c r="AB212" s="228">
        <v>5.3</v>
      </c>
      <c r="AC212" s="229">
        <v>1.9E-3</v>
      </c>
      <c r="AD212" s="228">
        <v>2.6</v>
      </c>
      <c r="AE212" s="228">
        <v>-2.7</v>
      </c>
      <c r="AF212" s="228">
        <v>5.3</v>
      </c>
      <c r="AG212" s="229">
        <v>1.9E-3</v>
      </c>
      <c r="AH212" s="228">
        <v>-10.1</v>
      </c>
      <c r="AI212" s="228">
        <v>-16.600000000000001</v>
      </c>
      <c r="AJ212" s="228">
        <v>6.5</v>
      </c>
      <c r="AK212" s="229">
        <v>-7.3000000000000001E-3</v>
      </c>
      <c r="AL212" s="228">
        <v>-15.1</v>
      </c>
      <c r="AM212" s="228">
        <v>-26</v>
      </c>
      <c r="AN212" s="228">
        <v>10.9</v>
      </c>
      <c r="AO212" s="229">
        <v>-1.09E-2</v>
      </c>
      <c r="AP212" s="231">
        <v>1386.23</v>
      </c>
      <c r="AQ212" s="231">
        <v>1372.26</v>
      </c>
      <c r="AR212" s="228">
        <v>0</v>
      </c>
      <c r="AS212" s="228">
        <v>200</v>
      </c>
      <c r="AT212" s="228">
        <v>268</v>
      </c>
      <c r="AU212" s="228">
        <v>-68</v>
      </c>
      <c r="AV212" s="229">
        <v>-0.25309999999999999</v>
      </c>
      <c r="AW212" s="228">
        <v>159</v>
      </c>
      <c r="AX212" s="228">
        <v>194</v>
      </c>
      <c r="AY212" s="228">
        <v>-34</v>
      </c>
      <c r="AZ212" s="229">
        <v>-0.17799999999999999</v>
      </c>
      <c r="BA212" s="228">
        <v>39</v>
      </c>
      <c r="BB212" s="228">
        <v>71</v>
      </c>
      <c r="BC212" s="228">
        <v>-32</v>
      </c>
      <c r="BD212" s="229">
        <v>-0.45100000000000001</v>
      </c>
      <c r="BE212" s="228">
        <v>2</v>
      </c>
      <c r="BF212" s="228">
        <v>3</v>
      </c>
      <c r="BG212" s="228">
        <v>-1</v>
      </c>
      <c r="BH212" s="229">
        <v>-0.41670000000000001</v>
      </c>
      <c r="BI212" s="228">
        <v>412</v>
      </c>
      <c r="BJ212" s="228">
        <v>625</v>
      </c>
      <c r="BK212" s="228">
        <v>-213</v>
      </c>
      <c r="BL212" s="229">
        <v>-0.34129999999999999</v>
      </c>
      <c r="BM212" s="228">
        <v>238</v>
      </c>
      <c r="BN212" s="228">
        <v>262</v>
      </c>
      <c r="BO212" s="228">
        <v>-24</v>
      </c>
      <c r="BP212" s="229">
        <v>-9.2700000000000005E-2</v>
      </c>
      <c r="BQ212" s="228">
        <v>850</v>
      </c>
      <c r="BR212" s="230">
        <v>1155</v>
      </c>
      <c r="BS212" s="228">
        <v>-305</v>
      </c>
      <c r="BT212" s="229">
        <v>-0.26440000000000002</v>
      </c>
      <c r="BU212" s="230">
        <v>666857</v>
      </c>
      <c r="BV212" s="230">
        <v>624975</v>
      </c>
      <c r="BW212" s="230">
        <v>41882</v>
      </c>
      <c r="BX212" s="229">
        <v>6.7000000000000004E-2</v>
      </c>
      <c r="BY212" s="230">
        <v>1598</v>
      </c>
      <c r="BZ212" s="230">
        <v>1585</v>
      </c>
      <c r="CA212" s="228">
        <v>13</v>
      </c>
      <c r="CB212" s="229">
        <v>8.2000000000000007E-3</v>
      </c>
      <c r="CC212" s="230">
        <v>1371</v>
      </c>
      <c r="CD212" s="230">
        <v>1376</v>
      </c>
      <c r="CE212" s="228">
        <v>-5</v>
      </c>
      <c r="CF212" s="229">
        <v>-3.8E-3</v>
      </c>
      <c r="CG212" s="228">
        <v>219</v>
      </c>
      <c r="CH212" s="228">
        <v>201</v>
      </c>
      <c r="CI212" s="228">
        <v>18</v>
      </c>
      <c r="CJ212" s="229">
        <v>9.1300000000000006E-2</v>
      </c>
      <c r="CK212" s="228">
        <v>8</v>
      </c>
      <c r="CL212" s="228">
        <v>8</v>
      </c>
      <c r="CM212" s="228">
        <v>0</v>
      </c>
      <c r="CN212" s="229">
        <v>-1.8800000000000001E-2</v>
      </c>
      <c r="CO212" s="228">
        <v>452</v>
      </c>
      <c r="CP212" s="228">
        <v>396</v>
      </c>
      <c r="CQ212" s="228">
        <v>56</v>
      </c>
      <c r="CR212" s="229">
        <v>0.14080000000000001</v>
      </c>
      <c r="CS212" s="228">
        <v>348</v>
      </c>
      <c r="CT212" s="228">
        <v>361</v>
      </c>
      <c r="CU212" s="228">
        <v>-13</v>
      </c>
      <c r="CV212" s="229">
        <v>-3.6200000000000003E-2</v>
      </c>
      <c r="CW212" s="230">
        <v>2397</v>
      </c>
      <c r="CX212" s="230">
        <v>2342</v>
      </c>
      <c r="CY212" s="228">
        <v>56</v>
      </c>
      <c r="CZ212" s="229">
        <v>2.3800000000000002E-2</v>
      </c>
      <c r="DA212" s="228">
        <v>23.82</v>
      </c>
      <c r="DB212" s="228">
        <v>21.56</v>
      </c>
      <c r="DC212" s="228">
        <v>2.2599999999999998</v>
      </c>
      <c r="DD212" s="228">
        <v>2.2599999999999998</v>
      </c>
      <c r="DE212" s="228">
        <v>36.33</v>
      </c>
      <c r="DF212" s="228">
        <v>36.4</v>
      </c>
      <c r="DG212" s="228">
        <v>-12.51</v>
      </c>
      <c r="DH212" s="228">
        <v>-7.0000000000000007E-2</v>
      </c>
      <c r="DI212" s="228">
        <v>23.69</v>
      </c>
      <c r="DJ212" s="228">
        <v>21.17</v>
      </c>
      <c r="DK212" s="228">
        <v>2.52</v>
      </c>
      <c r="DL212" s="228">
        <v>2.52</v>
      </c>
      <c r="DM212" s="228">
        <v>24.04</v>
      </c>
      <c r="DN212" s="228">
        <v>22.49</v>
      </c>
      <c r="DO212" s="228">
        <v>1.55</v>
      </c>
      <c r="DP212" s="228">
        <v>1.55</v>
      </c>
      <c r="DQ212" s="228">
        <v>0.77</v>
      </c>
      <c r="DR212" s="228">
        <v>0.91</v>
      </c>
      <c r="DS212" s="228">
        <v>-0.14000000000000001</v>
      </c>
      <c r="DT212" s="229">
        <v>-0.15379999999999999</v>
      </c>
      <c r="DU212" s="231">
        <v>1400</v>
      </c>
      <c r="DV212" s="231">
        <v>1360</v>
      </c>
      <c r="DW212" s="228">
        <v>0.57999999999999996</v>
      </c>
      <c r="DX212" s="228">
        <v>0.42</v>
      </c>
      <c r="DY212" s="228">
        <v>0.16</v>
      </c>
      <c r="DZ212" s="229">
        <v>0.38100000000000001</v>
      </c>
      <c r="EA212" s="229">
        <v>0.1421</v>
      </c>
      <c r="EB212" s="230">
        <v>1510500</v>
      </c>
      <c r="EC212" s="229">
        <v>-9.1999999999999998E-3</v>
      </c>
      <c r="ED212" s="229">
        <v>0.1421</v>
      </c>
      <c r="EE212" s="228">
        <v>-13.97</v>
      </c>
      <c r="EF212" s="229">
        <v>-1.01E-2</v>
      </c>
      <c r="EG212" s="230">
        <v>438834</v>
      </c>
      <c r="EH212" s="230">
        <v>283138</v>
      </c>
      <c r="EI212" s="229">
        <v>0.54990000000000006</v>
      </c>
      <c r="EJ212" s="229">
        <v>0.65810000000000002</v>
      </c>
      <c r="EK212" s="228">
        <v>426.89</v>
      </c>
      <c r="EL212" s="228">
        <v>233.44</v>
      </c>
      <c r="EM212" s="228">
        <v>199.87</v>
      </c>
      <c r="EN212" s="228">
        <v>38.61</v>
      </c>
      <c r="EO212" s="228">
        <v>860.21</v>
      </c>
      <c r="EP212" s="231">
        <v>1169.8</v>
      </c>
      <c r="EQ212" s="228">
        <v>-309.58999999999997</v>
      </c>
      <c r="ER212" s="229">
        <v>-0.26469999999999999</v>
      </c>
      <c r="ES212" s="228">
        <v>462.74</v>
      </c>
      <c r="ET212" s="228">
        <v>334.81</v>
      </c>
      <c r="EU212" s="231">
        <v>1595.68</v>
      </c>
      <c r="EV212" s="231">
        <v>34594689</v>
      </c>
      <c r="EW212" s="231">
        <v>2393.23</v>
      </c>
      <c r="EX212" s="231">
        <v>2344.14</v>
      </c>
      <c r="EY212" s="228">
        <v>49.09</v>
      </c>
      <c r="EZ212" s="229">
        <v>2.0899999999999998E-2</v>
      </c>
      <c r="FA212" s="229">
        <v>0.501</v>
      </c>
      <c r="FB212" s="227" t="s">
        <v>567</v>
      </c>
      <c r="FC212">
        <f t="shared" si="4"/>
        <v>0</v>
      </c>
    </row>
    <row r="213" spans="1:159" ht="17.25" thickBot="1" x14ac:dyDescent="0.3">
      <c r="A213" s="226">
        <v>46008</v>
      </c>
      <c r="B213" s="227" t="s">
        <v>221</v>
      </c>
      <c r="C213" s="227" t="s">
        <v>306</v>
      </c>
      <c r="D213" s="228">
        <v>3000</v>
      </c>
      <c r="E213" s="228">
        <v>13</v>
      </c>
      <c r="F213" s="228">
        <v>261.27999999999997</v>
      </c>
      <c r="G213" s="228">
        <v>259.8</v>
      </c>
      <c r="H213" s="228">
        <v>1.48</v>
      </c>
      <c r="I213" s="229">
        <v>5.7000000000000002E-3</v>
      </c>
      <c r="J213" s="228">
        <v>261.14</v>
      </c>
      <c r="K213" s="228">
        <v>259.22000000000003</v>
      </c>
      <c r="L213" s="228">
        <v>1.92</v>
      </c>
      <c r="M213" s="229">
        <v>7.4000000000000003E-3</v>
      </c>
      <c r="N213" s="228">
        <v>261.27999999999997</v>
      </c>
      <c r="O213" s="228">
        <v>259.8</v>
      </c>
      <c r="P213" s="228">
        <v>1.48</v>
      </c>
      <c r="Q213" s="229">
        <v>5.7000000000000002E-3</v>
      </c>
      <c r="R213" s="228">
        <v>260.16000000000003</v>
      </c>
      <c r="S213" s="228">
        <v>258.61</v>
      </c>
      <c r="T213" s="228">
        <v>1.55</v>
      </c>
      <c r="U213" s="229">
        <v>6.0000000000000001E-3</v>
      </c>
      <c r="V213" s="228">
        <v>259.56</v>
      </c>
      <c r="W213" s="228">
        <v>257.85000000000002</v>
      </c>
      <c r="X213" s="228">
        <v>1.71</v>
      </c>
      <c r="Y213" s="229">
        <v>6.6E-3</v>
      </c>
      <c r="Z213" s="228">
        <v>0.14000000000000001</v>
      </c>
      <c r="AA213" s="228">
        <v>0.57999999999999996</v>
      </c>
      <c r="AB213" s="228">
        <v>-0.44</v>
      </c>
      <c r="AC213" s="229">
        <v>5.0000000000000001E-4</v>
      </c>
      <c r="AD213" s="228">
        <v>0.14000000000000001</v>
      </c>
      <c r="AE213" s="228">
        <v>0.57999999999999996</v>
      </c>
      <c r="AF213" s="228">
        <v>-0.44</v>
      </c>
      <c r="AG213" s="229">
        <v>5.0000000000000001E-4</v>
      </c>
      <c r="AH213" s="228">
        <v>-0.98</v>
      </c>
      <c r="AI213" s="228">
        <v>-0.61</v>
      </c>
      <c r="AJ213" s="228">
        <v>-0.37</v>
      </c>
      <c r="AK213" s="229">
        <v>-3.8E-3</v>
      </c>
      <c r="AL213" s="228">
        <v>-1.58</v>
      </c>
      <c r="AM213" s="228">
        <v>-1.37</v>
      </c>
      <c r="AN213" s="228">
        <v>-0.21</v>
      </c>
      <c r="AO213" s="229">
        <v>-6.1000000000000004E-3</v>
      </c>
      <c r="AP213" s="228">
        <v>261.27</v>
      </c>
      <c r="AQ213" s="228">
        <v>260.29000000000002</v>
      </c>
      <c r="AR213" s="228">
        <v>0</v>
      </c>
      <c r="AS213" s="228">
        <v>253</v>
      </c>
      <c r="AT213" s="228">
        <v>309</v>
      </c>
      <c r="AU213" s="228">
        <v>-55</v>
      </c>
      <c r="AV213" s="229">
        <v>-0.17899999999999999</v>
      </c>
      <c r="AW213" s="228">
        <v>192</v>
      </c>
      <c r="AX213" s="228">
        <v>239</v>
      </c>
      <c r="AY213" s="228">
        <v>-47</v>
      </c>
      <c r="AZ213" s="229">
        <v>-0.1961</v>
      </c>
      <c r="BA213" s="228">
        <v>57</v>
      </c>
      <c r="BB213" s="228">
        <v>66</v>
      </c>
      <c r="BC213" s="228">
        <v>-9</v>
      </c>
      <c r="BD213" s="229">
        <v>-0.1396</v>
      </c>
      <c r="BE213" s="228">
        <v>4</v>
      </c>
      <c r="BF213" s="228">
        <v>3</v>
      </c>
      <c r="BG213" s="228">
        <v>1</v>
      </c>
      <c r="BH213" s="229">
        <v>0.25</v>
      </c>
      <c r="BI213" s="228">
        <v>995</v>
      </c>
      <c r="BJ213" s="228">
        <v>913</v>
      </c>
      <c r="BK213" s="228">
        <v>82</v>
      </c>
      <c r="BL213" s="229">
        <v>8.9399999999999993E-2</v>
      </c>
      <c r="BM213" s="228">
        <v>531</v>
      </c>
      <c r="BN213" s="228">
        <v>462</v>
      </c>
      <c r="BO213" s="228">
        <v>69</v>
      </c>
      <c r="BP213" s="229">
        <v>0.14979999999999999</v>
      </c>
      <c r="BQ213" s="230">
        <v>1779</v>
      </c>
      <c r="BR213" s="230">
        <v>1684</v>
      </c>
      <c r="BS213" s="228">
        <v>96</v>
      </c>
      <c r="BT213" s="229">
        <v>5.67E-2</v>
      </c>
      <c r="BU213" s="230">
        <v>5106624</v>
      </c>
      <c r="BV213" s="230">
        <v>3116894</v>
      </c>
      <c r="BW213" s="230">
        <v>1989730</v>
      </c>
      <c r="BX213" s="229">
        <v>0.63839999999999997</v>
      </c>
      <c r="BY213" s="230">
        <v>3147</v>
      </c>
      <c r="BZ213" s="230">
        <v>3118</v>
      </c>
      <c r="CA213" s="228">
        <v>29</v>
      </c>
      <c r="CB213" s="229">
        <v>9.2999999999999992E-3</v>
      </c>
      <c r="CC213" s="230">
        <v>2950</v>
      </c>
      <c r="CD213" s="230">
        <v>2935</v>
      </c>
      <c r="CE213" s="228">
        <v>15</v>
      </c>
      <c r="CF213" s="229">
        <v>5.0000000000000001E-3</v>
      </c>
      <c r="CG213" s="228">
        <v>170</v>
      </c>
      <c r="CH213" s="228">
        <v>157</v>
      </c>
      <c r="CI213" s="228">
        <v>13</v>
      </c>
      <c r="CJ213" s="229">
        <v>8.4500000000000006E-2</v>
      </c>
      <c r="CK213" s="228">
        <v>27</v>
      </c>
      <c r="CL213" s="228">
        <v>26</v>
      </c>
      <c r="CM213" s="228">
        <v>1</v>
      </c>
      <c r="CN213" s="229">
        <v>3.9300000000000002E-2</v>
      </c>
      <c r="CO213" s="230">
        <v>1204</v>
      </c>
      <c r="CP213" s="230">
        <v>1188</v>
      </c>
      <c r="CQ213" s="228">
        <v>16</v>
      </c>
      <c r="CR213" s="229">
        <v>1.3599999999999999E-2</v>
      </c>
      <c r="CS213" s="228">
        <v>976</v>
      </c>
      <c r="CT213" s="228">
        <v>957</v>
      </c>
      <c r="CU213" s="228">
        <v>19</v>
      </c>
      <c r="CV213" s="229">
        <v>1.9599999999999999E-2</v>
      </c>
      <c r="CW213" s="230">
        <v>5327</v>
      </c>
      <c r="CX213" s="230">
        <v>5263</v>
      </c>
      <c r="CY213" s="228">
        <v>64</v>
      </c>
      <c r="CZ213" s="229">
        <v>1.2200000000000001E-2</v>
      </c>
      <c r="DA213" s="228">
        <v>19.43</v>
      </c>
      <c r="DB213" s="228">
        <v>19.940000000000001</v>
      </c>
      <c r="DC213" s="228">
        <v>-0.51</v>
      </c>
      <c r="DD213" s="228">
        <v>-0.51</v>
      </c>
      <c r="DE213" s="228">
        <v>29.56</v>
      </c>
      <c r="DF213" s="228">
        <v>29.63</v>
      </c>
      <c r="DG213" s="228">
        <v>-10.130000000000001</v>
      </c>
      <c r="DH213" s="228">
        <v>-7.0000000000000007E-2</v>
      </c>
      <c r="DI213" s="228">
        <v>19.13</v>
      </c>
      <c r="DJ213" s="228">
        <v>19.809999999999999</v>
      </c>
      <c r="DK213" s="228">
        <v>-0.68</v>
      </c>
      <c r="DL213" s="228">
        <v>-0.68</v>
      </c>
      <c r="DM213" s="228">
        <v>20.010000000000002</v>
      </c>
      <c r="DN213" s="228">
        <v>20.21</v>
      </c>
      <c r="DO213" s="228">
        <v>-0.2</v>
      </c>
      <c r="DP213" s="228">
        <v>-0.2</v>
      </c>
      <c r="DQ213" s="228">
        <v>0.81</v>
      </c>
      <c r="DR213" s="228">
        <v>0.81</v>
      </c>
      <c r="DS213" s="228">
        <v>0</v>
      </c>
      <c r="DT213" s="229">
        <v>0</v>
      </c>
      <c r="DU213" s="228">
        <v>260</v>
      </c>
      <c r="DV213" s="228">
        <v>250</v>
      </c>
      <c r="DW213" s="228">
        <v>0.53</v>
      </c>
      <c r="DX213" s="228">
        <v>0.51</v>
      </c>
      <c r="DY213" s="228">
        <v>0.02</v>
      </c>
      <c r="DZ213" s="229">
        <v>3.9199999999999999E-2</v>
      </c>
      <c r="EA213" s="229">
        <v>6.2600000000000003E-2</v>
      </c>
      <c r="EB213" s="230">
        <v>6996000</v>
      </c>
      <c r="EC213" s="229">
        <v>-4.3E-3</v>
      </c>
      <c r="ED213" s="229">
        <v>6.2600000000000003E-2</v>
      </c>
      <c r="EE213" s="228">
        <v>-0.98</v>
      </c>
      <c r="EF213" s="229">
        <v>-3.8E-3</v>
      </c>
      <c r="EG213" s="230">
        <v>2934437</v>
      </c>
      <c r="EH213" s="230">
        <v>1629427</v>
      </c>
      <c r="EI213" s="229">
        <v>0.80089999999999995</v>
      </c>
      <c r="EJ213" s="229">
        <v>0.5746</v>
      </c>
      <c r="EK213" s="231">
        <v>1021.24</v>
      </c>
      <c r="EL213" s="228">
        <v>525.17999999999995</v>
      </c>
      <c r="EM213" s="228">
        <v>253.24</v>
      </c>
      <c r="EN213" s="228">
        <v>39.06</v>
      </c>
      <c r="EO213" s="231">
        <v>1799.66</v>
      </c>
      <c r="EP213" s="231">
        <v>1703.99</v>
      </c>
      <c r="EQ213" s="228">
        <v>95.67</v>
      </c>
      <c r="ER213" s="229">
        <v>5.6099999999999997E-2</v>
      </c>
      <c r="ES213" s="231">
        <v>1226.23</v>
      </c>
      <c r="ET213" s="228">
        <v>920.65</v>
      </c>
      <c r="EU213" s="231">
        <v>3146.45</v>
      </c>
      <c r="EV213" s="231">
        <v>292948819</v>
      </c>
      <c r="EW213" s="231">
        <v>5293.32</v>
      </c>
      <c r="EX213" s="231">
        <v>5210.01</v>
      </c>
      <c r="EY213" s="228">
        <v>83.31</v>
      </c>
      <c r="EZ213" s="229">
        <v>1.6E-2</v>
      </c>
      <c r="FA213" s="229">
        <v>0.69599999999999995</v>
      </c>
      <c r="FB213" s="227" t="s">
        <v>555</v>
      </c>
      <c r="FC213">
        <f t="shared" si="4"/>
        <v>0</v>
      </c>
    </row>
    <row r="214" spans="1:159" ht="17.25" thickBot="1" x14ac:dyDescent="0.3">
      <c r="A214" s="226">
        <v>46008</v>
      </c>
      <c r="B214" s="227" t="s">
        <v>172</v>
      </c>
      <c r="C214" s="227" t="s">
        <v>590</v>
      </c>
      <c r="D214" s="228">
        <v>31100</v>
      </c>
      <c r="E214" s="228">
        <v>13</v>
      </c>
      <c r="F214" s="228">
        <v>21.57</v>
      </c>
      <c r="G214" s="228">
        <v>21.54</v>
      </c>
      <c r="H214" s="228">
        <v>0.03</v>
      </c>
      <c r="I214" s="229">
        <v>1.4E-3</v>
      </c>
      <c r="J214" s="228">
        <v>21.56</v>
      </c>
      <c r="K214" s="228">
        <v>21.5</v>
      </c>
      <c r="L214" s="228">
        <v>0.06</v>
      </c>
      <c r="M214" s="229">
        <v>2.8E-3</v>
      </c>
      <c r="N214" s="228">
        <v>21.57</v>
      </c>
      <c r="O214" s="228">
        <v>21.54</v>
      </c>
      <c r="P214" s="228">
        <v>0.03</v>
      </c>
      <c r="Q214" s="229">
        <v>1.4E-3</v>
      </c>
      <c r="R214" s="228">
        <v>21.7</v>
      </c>
      <c r="S214" s="228">
        <v>21.68</v>
      </c>
      <c r="T214" s="228">
        <v>0.02</v>
      </c>
      <c r="U214" s="229">
        <v>8.9999999999999998E-4</v>
      </c>
      <c r="V214" s="228">
        <v>21.83</v>
      </c>
      <c r="W214" s="228">
        <v>21.8</v>
      </c>
      <c r="X214" s="228">
        <v>0.03</v>
      </c>
      <c r="Y214" s="229">
        <v>1.4E-3</v>
      </c>
      <c r="Z214" s="228">
        <v>0.01</v>
      </c>
      <c r="AA214" s="228">
        <v>0.04</v>
      </c>
      <c r="AB214" s="228">
        <v>-0.03</v>
      </c>
      <c r="AC214" s="229">
        <v>5.0000000000000001E-4</v>
      </c>
      <c r="AD214" s="228">
        <v>0.01</v>
      </c>
      <c r="AE214" s="228">
        <v>0.04</v>
      </c>
      <c r="AF214" s="228">
        <v>-0.03</v>
      </c>
      <c r="AG214" s="229">
        <v>5.0000000000000001E-4</v>
      </c>
      <c r="AH214" s="228">
        <v>0.14000000000000001</v>
      </c>
      <c r="AI214" s="228">
        <v>0.18</v>
      </c>
      <c r="AJ214" s="228">
        <v>-0.04</v>
      </c>
      <c r="AK214" s="229">
        <v>6.4999999999999997E-3</v>
      </c>
      <c r="AL214" s="228">
        <v>0.27</v>
      </c>
      <c r="AM214" s="228">
        <v>0.3</v>
      </c>
      <c r="AN214" s="228">
        <v>-0.03</v>
      </c>
      <c r="AO214" s="229">
        <v>1.2500000000000001E-2</v>
      </c>
      <c r="AP214" s="228">
        <v>21.59</v>
      </c>
      <c r="AQ214" s="228">
        <v>21.73</v>
      </c>
      <c r="AR214" s="228">
        <v>0</v>
      </c>
      <c r="AS214" s="228">
        <v>132</v>
      </c>
      <c r="AT214" s="228">
        <v>221</v>
      </c>
      <c r="AU214" s="228">
        <v>-89</v>
      </c>
      <c r="AV214" s="229">
        <v>-0.40160000000000001</v>
      </c>
      <c r="AW214" s="228">
        <v>101</v>
      </c>
      <c r="AX214" s="228">
        <v>149</v>
      </c>
      <c r="AY214" s="228">
        <v>-49</v>
      </c>
      <c r="AZ214" s="229">
        <v>-0.32450000000000001</v>
      </c>
      <c r="BA214" s="228">
        <v>28</v>
      </c>
      <c r="BB214" s="228">
        <v>63</v>
      </c>
      <c r="BC214" s="228">
        <v>-35</v>
      </c>
      <c r="BD214" s="229">
        <v>-0.5514</v>
      </c>
      <c r="BE214" s="228">
        <v>3</v>
      </c>
      <c r="BF214" s="228">
        <v>8</v>
      </c>
      <c r="BG214" s="228">
        <v>-6</v>
      </c>
      <c r="BH214" s="229">
        <v>-0.65600000000000003</v>
      </c>
      <c r="BI214" s="228">
        <v>490</v>
      </c>
      <c r="BJ214" s="228">
        <v>551</v>
      </c>
      <c r="BK214" s="228">
        <v>-61</v>
      </c>
      <c r="BL214" s="229">
        <v>-0.1103</v>
      </c>
      <c r="BM214" s="228">
        <v>136</v>
      </c>
      <c r="BN214" s="228">
        <v>186</v>
      </c>
      <c r="BO214" s="228">
        <v>-51</v>
      </c>
      <c r="BP214" s="229">
        <v>-0.27289999999999998</v>
      </c>
      <c r="BQ214" s="228">
        <v>758</v>
      </c>
      <c r="BR214" s="228">
        <v>958</v>
      </c>
      <c r="BS214" s="228">
        <v>-200</v>
      </c>
      <c r="BT214" s="229">
        <v>-0.2089</v>
      </c>
      <c r="BU214" s="230">
        <v>58249840</v>
      </c>
      <c r="BV214" s="230">
        <v>64621567</v>
      </c>
      <c r="BW214" s="230">
        <v>-6371727</v>
      </c>
      <c r="BX214" s="229">
        <v>-9.8599999999999993E-2</v>
      </c>
      <c r="BY214" s="230">
        <v>2434</v>
      </c>
      <c r="BZ214" s="230">
        <v>2448</v>
      </c>
      <c r="CA214" s="228">
        <v>-14</v>
      </c>
      <c r="CB214" s="229">
        <v>-5.5999999999999999E-3</v>
      </c>
      <c r="CC214" s="230">
        <v>2111</v>
      </c>
      <c r="CD214" s="230">
        <v>2135</v>
      </c>
      <c r="CE214" s="228">
        <v>-24</v>
      </c>
      <c r="CF214" s="229">
        <v>-1.0999999999999999E-2</v>
      </c>
      <c r="CG214" s="228">
        <v>287</v>
      </c>
      <c r="CH214" s="228">
        <v>278</v>
      </c>
      <c r="CI214" s="228">
        <v>9</v>
      </c>
      <c r="CJ214" s="229">
        <v>3.3500000000000002E-2</v>
      </c>
      <c r="CK214" s="228">
        <v>35</v>
      </c>
      <c r="CL214" s="228">
        <v>35</v>
      </c>
      <c r="CM214" s="228">
        <v>0</v>
      </c>
      <c r="CN214" s="229">
        <v>1.3599999999999999E-2</v>
      </c>
      <c r="CO214" s="230">
        <v>1025</v>
      </c>
      <c r="CP214" s="230">
        <v>1041</v>
      </c>
      <c r="CQ214" s="228">
        <v>-16</v>
      </c>
      <c r="CR214" s="229">
        <v>-1.4999999999999999E-2</v>
      </c>
      <c r="CS214" s="228">
        <v>514</v>
      </c>
      <c r="CT214" s="228">
        <v>511</v>
      </c>
      <c r="CU214" s="228">
        <v>3</v>
      </c>
      <c r="CV214" s="229">
        <v>6.3E-3</v>
      </c>
      <c r="CW214" s="230">
        <v>3973</v>
      </c>
      <c r="CX214" s="230">
        <v>3999</v>
      </c>
      <c r="CY214" s="228">
        <v>-26</v>
      </c>
      <c r="CZ214" s="229">
        <v>-6.4999999999999997E-3</v>
      </c>
      <c r="DA214" s="228">
        <v>26.27</v>
      </c>
      <c r="DB214" s="228">
        <v>29.08</v>
      </c>
      <c r="DC214" s="228">
        <v>-2.81</v>
      </c>
      <c r="DD214" s="228">
        <v>-2.81</v>
      </c>
      <c r="DE214" s="228">
        <v>39.57</v>
      </c>
      <c r="DF214" s="228">
        <v>39.67</v>
      </c>
      <c r="DG214" s="228">
        <v>-13.3</v>
      </c>
      <c r="DH214" s="228">
        <v>-0.1</v>
      </c>
      <c r="DI214" s="228">
        <v>27.08</v>
      </c>
      <c r="DJ214" s="228">
        <v>30.56</v>
      </c>
      <c r="DK214" s="228">
        <v>-3.48</v>
      </c>
      <c r="DL214" s="228">
        <v>-3.48</v>
      </c>
      <c r="DM214" s="228">
        <v>23.33</v>
      </c>
      <c r="DN214" s="228">
        <v>24.7</v>
      </c>
      <c r="DO214" s="228">
        <v>-1.37</v>
      </c>
      <c r="DP214" s="228">
        <v>-1.37</v>
      </c>
      <c r="DQ214" s="228">
        <v>0.5</v>
      </c>
      <c r="DR214" s="228">
        <v>0.49</v>
      </c>
      <c r="DS214" s="228">
        <v>0.01</v>
      </c>
      <c r="DT214" s="229">
        <v>2.0400000000000001E-2</v>
      </c>
      <c r="DU214" s="228">
        <v>23</v>
      </c>
      <c r="DV214" s="228">
        <v>22</v>
      </c>
      <c r="DW214" s="228">
        <v>0.28000000000000003</v>
      </c>
      <c r="DX214" s="228">
        <v>0.34</v>
      </c>
      <c r="DY214" s="228">
        <v>-0.06</v>
      </c>
      <c r="DZ214" s="229">
        <v>-0.17649999999999999</v>
      </c>
      <c r="EA214" s="229">
        <v>0.13250000000000001</v>
      </c>
      <c r="EB214" s="230">
        <v>144926000</v>
      </c>
      <c r="EC214" s="229">
        <v>6.0000000000000001E-3</v>
      </c>
      <c r="ED214" s="229">
        <v>0.13250000000000001</v>
      </c>
      <c r="EE214" s="228">
        <v>0.14000000000000001</v>
      </c>
      <c r="EF214" s="229">
        <v>6.4999999999999997E-3</v>
      </c>
      <c r="EG214" s="230">
        <v>29879998</v>
      </c>
      <c r="EH214" s="230">
        <v>32863086</v>
      </c>
      <c r="EI214" s="229">
        <v>-9.0800000000000006E-2</v>
      </c>
      <c r="EJ214" s="229">
        <v>0.51300000000000001</v>
      </c>
      <c r="EK214" s="228">
        <v>520.21</v>
      </c>
      <c r="EL214" s="228">
        <v>135.07</v>
      </c>
      <c r="EM214" s="228">
        <v>132.28</v>
      </c>
      <c r="EN214" s="228">
        <v>30.67</v>
      </c>
      <c r="EO214" s="228">
        <v>787.56</v>
      </c>
      <c r="EP214" s="231">
        <v>1004.49</v>
      </c>
      <c r="EQ214" s="228">
        <v>-216.92</v>
      </c>
      <c r="ER214" s="229">
        <v>-0.216</v>
      </c>
      <c r="ES214" s="231">
        <v>1133.6500000000001</v>
      </c>
      <c r="ET214" s="228">
        <v>522.83000000000004</v>
      </c>
      <c r="EU214" s="231">
        <v>2435.98</v>
      </c>
      <c r="EV214" s="231">
        <v>3136562346</v>
      </c>
      <c r="EW214" s="231">
        <v>4092.45</v>
      </c>
      <c r="EX214" s="231">
        <v>4118.2</v>
      </c>
      <c r="EY214" s="228">
        <v>-25.75</v>
      </c>
      <c r="EZ214" s="229">
        <v>-6.3E-3</v>
      </c>
      <c r="FA214" s="229">
        <v>0.58730000000000004</v>
      </c>
      <c r="FB214" s="227" t="s">
        <v>556</v>
      </c>
      <c r="FC214">
        <f t="shared" si="4"/>
        <v>0</v>
      </c>
    </row>
    <row r="215" spans="1:159" ht="17.25" thickBot="1" x14ac:dyDescent="0.3">
      <c r="A215" s="226">
        <v>46008</v>
      </c>
      <c r="B215" s="227" t="s">
        <v>170</v>
      </c>
      <c r="C215" s="227" t="s">
        <v>557</v>
      </c>
      <c r="D215" s="228">
        <v>900</v>
      </c>
      <c r="E215" s="228">
        <v>13</v>
      </c>
      <c r="F215" s="228">
        <v>919.1</v>
      </c>
      <c r="G215" s="228">
        <v>917.7</v>
      </c>
      <c r="H215" s="228">
        <v>1.4</v>
      </c>
      <c r="I215" s="229">
        <v>1.5E-3</v>
      </c>
      <c r="J215" s="228">
        <v>918.1</v>
      </c>
      <c r="K215" s="228">
        <v>914.35</v>
      </c>
      <c r="L215" s="228">
        <v>3.75</v>
      </c>
      <c r="M215" s="229">
        <v>4.1000000000000003E-3</v>
      </c>
      <c r="N215" s="228">
        <v>919.1</v>
      </c>
      <c r="O215" s="228">
        <v>917.7</v>
      </c>
      <c r="P215" s="228">
        <v>1.4</v>
      </c>
      <c r="Q215" s="229">
        <v>1.5E-3</v>
      </c>
      <c r="R215" s="228">
        <v>924.55</v>
      </c>
      <c r="S215" s="228">
        <v>922.85</v>
      </c>
      <c r="T215" s="228">
        <v>1.7</v>
      </c>
      <c r="U215" s="229">
        <v>1.8E-3</v>
      </c>
      <c r="V215" s="228">
        <v>929.45</v>
      </c>
      <c r="W215" s="228">
        <v>927.2</v>
      </c>
      <c r="X215" s="228">
        <v>2.25</v>
      </c>
      <c r="Y215" s="229">
        <v>2.3999999999999998E-3</v>
      </c>
      <c r="Z215" s="228">
        <v>1</v>
      </c>
      <c r="AA215" s="228">
        <v>3.35</v>
      </c>
      <c r="AB215" s="228">
        <v>-2.35</v>
      </c>
      <c r="AC215" s="229">
        <v>1.1000000000000001E-3</v>
      </c>
      <c r="AD215" s="228">
        <v>1</v>
      </c>
      <c r="AE215" s="228">
        <v>3.35</v>
      </c>
      <c r="AF215" s="228">
        <v>-2.35</v>
      </c>
      <c r="AG215" s="229">
        <v>1.1000000000000001E-3</v>
      </c>
      <c r="AH215" s="228">
        <v>6.45</v>
      </c>
      <c r="AI215" s="228">
        <v>8.5</v>
      </c>
      <c r="AJ215" s="228">
        <v>-2.0499999999999998</v>
      </c>
      <c r="AK215" s="229">
        <v>7.0000000000000001E-3</v>
      </c>
      <c r="AL215" s="228">
        <v>11.35</v>
      </c>
      <c r="AM215" s="228">
        <v>12.85</v>
      </c>
      <c r="AN215" s="228">
        <v>-1.5</v>
      </c>
      <c r="AO215" s="229">
        <v>1.24E-2</v>
      </c>
      <c r="AP215" s="228">
        <v>918.97</v>
      </c>
      <c r="AQ215" s="228">
        <v>924.37</v>
      </c>
      <c r="AR215" s="228">
        <v>0</v>
      </c>
      <c r="AS215" s="228">
        <v>78</v>
      </c>
      <c r="AT215" s="228">
        <v>118</v>
      </c>
      <c r="AU215" s="228">
        <v>-40</v>
      </c>
      <c r="AV215" s="229">
        <v>-0.34039999999999998</v>
      </c>
      <c r="AW215" s="228">
        <v>67</v>
      </c>
      <c r="AX215" s="228">
        <v>100</v>
      </c>
      <c r="AY215" s="228">
        <v>-33</v>
      </c>
      <c r="AZ215" s="229">
        <v>-0.3281</v>
      </c>
      <c r="BA215" s="228">
        <v>10</v>
      </c>
      <c r="BB215" s="228">
        <v>17</v>
      </c>
      <c r="BC215" s="228">
        <v>-7</v>
      </c>
      <c r="BD215" s="229">
        <v>-0.4335</v>
      </c>
      <c r="BE215" s="228">
        <v>1</v>
      </c>
      <c r="BF215" s="228">
        <v>1</v>
      </c>
      <c r="BG215" s="228">
        <v>0</v>
      </c>
      <c r="BH215" s="229">
        <v>0.1111</v>
      </c>
      <c r="BI215" s="228">
        <v>163</v>
      </c>
      <c r="BJ215" s="228">
        <v>358</v>
      </c>
      <c r="BK215" s="228">
        <v>-195</v>
      </c>
      <c r="BL215" s="229">
        <v>-0.54559999999999997</v>
      </c>
      <c r="BM215" s="228">
        <v>49</v>
      </c>
      <c r="BN215" s="228">
        <v>95</v>
      </c>
      <c r="BO215" s="228">
        <v>-45</v>
      </c>
      <c r="BP215" s="229">
        <v>-0.47770000000000001</v>
      </c>
      <c r="BQ215" s="228">
        <v>290</v>
      </c>
      <c r="BR215" s="228">
        <v>571</v>
      </c>
      <c r="BS215" s="228">
        <v>-281</v>
      </c>
      <c r="BT215" s="229">
        <v>-0.49199999999999999</v>
      </c>
      <c r="BU215" s="230">
        <v>537747</v>
      </c>
      <c r="BV215" s="230">
        <v>768453</v>
      </c>
      <c r="BW215" s="230">
        <v>-230706</v>
      </c>
      <c r="BX215" s="229">
        <v>-0.30020000000000002</v>
      </c>
      <c r="BY215" s="230">
        <v>1039</v>
      </c>
      <c r="BZ215" s="230">
        <v>1030</v>
      </c>
      <c r="CA215" s="228">
        <v>9</v>
      </c>
      <c r="CB215" s="229">
        <v>8.6E-3</v>
      </c>
      <c r="CC215" s="228">
        <v>970</v>
      </c>
      <c r="CD215" s="228">
        <v>966</v>
      </c>
      <c r="CE215" s="228">
        <v>4</v>
      </c>
      <c r="CF215" s="229">
        <v>4.1999999999999997E-3</v>
      </c>
      <c r="CG215" s="228">
        <v>65</v>
      </c>
      <c r="CH215" s="228">
        <v>61</v>
      </c>
      <c r="CI215" s="228">
        <v>4</v>
      </c>
      <c r="CJ215" s="229">
        <v>7.2099999999999997E-2</v>
      </c>
      <c r="CK215" s="228">
        <v>3</v>
      </c>
      <c r="CL215" s="228">
        <v>3</v>
      </c>
      <c r="CM215" s="228">
        <v>0</v>
      </c>
      <c r="CN215" s="229">
        <v>0.1613</v>
      </c>
      <c r="CO215" s="228">
        <v>403</v>
      </c>
      <c r="CP215" s="228">
        <v>421</v>
      </c>
      <c r="CQ215" s="228">
        <v>-18</v>
      </c>
      <c r="CR215" s="229">
        <v>-4.2900000000000001E-2</v>
      </c>
      <c r="CS215" s="228">
        <v>297</v>
      </c>
      <c r="CT215" s="228">
        <v>297</v>
      </c>
      <c r="CU215" s="228">
        <v>0</v>
      </c>
      <c r="CV215" s="229">
        <v>2.9999999999999997E-4</v>
      </c>
      <c r="CW215" s="230">
        <v>1738</v>
      </c>
      <c r="CX215" s="230">
        <v>1747</v>
      </c>
      <c r="CY215" s="228">
        <v>-9</v>
      </c>
      <c r="CZ215" s="229">
        <v>-5.1999999999999998E-3</v>
      </c>
      <c r="DA215" s="228">
        <v>18.510000000000002</v>
      </c>
      <c r="DB215" s="228">
        <v>18.739999999999998</v>
      </c>
      <c r="DC215" s="228">
        <v>-0.23</v>
      </c>
      <c r="DD215" s="228">
        <v>-0.23</v>
      </c>
      <c r="DE215" s="228">
        <v>28.01</v>
      </c>
      <c r="DF215" s="228">
        <v>28.08</v>
      </c>
      <c r="DG215" s="228">
        <v>-9.5</v>
      </c>
      <c r="DH215" s="228">
        <v>-7.0000000000000007E-2</v>
      </c>
      <c r="DI215" s="228">
        <v>18.649999999999999</v>
      </c>
      <c r="DJ215" s="228">
        <v>19.02</v>
      </c>
      <c r="DK215" s="228">
        <v>-0.37</v>
      </c>
      <c r="DL215" s="228">
        <v>-0.37</v>
      </c>
      <c r="DM215" s="228">
        <v>18.07</v>
      </c>
      <c r="DN215" s="228">
        <v>17.66</v>
      </c>
      <c r="DO215" s="228">
        <v>0.41</v>
      </c>
      <c r="DP215" s="228">
        <v>0.41</v>
      </c>
      <c r="DQ215" s="228">
        <v>0.74</v>
      </c>
      <c r="DR215" s="228">
        <v>0.7</v>
      </c>
      <c r="DS215" s="228">
        <v>0.04</v>
      </c>
      <c r="DT215" s="229">
        <v>5.7099999999999998E-2</v>
      </c>
      <c r="DU215" s="228">
        <v>940</v>
      </c>
      <c r="DV215" s="228">
        <v>900</v>
      </c>
      <c r="DW215" s="228">
        <v>0.3</v>
      </c>
      <c r="DX215" s="228">
        <v>0.26</v>
      </c>
      <c r="DY215" s="228">
        <v>0.04</v>
      </c>
      <c r="DZ215" s="229">
        <v>0.15379999999999999</v>
      </c>
      <c r="EA215" s="229">
        <v>6.5600000000000006E-2</v>
      </c>
      <c r="EB215" s="230">
        <v>689400</v>
      </c>
      <c r="EC215" s="229">
        <v>5.8999999999999999E-3</v>
      </c>
      <c r="ED215" s="229">
        <v>6.5600000000000006E-2</v>
      </c>
      <c r="EE215" s="228">
        <v>5.4</v>
      </c>
      <c r="EF215" s="229">
        <v>5.8999999999999999E-3</v>
      </c>
      <c r="EG215" s="230">
        <v>367456</v>
      </c>
      <c r="EH215" s="230">
        <v>324407</v>
      </c>
      <c r="EI215" s="229">
        <v>0.13270000000000001</v>
      </c>
      <c r="EJ215" s="229">
        <v>0.68330000000000002</v>
      </c>
      <c r="EK215" s="228">
        <v>169.03</v>
      </c>
      <c r="EL215" s="228">
        <v>48.78</v>
      </c>
      <c r="EM215" s="228">
        <v>77.81</v>
      </c>
      <c r="EN215" s="228">
        <v>11.56</v>
      </c>
      <c r="EO215" s="228">
        <v>295.63</v>
      </c>
      <c r="EP215" s="228">
        <v>584.17999999999995</v>
      </c>
      <c r="EQ215" s="228">
        <v>-288.56</v>
      </c>
      <c r="ER215" s="229">
        <v>-0.49399999999999999</v>
      </c>
      <c r="ES215" s="228">
        <v>425.08</v>
      </c>
      <c r="ET215" s="228">
        <v>297.88</v>
      </c>
      <c r="EU215" s="231">
        <v>1038.96</v>
      </c>
      <c r="EV215" s="231">
        <v>32617803</v>
      </c>
      <c r="EW215" s="231">
        <v>1761.92</v>
      </c>
      <c r="EX215" s="231">
        <v>1770.49</v>
      </c>
      <c r="EY215" s="228">
        <v>-8.57</v>
      </c>
      <c r="EZ215" s="229">
        <v>-4.7999999999999996E-3</v>
      </c>
      <c r="FA215" s="229">
        <v>0.57969999999999999</v>
      </c>
      <c r="FB215" s="227" t="s">
        <v>555</v>
      </c>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BY325-CC325</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BY389-CC389</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Z156" sqref="BZ156"/>
    </sheetView>
  </sheetViews>
  <sheetFormatPr defaultRowHeight="15" x14ac:dyDescent="0.25"/>
  <cols>
    <col min="1" max="1" width="12.28515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 customWidth="1"/>
    <col min="80" max="81" width="15.5703125" customWidth="1"/>
    <col min="82" max="82" width="13.7109375" customWidth="1"/>
    <col min="83" max="83" width="11.42578125" customWidth="1"/>
    <col min="84" max="84" width="14" customWidth="1"/>
    <col min="85" max="85" width="14.42578125" customWidth="1"/>
    <col min="86" max="86" width="13.5703125" customWidth="1"/>
    <col min="87" max="87" width="11.42578125" customWidth="1"/>
    <col min="88" max="89" width="14" customWidth="1"/>
    <col min="90" max="90" width="11.5703125" customWidth="1"/>
    <col min="91" max="91" width="10.140625" customWidth="1"/>
    <col min="92" max="93" width="15.5703125" customWidth="1"/>
    <col min="94" max="94" width="13.7109375" customWidth="1"/>
    <col min="95" max="95" width="10.42578125" customWidth="1"/>
    <col min="96" max="97" width="15.5703125" customWidth="1"/>
    <col min="98" max="98" width="12.7109375" customWidth="1"/>
    <col min="99" max="99" width="10.28515625" customWidth="1"/>
    <col min="100" max="101" width="16.7109375" customWidth="1"/>
    <col min="102" max="102" width="14.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8.42578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46008</v>
      </c>
      <c r="B2" s="227" t="s">
        <v>175</v>
      </c>
      <c r="C2" s="227" t="s">
        <v>683</v>
      </c>
      <c r="D2" s="228">
        <v>500</v>
      </c>
      <c r="E2" s="231">
        <v>1130.0999999999999</v>
      </c>
      <c r="F2" s="231">
        <v>1133.2</v>
      </c>
      <c r="G2" s="228">
        <v>-3.1</v>
      </c>
      <c r="H2" s="229">
        <v>-2.7000000000000001E-3</v>
      </c>
      <c r="I2" s="231">
        <v>1126.0999999999999</v>
      </c>
      <c r="J2" s="231">
        <v>1133.4000000000001</v>
      </c>
      <c r="K2" s="228">
        <v>-7.3</v>
      </c>
      <c r="L2" s="229">
        <v>-6.4000000000000003E-3</v>
      </c>
      <c r="M2" s="231">
        <v>1130.0999999999999</v>
      </c>
      <c r="N2" s="231">
        <v>1133.2</v>
      </c>
      <c r="O2" s="228">
        <v>-3.1</v>
      </c>
      <c r="P2" s="229">
        <v>-2.7000000000000001E-3</v>
      </c>
      <c r="Q2" s="231">
        <v>1130.5999999999999</v>
      </c>
      <c r="R2" s="231">
        <v>1134.4000000000001</v>
      </c>
      <c r="S2" s="228">
        <v>-3.8</v>
      </c>
      <c r="T2" s="229">
        <v>-3.3E-3</v>
      </c>
      <c r="U2" s="231">
        <v>1142</v>
      </c>
      <c r="V2" s="231">
        <v>1146</v>
      </c>
      <c r="W2" s="228">
        <v>-4</v>
      </c>
      <c r="X2" s="229">
        <v>-3.5000000000000001E-3</v>
      </c>
      <c r="Y2" s="228">
        <v>4</v>
      </c>
      <c r="Z2" s="228">
        <v>-0.2</v>
      </c>
      <c r="AA2" s="228">
        <v>4.2</v>
      </c>
      <c r="AB2" s="229">
        <v>3.5999999999999999E-3</v>
      </c>
      <c r="AC2" s="228">
        <v>4</v>
      </c>
      <c r="AD2" s="228">
        <v>-0.2</v>
      </c>
      <c r="AE2" s="228">
        <v>4.2</v>
      </c>
      <c r="AF2" s="229">
        <v>3.5999999999999999E-3</v>
      </c>
      <c r="AG2" s="228">
        <v>4.5</v>
      </c>
      <c r="AH2" s="228">
        <v>1</v>
      </c>
      <c r="AI2" s="228">
        <v>3.5</v>
      </c>
      <c r="AJ2" s="229">
        <v>4.0000000000000001E-3</v>
      </c>
      <c r="AK2" s="228">
        <v>15.9</v>
      </c>
      <c r="AL2" s="228">
        <v>12.6</v>
      </c>
      <c r="AM2" s="228">
        <v>3.3</v>
      </c>
      <c r="AN2" s="229">
        <v>1.41E-2</v>
      </c>
      <c r="AO2" s="231">
        <v>1142.1600000000001</v>
      </c>
      <c r="AP2" s="231">
        <v>1143.54</v>
      </c>
      <c r="AQ2" s="228">
        <v>0</v>
      </c>
      <c r="AR2" s="230">
        <v>3078000</v>
      </c>
      <c r="AS2" s="230">
        <v>420000</v>
      </c>
      <c r="AT2" s="230">
        <v>2658000</v>
      </c>
      <c r="AU2" s="229">
        <v>6.3285999999999998</v>
      </c>
      <c r="AV2" s="230">
        <v>2567000</v>
      </c>
      <c r="AW2" s="230">
        <v>366500</v>
      </c>
      <c r="AX2" s="230">
        <v>2200500</v>
      </c>
      <c r="AY2" s="229">
        <v>6.0041000000000002</v>
      </c>
      <c r="AZ2" s="230">
        <v>510500</v>
      </c>
      <c r="BA2" s="230">
        <v>53500</v>
      </c>
      <c r="BB2" s="230">
        <v>457000</v>
      </c>
      <c r="BC2" s="229">
        <v>8.5420999999999996</v>
      </c>
      <c r="BD2" s="228">
        <v>500</v>
      </c>
      <c r="BE2" s="228">
        <v>0</v>
      </c>
      <c r="BF2" s="228">
        <v>500</v>
      </c>
      <c r="BG2" s="229">
        <v>0</v>
      </c>
      <c r="BH2" s="230">
        <v>9550500</v>
      </c>
      <c r="BI2" s="230">
        <v>692000</v>
      </c>
      <c r="BJ2" s="230">
        <v>8858500</v>
      </c>
      <c r="BK2" s="229">
        <v>12.801299999999999</v>
      </c>
      <c r="BL2" s="230">
        <v>5856500</v>
      </c>
      <c r="BM2" s="230">
        <v>317000</v>
      </c>
      <c r="BN2" s="230">
        <v>5539500</v>
      </c>
      <c r="BO2" s="229">
        <v>17.474799999999998</v>
      </c>
      <c r="BP2" s="230">
        <v>18485000</v>
      </c>
      <c r="BQ2" s="230">
        <v>1429000</v>
      </c>
      <c r="BR2" s="230">
        <v>17056000</v>
      </c>
      <c r="BS2" s="229">
        <v>11.935600000000001</v>
      </c>
      <c r="BT2" s="230">
        <v>1074755</v>
      </c>
      <c r="BU2" s="230">
        <v>287669</v>
      </c>
      <c r="BV2" s="230">
        <v>787086</v>
      </c>
      <c r="BW2" s="229">
        <v>2.7361</v>
      </c>
      <c r="BX2" s="230">
        <v>1926500</v>
      </c>
      <c r="BY2" s="230">
        <v>1832500</v>
      </c>
      <c r="BZ2" s="230">
        <v>94000</v>
      </c>
      <c r="CA2" s="229">
        <v>5.1299999999999998E-2</v>
      </c>
      <c r="CB2" s="230">
        <v>1805500</v>
      </c>
      <c r="CC2" s="230">
        <v>1746000</v>
      </c>
      <c r="CD2" s="230">
        <v>59500</v>
      </c>
      <c r="CE2" s="229">
        <v>3.4099999999999998E-2</v>
      </c>
      <c r="CF2" s="230">
        <v>116500</v>
      </c>
      <c r="CG2" s="230">
        <v>82500</v>
      </c>
      <c r="CH2" s="230">
        <v>34000</v>
      </c>
      <c r="CI2" s="229">
        <v>0.41210000000000002</v>
      </c>
      <c r="CJ2" s="230">
        <v>4500</v>
      </c>
      <c r="CK2" s="230">
        <v>4000</v>
      </c>
      <c r="CL2" s="228">
        <v>500</v>
      </c>
      <c r="CM2" s="229">
        <v>0.125</v>
      </c>
      <c r="CN2" s="230">
        <v>1722000</v>
      </c>
      <c r="CO2" s="230">
        <v>1636500</v>
      </c>
      <c r="CP2" s="230">
        <v>85500</v>
      </c>
      <c r="CQ2" s="229">
        <v>5.2200000000000003E-2</v>
      </c>
      <c r="CR2" s="230">
        <v>1085000</v>
      </c>
      <c r="CS2" s="230">
        <v>1021000</v>
      </c>
      <c r="CT2" s="230">
        <v>64000</v>
      </c>
      <c r="CU2" s="229">
        <v>6.2700000000000006E-2</v>
      </c>
      <c r="CV2" s="230">
        <v>4733500</v>
      </c>
      <c r="CW2" s="230">
        <v>4490000</v>
      </c>
      <c r="CX2" s="230">
        <v>243500</v>
      </c>
      <c r="CY2" s="229">
        <v>5.4199999999999998E-2</v>
      </c>
      <c r="CZ2" s="228">
        <v>27.35</v>
      </c>
      <c r="DA2" s="228">
        <v>29.21</v>
      </c>
      <c r="DB2" s="228">
        <v>-1.86</v>
      </c>
      <c r="DC2" s="228">
        <v>-1.86</v>
      </c>
      <c r="DD2" s="228">
        <v>43.42</v>
      </c>
      <c r="DE2" s="228">
        <v>43.52</v>
      </c>
      <c r="DF2" s="228">
        <v>-16.07</v>
      </c>
      <c r="DG2" s="228">
        <v>-0.1</v>
      </c>
      <c r="DH2" s="228">
        <v>27.58</v>
      </c>
      <c r="DI2" s="228">
        <v>28.98</v>
      </c>
      <c r="DJ2" s="228">
        <v>-1.4</v>
      </c>
      <c r="DK2" s="228">
        <v>-1.4</v>
      </c>
      <c r="DL2" s="228">
        <v>26.98</v>
      </c>
      <c r="DM2" s="228">
        <v>29.71</v>
      </c>
      <c r="DN2" s="228">
        <v>-2.73</v>
      </c>
      <c r="DO2" s="228">
        <v>-2.73</v>
      </c>
      <c r="DP2" s="228">
        <v>0.63</v>
      </c>
      <c r="DQ2" s="228">
        <v>0.62</v>
      </c>
      <c r="DR2" s="228">
        <v>0.01</v>
      </c>
      <c r="DS2" s="229">
        <v>1.61E-2</v>
      </c>
      <c r="DT2" s="231">
        <v>1200</v>
      </c>
      <c r="DU2" s="231">
        <v>1060</v>
      </c>
      <c r="DV2" s="228">
        <v>0.61</v>
      </c>
      <c r="DW2" s="228">
        <v>0.46</v>
      </c>
      <c r="DX2" s="228">
        <v>0.15</v>
      </c>
      <c r="DY2" s="229">
        <v>0.3261</v>
      </c>
      <c r="DZ2" s="229">
        <v>6.2799999999999995E-2</v>
      </c>
      <c r="EA2" s="230">
        <v>86500</v>
      </c>
      <c r="EB2" s="229">
        <v>4.0000000000000002E-4</v>
      </c>
      <c r="EC2" s="229">
        <v>6.2799999999999995E-2</v>
      </c>
      <c r="ED2" s="228">
        <v>1.38</v>
      </c>
      <c r="EE2" s="229">
        <v>1.1999999999999999E-3</v>
      </c>
      <c r="EF2" s="230">
        <v>178064</v>
      </c>
      <c r="EG2" s="230">
        <v>170595</v>
      </c>
      <c r="EH2" s="229">
        <v>4.3799999999999999E-2</v>
      </c>
      <c r="EI2" s="229">
        <v>0.16569999999999999</v>
      </c>
      <c r="EJ2" s="231">
        <v>112172.61</v>
      </c>
      <c r="EK2" s="231">
        <v>68446.16</v>
      </c>
      <c r="EL2" s="231">
        <v>35162.67</v>
      </c>
      <c r="EM2" s="231">
        <v>2862</v>
      </c>
      <c r="EN2" s="231">
        <v>215781.44</v>
      </c>
      <c r="EO2" s="231">
        <v>16563.099999999999</v>
      </c>
      <c r="EP2" s="231">
        <v>199218.34</v>
      </c>
      <c r="EQ2" s="229">
        <v>12.027799999999999</v>
      </c>
      <c r="ER2" s="231">
        <v>20541</v>
      </c>
      <c r="ES2" s="231">
        <v>11972</v>
      </c>
      <c r="ET2" s="231">
        <v>21772</v>
      </c>
      <c r="EU2" s="231">
        <v>44660948</v>
      </c>
      <c r="EV2" s="231">
        <v>54286</v>
      </c>
      <c r="EW2" s="231">
        <v>51581</v>
      </c>
      <c r="EX2" s="231">
        <v>2705</v>
      </c>
      <c r="EY2" s="229">
        <v>5.2400000000000002E-2</v>
      </c>
      <c r="EZ2" s="229">
        <v>0.106</v>
      </c>
      <c r="FA2" s="227" t="s">
        <v>567</v>
      </c>
      <c r="FB2" s="161">
        <f>BX2-CB2</f>
        <v>121000</v>
      </c>
    </row>
    <row r="3" spans="1:158" ht="17.25" hidden="1" thickBot="1" x14ac:dyDescent="0.3">
      <c r="A3" s="226">
        <v>46008</v>
      </c>
      <c r="B3" s="227" t="s">
        <v>184</v>
      </c>
      <c r="C3" s="227" t="s">
        <v>553</v>
      </c>
      <c r="D3" s="228">
        <v>125</v>
      </c>
      <c r="E3" s="231">
        <v>5190</v>
      </c>
      <c r="F3" s="231">
        <v>5262</v>
      </c>
      <c r="G3" s="228">
        <v>-72</v>
      </c>
      <c r="H3" s="229">
        <v>-1.37E-2</v>
      </c>
      <c r="I3" s="231">
        <v>5171</v>
      </c>
      <c r="J3" s="231">
        <v>5242</v>
      </c>
      <c r="K3" s="228">
        <v>-71</v>
      </c>
      <c r="L3" s="229">
        <v>-1.35E-2</v>
      </c>
      <c r="M3" s="231">
        <v>5190</v>
      </c>
      <c r="N3" s="231">
        <v>5262</v>
      </c>
      <c r="O3" s="228">
        <v>-72</v>
      </c>
      <c r="P3" s="229">
        <v>-1.37E-2</v>
      </c>
      <c r="Q3" s="231">
        <v>5198</v>
      </c>
      <c r="R3" s="231">
        <v>5273.5</v>
      </c>
      <c r="S3" s="228">
        <v>-75.5</v>
      </c>
      <c r="T3" s="229">
        <v>-1.43E-2</v>
      </c>
      <c r="U3" s="231">
        <v>5228.5</v>
      </c>
      <c r="V3" s="231">
        <v>5289.5</v>
      </c>
      <c r="W3" s="228">
        <v>-61</v>
      </c>
      <c r="X3" s="229">
        <v>-1.15E-2</v>
      </c>
      <c r="Y3" s="228">
        <v>19</v>
      </c>
      <c r="Z3" s="228">
        <v>20</v>
      </c>
      <c r="AA3" s="228">
        <v>-1</v>
      </c>
      <c r="AB3" s="229">
        <v>3.7000000000000002E-3</v>
      </c>
      <c r="AC3" s="228">
        <v>19</v>
      </c>
      <c r="AD3" s="228">
        <v>20</v>
      </c>
      <c r="AE3" s="228">
        <v>-1</v>
      </c>
      <c r="AF3" s="229">
        <v>3.7000000000000002E-3</v>
      </c>
      <c r="AG3" s="228">
        <v>27</v>
      </c>
      <c r="AH3" s="228">
        <v>31.5</v>
      </c>
      <c r="AI3" s="228">
        <v>-4.5</v>
      </c>
      <c r="AJ3" s="229">
        <v>5.1999999999999998E-3</v>
      </c>
      <c r="AK3" s="228">
        <v>57.5</v>
      </c>
      <c r="AL3" s="228">
        <v>47.5</v>
      </c>
      <c r="AM3" s="228">
        <v>10</v>
      </c>
      <c r="AN3" s="229">
        <v>1.11E-2</v>
      </c>
      <c r="AO3" s="231">
        <v>5213.4399999999996</v>
      </c>
      <c r="AP3" s="231">
        <v>5225.99</v>
      </c>
      <c r="AQ3" s="228">
        <v>0</v>
      </c>
      <c r="AR3" s="230">
        <v>333625</v>
      </c>
      <c r="AS3" s="230">
        <v>320375</v>
      </c>
      <c r="AT3" s="230">
        <v>13250</v>
      </c>
      <c r="AU3" s="229">
        <v>4.1399999999999999E-2</v>
      </c>
      <c r="AV3" s="230">
        <v>237750</v>
      </c>
      <c r="AW3" s="230">
        <v>261000</v>
      </c>
      <c r="AX3" s="230">
        <v>-23250</v>
      </c>
      <c r="AY3" s="229">
        <v>-8.9099999999999999E-2</v>
      </c>
      <c r="AZ3" s="230">
        <v>91625</v>
      </c>
      <c r="BA3" s="230">
        <v>57375</v>
      </c>
      <c r="BB3" s="230">
        <v>34250</v>
      </c>
      <c r="BC3" s="229">
        <v>0.59689999999999999</v>
      </c>
      <c r="BD3" s="230">
        <v>4250</v>
      </c>
      <c r="BE3" s="230">
        <v>2000</v>
      </c>
      <c r="BF3" s="230">
        <v>2250</v>
      </c>
      <c r="BG3" s="229">
        <v>1.125</v>
      </c>
      <c r="BH3" s="230">
        <v>733750</v>
      </c>
      <c r="BI3" s="230">
        <v>522750</v>
      </c>
      <c r="BJ3" s="230">
        <v>211000</v>
      </c>
      <c r="BK3" s="229">
        <v>0.40360000000000001</v>
      </c>
      <c r="BL3" s="230">
        <v>367375</v>
      </c>
      <c r="BM3" s="230">
        <v>271000</v>
      </c>
      <c r="BN3" s="230">
        <v>96375</v>
      </c>
      <c r="BO3" s="229">
        <v>0.35560000000000003</v>
      </c>
      <c r="BP3" s="230">
        <v>1434750</v>
      </c>
      <c r="BQ3" s="230">
        <v>1114125</v>
      </c>
      <c r="BR3" s="230">
        <v>320625</v>
      </c>
      <c r="BS3" s="229">
        <v>0.2878</v>
      </c>
      <c r="BT3" s="230">
        <v>87853</v>
      </c>
      <c r="BU3" s="230">
        <v>134178</v>
      </c>
      <c r="BV3" s="230">
        <v>-46325</v>
      </c>
      <c r="BW3" s="229">
        <v>-0.3453</v>
      </c>
      <c r="BX3" s="230">
        <v>2505250</v>
      </c>
      <c r="BY3" s="230">
        <v>2482625</v>
      </c>
      <c r="BZ3" s="230">
        <v>22625</v>
      </c>
      <c r="CA3" s="229">
        <v>9.1000000000000004E-3</v>
      </c>
      <c r="CB3" s="230">
        <v>2221000</v>
      </c>
      <c r="CC3" s="230">
        <v>2255875</v>
      </c>
      <c r="CD3" s="230">
        <v>-34875</v>
      </c>
      <c r="CE3" s="229">
        <v>-1.55E-2</v>
      </c>
      <c r="CF3" s="230">
        <v>261625</v>
      </c>
      <c r="CG3" s="230">
        <v>205875</v>
      </c>
      <c r="CH3" s="230">
        <v>55750</v>
      </c>
      <c r="CI3" s="229">
        <v>0.27079999999999999</v>
      </c>
      <c r="CJ3" s="230">
        <v>22625</v>
      </c>
      <c r="CK3" s="230">
        <v>20875</v>
      </c>
      <c r="CL3" s="230">
        <v>1750</v>
      </c>
      <c r="CM3" s="229">
        <v>8.3799999999999999E-2</v>
      </c>
      <c r="CN3" s="230">
        <v>871875</v>
      </c>
      <c r="CO3" s="230">
        <v>828250</v>
      </c>
      <c r="CP3" s="230">
        <v>43625</v>
      </c>
      <c r="CQ3" s="229">
        <v>5.2699999999999997E-2</v>
      </c>
      <c r="CR3" s="230">
        <v>676000</v>
      </c>
      <c r="CS3" s="230">
        <v>690500</v>
      </c>
      <c r="CT3" s="230">
        <v>-14500</v>
      </c>
      <c r="CU3" s="229">
        <v>-2.1000000000000001E-2</v>
      </c>
      <c r="CV3" s="230">
        <v>4053125</v>
      </c>
      <c r="CW3" s="230">
        <v>4001375</v>
      </c>
      <c r="CX3" s="230">
        <v>51750</v>
      </c>
      <c r="CY3" s="229">
        <v>1.29E-2</v>
      </c>
      <c r="CZ3" s="228">
        <v>20.93</v>
      </c>
      <c r="DA3" s="228">
        <v>20.57</v>
      </c>
      <c r="DB3" s="228">
        <v>0.36</v>
      </c>
      <c r="DC3" s="228">
        <v>0.36</v>
      </c>
      <c r="DD3" s="228">
        <v>34.450000000000003</v>
      </c>
      <c r="DE3" s="228">
        <v>34.479999999999997</v>
      </c>
      <c r="DF3" s="228">
        <v>-13.52</v>
      </c>
      <c r="DG3" s="228">
        <v>-0.03</v>
      </c>
      <c r="DH3" s="228">
        <v>21.38</v>
      </c>
      <c r="DI3" s="228">
        <v>20.92</v>
      </c>
      <c r="DJ3" s="228">
        <v>0.46</v>
      </c>
      <c r="DK3" s="228">
        <v>0.46</v>
      </c>
      <c r="DL3" s="228">
        <v>20.04</v>
      </c>
      <c r="DM3" s="228">
        <v>19.899999999999999</v>
      </c>
      <c r="DN3" s="228">
        <v>0.14000000000000001</v>
      </c>
      <c r="DO3" s="228">
        <v>0.14000000000000001</v>
      </c>
      <c r="DP3" s="228">
        <v>0.78</v>
      </c>
      <c r="DQ3" s="228">
        <v>0.83</v>
      </c>
      <c r="DR3" s="228">
        <v>-0.05</v>
      </c>
      <c r="DS3" s="229">
        <v>-6.0199999999999997E-2</v>
      </c>
      <c r="DT3" s="231">
        <v>5500</v>
      </c>
      <c r="DU3" s="231">
        <v>5000</v>
      </c>
      <c r="DV3" s="228">
        <v>0.5</v>
      </c>
      <c r="DW3" s="228">
        <v>0.52</v>
      </c>
      <c r="DX3" s="228">
        <v>-0.02</v>
      </c>
      <c r="DY3" s="229">
        <v>-3.85E-2</v>
      </c>
      <c r="DZ3" s="229">
        <v>0.1135</v>
      </c>
      <c r="EA3" s="230">
        <v>226750</v>
      </c>
      <c r="EB3" s="229">
        <v>1.5E-3</v>
      </c>
      <c r="EC3" s="229">
        <v>0.1135</v>
      </c>
      <c r="ED3" s="228">
        <v>12.55</v>
      </c>
      <c r="EE3" s="229">
        <v>2.3999999999999998E-3</v>
      </c>
      <c r="EF3" s="230">
        <v>47393</v>
      </c>
      <c r="EG3" s="230">
        <v>98282</v>
      </c>
      <c r="EH3" s="229">
        <v>-0.51780000000000004</v>
      </c>
      <c r="EI3" s="229">
        <v>0.53949999999999998</v>
      </c>
      <c r="EJ3" s="231">
        <v>39922.68</v>
      </c>
      <c r="EK3" s="231">
        <v>19029.36</v>
      </c>
      <c r="EL3" s="231">
        <v>17406.38</v>
      </c>
      <c r="EM3" s="231">
        <v>3535</v>
      </c>
      <c r="EN3" s="231">
        <v>76358.42</v>
      </c>
      <c r="EO3" s="231">
        <v>59852.15</v>
      </c>
      <c r="EP3" s="231">
        <v>16506.27</v>
      </c>
      <c r="EQ3" s="229">
        <v>0.27579999999999999</v>
      </c>
      <c r="ER3" s="231">
        <v>46986</v>
      </c>
      <c r="ES3" s="231">
        <v>34753</v>
      </c>
      <c r="ET3" s="231">
        <v>130052</v>
      </c>
      <c r="EU3" s="231">
        <v>7946564</v>
      </c>
      <c r="EV3" s="231">
        <v>211792</v>
      </c>
      <c r="EW3" s="231">
        <v>210843</v>
      </c>
      <c r="EX3" s="228">
        <v>949</v>
      </c>
      <c r="EY3" s="229">
        <v>4.4999999999999997E-3</v>
      </c>
      <c r="EZ3" s="229">
        <v>0.51</v>
      </c>
      <c r="FA3" s="227" t="s">
        <v>567</v>
      </c>
      <c r="FB3" s="161">
        <f t="shared" ref="FB3:FB66" si="0">BX3-CB3</f>
        <v>284250</v>
      </c>
    </row>
    <row r="4" spans="1:158" ht="17.25" hidden="1" thickBot="1" x14ac:dyDescent="0.3">
      <c r="A4" s="226">
        <v>46008</v>
      </c>
      <c r="B4" s="227" t="s">
        <v>175</v>
      </c>
      <c r="C4" s="227" t="s">
        <v>544</v>
      </c>
      <c r="D4" s="228">
        <v>3100</v>
      </c>
      <c r="E4" s="228">
        <v>347.7</v>
      </c>
      <c r="F4" s="228">
        <v>348.75</v>
      </c>
      <c r="G4" s="228">
        <v>-1.05</v>
      </c>
      <c r="H4" s="229">
        <v>-3.0000000000000001E-3</v>
      </c>
      <c r="I4" s="228">
        <v>346.8</v>
      </c>
      <c r="J4" s="228">
        <v>348.05</v>
      </c>
      <c r="K4" s="228">
        <v>-1.25</v>
      </c>
      <c r="L4" s="229">
        <v>-3.5999999999999999E-3</v>
      </c>
      <c r="M4" s="228">
        <v>347.7</v>
      </c>
      <c r="N4" s="228">
        <v>348.75</v>
      </c>
      <c r="O4" s="228">
        <v>-1.05</v>
      </c>
      <c r="P4" s="229">
        <v>-3.0000000000000001E-3</v>
      </c>
      <c r="Q4" s="228">
        <v>349.7</v>
      </c>
      <c r="R4" s="228">
        <v>350.65</v>
      </c>
      <c r="S4" s="228">
        <v>-0.95</v>
      </c>
      <c r="T4" s="229">
        <v>-2.7000000000000001E-3</v>
      </c>
      <c r="U4" s="228">
        <v>351.55</v>
      </c>
      <c r="V4" s="228">
        <v>352.55</v>
      </c>
      <c r="W4" s="228">
        <v>-1</v>
      </c>
      <c r="X4" s="229">
        <v>-2.8E-3</v>
      </c>
      <c r="Y4" s="228">
        <v>0.9</v>
      </c>
      <c r="Z4" s="228">
        <v>0.7</v>
      </c>
      <c r="AA4" s="228">
        <v>0.2</v>
      </c>
      <c r="AB4" s="229">
        <v>2.5999999999999999E-3</v>
      </c>
      <c r="AC4" s="228">
        <v>0.9</v>
      </c>
      <c r="AD4" s="228">
        <v>0.7</v>
      </c>
      <c r="AE4" s="228">
        <v>0.2</v>
      </c>
      <c r="AF4" s="229">
        <v>2.5999999999999999E-3</v>
      </c>
      <c r="AG4" s="228">
        <v>2.9</v>
      </c>
      <c r="AH4" s="228">
        <v>2.6</v>
      </c>
      <c r="AI4" s="228">
        <v>0.3</v>
      </c>
      <c r="AJ4" s="229">
        <v>8.3999999999999995E-3</v>
      </c>
      <c r="AK4" s="228">
        <v>4.75</v>
      </c>
      <c r="AL4" s="228">
        <v>4.5</v>
      </c>
      <c r="AM4" s="228">
        <v>0.25</v>
      </c>
      <c r="AN4" s="229">
        <v>1.37E-2</v>
      </c>
      <c r="AO4" s="228">
        <v>349.59</v>
      </c>
      <c r="AP4" s="228">
        <v>351.03</v>
      </c>
      <c r="AQ4" s="228">
        <v>0</v>
      </c>
      <c r="AR4" s="230">
        <v>8428900</v>
      </c>
      <c r="AS4" s="230">
        <v>9318600</v>
      </c>
      <c r="AT4" s="230">
        <v>-889700</v>
      </c>
      <c r="AU4" s="229">
        <v>-9.5500000000000002E-2</v>
      </c>
      <c r="AV4" s="230">
        <v>7502000</v>
      </c>
      <c r="AW4" s="230">
        <v>7982500</v>
      </c>
      <c r="AX4" s="230">
        <v>-480500</v>
      </c>
      <c r="AY4" s="229">
        <v>-6.0199999999999997E-2</v>
      </c>
      <c r="AZ4" s="230">
        <v>827700</v>
      </c>
      <c r="BA4" s="230">
        <v>1233800</v>
      </c>
      <c r="BB4" s="230">
        <v>-406100</v>
      </c>
      <c r="BC4" s="229">
        <v>-0.3291</v>
      </c>
      <c r="BD4" s="230">
        <v>99200</v>
      </c>
      <c r="BE4" s="230">
        <v>102300</v>
      </c>
      <c r="BF4" s="230">
        <v>-3100</v>
      </c>
      <c r="BG4" s="229">
        <v>-3.0300000000000001E-2</v>
      </c>
      <c r="BH4" s="230">
        <v>29815800</v>
      </c>
      <c r="BI4" s="230">
        <v>30925600</v>
      </c>
      <c r="BJ4" s="230">
        <v>-1109800</v>
      </c>
      <c r="BK4" s="229">
        <v>-3.5900000000000001E-2</v>
      </c>
      <c r="BL4" s="230">
        <v>16392800</v>
      </c>
      <c r="BM4" s="230">
        <v>11451400</v>
      </c>
      <c r="BN4" s="230">
        <v>4941400</v>
      </c>
      <c r="BO4" s="229">
        <v>0.43149999999999999</v>
      </c>
      <c r="BP4" s="230">
        <v>54637500</v>
      </c>
      <c r="BQ4" s="230">
        <v>51695600</v>
      </c>
      <c r="BR4" s="230">
        <v>2941900</v>
      </c>
      <c r="BS4" s="229">
        <v>5.6899999999999999E-2</v>
      </c>
      <c r="BT4" s="230">
        <v>3471979</v>
      </c>
      <c r="BU4" s="230">
        <v>3796041</v>
      </c>
      <c r="BV4" s="230">
        <v>-324062</v>
      </c>
      <c r="BW4" s="229">
        <v>-8.5400000000000004E-2</v>
      </c>
      <c r="BX4" s="230">
        <v>75057200</v>
      </c>
      <c r="BY4" s="230">
        <v>75295900</v>
      </c>
      <c r="BZ4" s="230">
        <v>-238700</v>
      </c>
      <c r="CA4" s="229">
        <v>-3.2000000000000002E-3</v>
      </c>
      <c r="CB4" s="230">
        <v>72009900</v>
      </c>
      <c r="CC4" s="230">
        <v>72434600</v>
      </c>
      <c r="CD4" s="230">
        <v>-424700</v>
      </c>
      <c r="CE4" s="229">
        <v>-5.8999999999999999E-3</v>
      </c>
      <c r="CF4" s="230">
        <v>2610200</v>
      </c>
      <c r="CG4" s="230">
        <v>2430400</v>
      </c>
      <c r="CH4" s="230">
        <v>179800</v>
      </c>
      <c r="CI4" s="229">
        <v>7.3999999999999996E-2</v>
      </c>
      <c r="CJ4" s="230">
        <v>437100</v>
      </c>
      <c r="CK4" s="230">
        <v>430900</v>
      </c>
      <c r="CL4" s="230">
        <v>6200</v>
      </c>
      <c r="CM4" s="229">
        <v>1.44E-2</v>
      </c>
      <c r="CN4" s="230">
        <v>27174600</v>
      </c>
      <c r="CO4" s="230">
        <v>25959400</v>
      </c>
      <c r="CP4" s="230">
        <v>1215200</v>
      </c>
      <c r="CQ4" s="229">
        <v>4.6800000000000001E-2</v>
      </c>
      <c r="CR4" s="230">
        <v>17772300</v>
      </c>
      <c r="CS4" s="230">
        <v>17143000</v>
      </c>
      <c r="CT4" s="230">
        <v>629300</v>
      </c>
      <c r="CU4" s="229">
        <v>3.6700000000000003E-2</v>
      </c>
      <c r="CV4" s="230">
        <v>120004100</v>
      </c>
      <c r="CW4" s="230">
        <v>118398300</v>
      </c>
      <c r="CX4" s="230">
        <v>1605800</v>
      </c>
      <c r="CY4" s="229">
        <v>1.3599999999999999E-2</v>
      </c>
      <c r="CZ4" s="228">
        <v>27.01</v>
      </c>
      <c r="DA4" s="228">
        <v>28.07</v>
      </c>
      <c r="DB4" s="228">
        <v>-1.06</v>
      </c>
      <c r="DC4" s="228">
        <v>-1.06</v>
      </c>
      <c r="DD4" s="228">
        <v>38.950000000000003</v>
      </c>
      <c r="DE4" s="228">
        <v>39.049999999999997</v>
      </c>
      <c r="DF4" s="228">
        <v>-11.94</v>
      </c>
      <c r="DG4" s="228">
        <v>-0.1</v>
      </c>
      <c r="DH4" s="228">
        <v>27.59</v>
      </c>
      <c r="DI4" s="228">
        <v>28.74</v>
      </c>
      <c r="DJ4" s="228">
        <v>-1.1499999999999999</v>
      </c>
      <c r="DK4" s="228">
        <v>-1.1499999999999999</v>
      </c>
      <c r="DL4" s="228">
        <v>25.97</v>
      </c>
      <c r="DM4" s="228">
        <v>26.26</v>
      </c>
      <c r="DN4" s="228">
        <v>-0.28999999999999998</v>
      </c>
      <c r="DO4" s="228">
        <v>-0.28999999999999998</v>
      </c>
      <c r="DP4" s="228">
        <v>0.65</v>
      </c>
      <c r="DQ4" s="228">
        <v>0.66</v>
      </c>
      <c r="DR4" s="228">
        <v>-0.01</v>
      </c>
      <c r="DS4" s="229">
        <v>-1.52E-2</v>
      </c>
      <c r="DT4" s="228">
        <v>360</v>
      </c>
      <c r="DU4" s="228">
        <v>340</v>
      </c>
      <c r="DV4" s="228">
        <v>0.55000000000000004</v>
      </c>
      <c r="DW4" s="228">
        <v>0.37</v>
      </c>
      <c r="DX4" s="228">
        <v>0.18</v>
      </c>
      <c r="DY4" s="229">
        <v>0.48649999999999999</v>
      </c>
      <c r="DZ4" s="229">
        <v>4.0599999999999997E-2</v>
      </c>
      <c r="EA4" s="230">
        <v>2861300</v>
      </c>
      <c r="EB4" s="229">
        <v>5.7999999999999996E-3</v>
      </c>
      <c r="EC4" s="229">
        <v>4.0599999999999997E-2</v>
      </c>
      <c r="ED4" s="228">
        <v>1.44</v>
      </c>
      <c r="EE4" s="229">
        <v>4.1000000000000003E-3</v>
      </c>
      <c r="EF4" s="230">
        <v>1680944</v>
      </c>
      <c r="EG4" s="230">
        <v>1989135</v>
      </c>
      <c r="EH4" s="229">
        <v>-0.15490000000000001</v>
      </c>
      <c r="EI4" s="229">
        <v>0.48409999999999997</v>
      </c>
      <c r="EJ4" s="231">
        <v>108682.55</v>
      </c>
      <c r="EK4" s="231">
        <v>56807.03</v>
      </c>
      <c r="EL4" s="231">
        <v>29481.89</v>
      </c>
      <c r="EM4" s="231">
        <v>3735</v>
      </c>
      <c r="EN4" s="231">
        <v>194971.47</v>
      </c>
      <c r="EO4" s="231">
        <v>187255.05</v>
      </c>
      <c r="EP4" s="231">
        <v>7716.42</v>
      </c>
      <c r="EQ4" s="229">
        <v>4.1200000000000001E-2</v>
      </c>
      <c r="ER4" s="231">
        <v>98934</v>
      </c>
      <c r="ES4" s="231">
        <v>59693</v>
      </c>
      <c r="ET4" s="231">
        <v>261043</v>
      </c>
      <c r="EU4" s="231">
        <v>122316423</v>
      </c>
      <c r="EV4" s="231">
        <v>419669</v>
      </c>
      <c r="EW4" s="231">
        <v>415126</v>
      </c>
      <c r="EX4" s="231">
        <v>4543</v>
      </c>
      <c r="EY4" s="229">
        <v>1.09E-2</v>
      </c>
      <c r="EZ4" s="229">
        <v>0.98109999999999997</v>
      </c>
      <c r="FA4" s="227" t="s">
        <v>568</v>
      </c>
      <c r="FB4" s="161">
        <f t="shared" si="0"/>
        <v>3047300</v>
      </c>
    </row>
    <row r="5" spans="1:158" ht="17.25" hidden="1" thickBot="1" x14ac:dyDescent="0.3">
      <c r="A5" s="226">
        <v>46008</v>
      </c>
      <c r="B5" s="227" t="s">
        <v>161</v>
      </c>
      <c r="C5" s="227" t="s">
        <v>579</v>
      </c>
      <c r="D5" s="228">
        <v>675</v>
      </c>
      <c r="E5" s="228">
        <v>981.3</v>
      </c>
      <c r="F5" s="228">
        <v>995.95</v>
      </c>
      <c r="G5" s="228">
        <v>-14.65</v>
      </c>
      <c r="H5" s="229">
        <v>-1.47E-2</v>
      </c>
      <c r="I5" s="228">
        <v>977.55</v>
      </c>
      <c r="J5" s="228">
        <v>994.3</v>
      </c>
      <c r="K5" s="228">
        <v>-16.75</v>
      </c>
      <c r="L5" s="229">
        <v>-1.6799999999999999E-2</v>
      </c>
      <c r="M5" s="228">
        <v>981.3</v>
      </c>
      <c r="N5" s="228">
        <v>995.95</v>
      </c>
      <c r="O5" s="228">
        <v>-14.65</v>
      </c>
      <c r="P5" s="229">
        <v>-1.47E-2</v>
      </c>
      <c r="Q5" s="228">
        <v>986.9</v>
      </c>
      <c r="R5" s="231">
        <v>1002.95</v>
      </c>
      <c r="S5" s="228">
        <v>-16.05</v>
      </c>
      <c r="T5" s="229">
        <v>-1.6E-2</v>
      </c>
      <c r="U5" s="228">
        <v>994.7</v>
      </c>
      <c r="V5" s="231">
        <v>1010.7</v>
      </c>
      <c r="W5" s="228">
        <v>-16</v>
      </c>
      <c r="X5" s="229">
        <v>-1.5800000000000002E-2</v>
      </c>
      <c r="Y5" s="228">
        <v>3.75</v>
      </c>
      <c r="Z5" s="228">
        <v>1.65</v>
      </c>
      <c r="AA5" s="228">
        <v>2.1</v>
      </c>
      <c r="AB5" s="229">
        <v>3.8E-3</v>
      </c>
      <c r="AC5" s="228">
        <v>3.75</v>
      </c>
      <c r="AD5" s="228">
        <v>1.65</v>
      </c>
      <c r="AE5" s="228">
        <v>2.1</v>
      </c>
      <c r="AF5" s="229">
        <v>3.8E-3</v>
      </c>
      <c r="AG5" s="228">
        <v>9.35</v>
      </c>
      <c r="AH5" s="228">
        <v>8.65</v>
      </c>
      <c r="AI5" s="228">
        <v>0.7</v>
      </c>
      <c r="AJ5" s="229">
        <v>9.5999999999999992E-3</v>
      </c>
      <c r="AK5" s="228">
        <v>17.149999999999999</v>
      </c>
      <c r="AL5" s="228">
        <v>16.399999999999999</v>
      </c>
      <c r="AM5" s="228">
        <v>0.75</v>
      </c>
      <c r="AN5" s="229">
        <v>1.7500000000000002E-2</v>
      </c>
      <c r="AO5" s="228">
        <v>986.58</v>
      </c>
      <c r="AP5" s="228">
        <v>991.47</v>
      </c>
      <c r="AQ5" s="228">
        <v>0</v>
      </c>
      <c r="AR5" s="230">
        <v>1294650</v>
      </c>
      <c r="AS5" s="230">
        <v>907875</v>
      </c>
      <c r="AT5" s="230">
        <v>386775</v>
      </c>
      <c r="AU5" s="229">
        <v>0.42599999999999999</v>
      </c>
      <c r="AV5" s="230">
        <v>1082700</v>
      </c>
      <c r="AW5" s="230">
        <v>819450</v>
      </c>
      <c r="AX5" s="230">
        <v>263250</v>
      </c>
      <c r="AY5" s="229">
        <v>0.32129999999999997</v>
      </c>
      <c r="AZ5" s="230">
        <v>209925</v>
      </c>
      <c r="BA5" s="230">
        <v>84375</v>
      </c>
      <c r="BB5" s="230">
        <v>125550</v>
      </c>
      <c r="BC5" s="229">
        <v>1.488</v>
      </c>
      <c r="BD5" s="230">
        <v>2025</v>
      </c>
      <c r="BE5" s="230">
        <v>4050</v>
      </c>
      <c r="BF5" s="230">
        <v>-2025</v>
      </c>
      <c r="BG5" s="229">
        <v>-0.5</v>
      </c>
      <c r="BH5" s="230">
        <v>3787425</v>
      </c>
      <c r="BI5" s="230">
        <v>3165075</v>
      </c>
      <c r="BJ5" s="230">
        <v>622350</v>
      </c>
      <c r="BK5" s="229">
        <v>0.1966</v>
      </c>
      <c r="BL5" s="230">
        <v>2280150</v>
      </c>
      <c r="BM5" s="230">
        <v>2299725</v>
      </c>
      <c r="BN5" s="230">
        <v>-19575</v>
      </c>
      <c r="BO5" s="229">
        <v>-8.5000000000000006E-3</v>
      </c>
      <c r="BP5" s="230">
        <v>7362225</v>
      </c>
      <c r="BQ5" s="230">
        <v>6372675</v>
      </c>
      <c r="BR5" s="230">
        <v>989550</v>
      </c>
      <c r="BS5" s="229">
        <v>0.15529999999999999</v>
      </c>
      <c r="BT5" s="230">
        <v>758614</v>
      </c>
      <c r="BU5" s="230">
        <v>768141</v>
      </c>
      <c r="BV5" s="230">
        <v>-9527</v>
      </c>
      <c r="BW5" s="229">
        <v>-1.24E-2</v>
      </c>
      <c r="BX5" s="230">
        <v>18060300</v>
      </c>
      <c r="BY5" s="230">
        <v>18125100</v>
      </c>
      <c r="BZ5" s="230">
        <v>-64800</v>
      </c>
      <c r="CA5" s="229">
        <v>-3.5999999999999999E-3</v>
      </c>
      <c r="CB5" s="230">
        <v>17652600</v>
      </c>
      <c r="CC5" s="230">
        <v>17879400</v>
      </c>
      <c r="CD5" s="230">
        <v>-226800</v>
      </c>
      <c r="CE5" s="229">
        <v>-1.2699999999999999E-2</v>
      </c>
      <c r="CF5" s="230">
        <v>334800</v>
      </c>
      <c r="CG5" s="230">
        <v>172800</v>
      </c>
      <c r="CH5" s="230">
        <v>162000</v>
      </c>
      <c r="CI5" s="229">
        <v>0.9375</v>
      </c>
      <c r="CJ5" s="230">
        <v>72900</v>
      </c>
      <c r="CK5" s="230">
        <v>72900</v>
      </c>
      <c r="CL5" s="228">
        <v>0</v>
      </c>
      <c r="CM5" s="229">
        <v>0</v>
      </c>
      <c r="CN5" s="230">
        <v>4056750</v>
      </c>
      <c r="CO5" s="230">
        <v>4018950</v>
      </c>
      <c r="CP5" s="230">
        <v>37800</v>
      </c>
      <c r="CQ5" s="229">
        <v>9.4000000000000004E-3</v>
      </c>
      <c r="CR5" s="230">
        <v>2288250</v>
      </c>
      <c r="CS5" s="230">
        <v>2295675</v>
      </c>
      <c r="CT5" s="230">
        <v>-7425</v>
      </c>
      <c r="CU5" s="229">
        <v>-3.2000000000000002E-3</v>
      </c>
      <c r="CV5" s="230">
        <v>24405300</v>
      </c>
      <c r="CW5" s="230">
        <v>24439725</v>
      </c>
      <c r="CX5" s="230">
        <v>-34425</v>
      </c>
      <c r="CY5" s="229">
        <v>-1.4E-3</v>
      </c>
      <c r="CZ5" s="228">
        <v>25.09</v>
      </c>
      <c r="DA5" s="228">
        <v>25.9</v>
      </c>
      <c r="DB5" s="228">
        <v>-0.81</v>
      </c>
      <c r="DC5" s="228">
        <v>-0.81</v>
      </c>
      <c r="DD5" s="228">
        <v>51.86</v>
      </c>
      <c r="DE5" s="228">
        <v>51.95</v>
      </c>
      <c r="DF5" s="228">
        <v>-26.77</v>
      </c>
      <c r="DG5" s="228">
        <v>-0.09</v>
      </c>
      <c r="DH5" s="228">
        <v>25.79</v>
      </c>
      <c r="DI5" s="228">
        <v>26.78</v>
      </c>
      <c r="DJ5" s="228">
        <v>-0.99</v>
      </c>
      <c r="DK5" s="228">
        <v>-0.99</v>
      </c>
      <c r="DL5" s="228">
        <v>23.93</v>
      </c>
      <c r="DM5" s="228">
        <v>24.69</v>
      </c>
      <c r="DN5" s="228">
        <v>-0.76</v>
      </c>
      <c r="DO5" s="228">
        <v>-0.76</v>
      </c>
      <c r="DP5" s="228">
        <v>0.56000000000000005</v>
      </c>
      <c r="DQ5" s="228">
        <v>0.56999999999999995</v>
      </c>
      <c r="DR5" s="228">
        <v>-0.01</v>
      </c>
      <c r="DS5" s="229">
        <v>-1.7500000000000002E-2</v>
      </c>
      <c r="DT5" s="231">
        <v>1050</v>
      </c>
      <c r="DU5" s="228">
        <v>900</v>
      </c>
      <c r="DV5" s="228">
        <v>0.6</v>
      </c>
      <c r="DW5" s="228">
        <v>0.73</v>
      </c>
      <c r="DX5" s="228">
        <v>-0.13</v>
      </c>
      <c r="DY5" s="229">
        <v>-0.17810000000000001</v>
      </c>
      <c r="DZ5" s="229">
        <v>2.2599999999999999E-2</v>
      </c>
      <c r="EA5" s="230">
        <v>245700</v>
      </c>
      <c r="EB5" s="229">
        <v>5.7000000000000002E-3</v>
      </c>
      <c r="EC5" s="229">
        <v>2.2599999999999999E-2</v>
      </c>
      <c r="ED5" s="228">
        <v>4.8899999999999997</v>
      </c>
      <c r="EE5" s="229">
        <v>5.0000000000000001E-3</v>
      </c>
      <c r="EF5" s="230">
        <v>365757</v>
      </c>
      <c r="EG5" s="230">
        <v>313312</v>
      </c>
      <c r="EH5" s="229">
        <v>0.16739999999999999</v>
      </c>
      <c r="EI5" s="229">
        <v>0.48209999999999997</v>
      </c>
      <c r="EJ5" s="231">
        <v>39107.17</v>
      </c>
      <c r="EK5" s="231">
        <v>22412.27</v>
      </c>
      <c r="EL5" s="231">
        <v>12783.15</v>
      </c>
      <c r="EM5" s="231">
        <v>2720</v>
      </c>
      <c r="EN5" s="231">
        <v>74302.59</v>
      </c>
      <c r="EO5" s="231">
        <v>65071.27</v>
      </c>
      <c r="EP5" s="231">
        <v>9231.32</v>
      </c>
      <c r="EQ5" s="229">
        <v>0.1419</v>
      </c>
      <c r="ER5" s="231">
        <v>42235</v>
      </c>
      <c r="ES5" s="231">
        <v>21683</v>
      </c>
      <c r="ET5" s="231">
        <v>177254</v>
      </c>
      <c r="EU5" s="231">
        <v>51907388</v>
      </c>
      <c r="EV5" s="231">
        <v>241173</v>
      </c>
      <c r="EW5" s="231">
        <v>244233</v>
      </c>
      <c r="EX5" s="231">
        <v>-3060</v>
      </c>
      <c r="EY5" s="229">
        <v>-1.2500000000000001E-2</v>
      </c>
      <c r="EZ5" s="229">
        <v>0.47020000000000001</v>
      </c>
      <c r="FA5" s="227" t="s">
        <v>568</v>
      </c>
      <c r="FB5" s="161">
        <f t="shared" si="0"/>
        <v>407700</v>
      </c>
    </row>
    <row r="6" spans="1:158" ht="17.25" hidden="1" thickBot="1" x14ac:dyDescent="0.3">
      <c r="A6" s="226">
        <v>46008</v>
      </c>
      <c r="B6" s="227" t="s">
        <v>215</v>
      </c>
      <c r="C6" s="227" t="s">
        <v>159</v>
      </c>
      <c r="D6" s="228">
        <v>309</v>
      </c>
      <c r="E6" s="231">
        <v>2241.8000000000002</v>
      </c>
      <c r="F6" s="231">
        <v>2256.1999999999998</v>
      </c>
      <c r="G6" s="228">
        <v>-14.4</v>
      </c>
      <c r="H6" s="229">
        <v>-6.4000000000000003E-3</v>
      </c>
      <c r="I6" s="231">
        <v>2232.5</v>
      </c>
      <c r="J6" s="231">
        <v>2247.9</v>
      </c>
      <c r="K6" s="228">
        <v>-15.4</v>
      </c>
      <c r="L6" s="229">
        <v>-6.8999999999999999E-3</v>
      </c>
      <c r="M6" s="231">
        <v>2241.8000000000002</v>
      </c>
      <c r="N6" s="231">
        <v>2256.1999999999998</v>
      </c>
      <c r="O6" s="228">
        <v>-14.4</v>
      </c>
      <c r="P6" s="229">
        <v>-6.4000000000000003E-3</v>
      </c>
      <c r="Q6" s="231">
        <v>2250.9</v>
      </c>
      <c r="R6" s="231">
        <v>2263.9</v>
      </c>
      <c r="S6" s="228">
        <v>-13</v>
      </c>
      <c r="T6" s="229">
        <v>-5.7000000000000002E-3</v>
      </c>
      <c r="U6" s="231">
        <v>2258.1999999999998</v>
      </c>
      <c r="V6" s="231">
        <v>2271.8000000000002</v>
      </c>
      <c r="W6" s="228">
        <v>-13.6</v>
      </c>
      <c r="X6" s="229">
        <v>-6.0000000000000001E-3</v>
      </c>
      <c r="Y6" s="228">
        <v>9.3000000000000007</v>
      </c>
      <c r="Z6" s="228">
        <v>8.3000000000000007</v>
      </c>
      <c r="AA6" s="228">
        <v>1</v>
      </c>
      <c r="AB6" s="229">
        <v>4.1999999999999997E-3</v>
      </c>
      <c r="AC6" s="228">
        <v>9.3000000000000007</v>
      </c>
      <c r="AD6" s="228">
        <v>8.3000000000000007</v>
      </c>
      <c r="AE6" s="228">
        <v>1</v>
      </c>
      <c r="AF6" s="229">
        <v>4.1999999999999997E-3</v>
      </c>
      <c r="AG6" s="228">
        <v>18.399999999999999</v>
      </c>
      <c r="AH6" s="228">
        <v>16</v>
      </c>
      <c r="AI6" s="228">
        <v>2.4</v>
      </c>
      <c r="AJ6" s="229">
        <v>8.2000000000000007E-3</v>
      </c>
      <c r="AK6" s="228">
        <v>25.7</v>
      </c>
      <c r="AL6" s="228">
        <v>23.9</v>
      </c>
      <c r="AM6" s="228">
        <v>1.8</v>
      </c>
      <c r="AN6" s="229">
        <v>1.15E-2</v>
      </c>
      <c r="AO6" s="231">
        <v>2244.02</v>
      </c>
      <c r="AP6" s="231">
        <v>2252.71</v>
      </c>
      <c r="AQ6" s="228">
        <v>0</v>
      </c>
      <c r="AR6" s="230">
        <v>1887063</v>
      </c>
      <c r="AS6" s="230">
        <v>2186484</v>
      </c>
      <c r="AT6" s="230">
        <v>-299421</v>
      </c>
      <c r="AU6" s="229">
        <v>-0.13689999999999999</v>
      </c>
      <c r="AV6" s="230">
        <v>1597839</v>
      </c>
      <c r="AW6" s="230">
        <v>1531404</v>
      </c>
      <c r="AX6" s="230">
        <v>66435</v>
      </c>
      <c r="AY6" s="229">
        <v>4.3400000000000001E-2</v>
      </c>
      <c r="AZ6" s="230">
        <v>231441</v>
      </c>
      <c r="BA6" s="230">
        <v>499344</v>
      </c>
      <c r="BB6" s="230">
        <v>-267903</v>
      </c>
      <c r="BC6" s="229">
        <v>-0.53649999999999998</v>
      </c>
      <c r="BD6" s="230">
        <v>57783</v>
      </c>
      <c r="BE6" s="230">
        <v>155736</v>
      </c>
      <c r="BF6" s="230">
        <v>-97953</v>
      </c>
      <c r="BG6" s="229">
        <v>-0.629</v>
      </c>
      <c r="BH6" s="230">
        <v>8317662</v>
      </c>
      <c r="BI6" s="230">
        <v>8532108</v>
      </c>
      <c r="BJ6" s="230">
        <v>-214446</v>
      </c>
      <c r="BK6" s="229">
        <v>-2.5100000000000001E-2</v>
      </c>
      <c r="BL6" s="230">
        <v>3893091</v>
      </c>
      <c r="BM6" s="230">
        <v>3472233</v>
      </c>
      <c r="BN6" s="230">
        <v>420858</v>
      </c>
      <c r="BO6" s="229">
        <v>0.1212</v>
      </c>
      <c r="BP6" s="230">
        <v>14097816</v>
      </c>
      <c r="BQ6" s="230">
        <v>14190825</v>
      </c>
      <c r="BR6" s="230">
        <v>-93009</v>
      </c>
      <c r="BS6" s="229">
        <v>-6.6E-3</v>
      </c>
      <c r="BT6" s="230">
        <v>675126</v>
      </c>
      <c r="BU6" s="230">
        <v>698246</v>
      </c>
      <c r="BV6" s="230">
        <v>-23120</v>
      </c>
      <c r="BW6" s="229">
        <v>-3.3099999999999997E-2</v>
      </c>
      <c r="BX6" s="230">
        <v>22617255</v>
      </c>
      <c r="BY6" s="230">
        <v>22496436</v>
      </c>
      <c r="BZ6" s="230">
        <v>120819</v>
      </c>
      <c r="CA6" s="229">
        <v>5.4000000000000003E-3</v>
      </c>
      <c r="CB6" s="230">
        <v>19980249</v>
      </c>
      <c r="CC6" s="230">
        <v>19948422</v>
      </c>
      <c r="CD6" s="230">
        <v>31827</v>
      </c>
      <c r="CE6" s="229">
        <v>1.6000000000000001E-3</v>
      </c>
      <c r="CF6" s="230">
        <v>2207805</v>
      </c>
      <c r="CG6" s="230">
        <v>2154039</v>
      </c>
      <c r="CH6" s="230">
        <v>53766</v>
      </c>
      <c r="CI6" s="229">
        <v>2.5000000000000001E-2</v>
      </c>
      <c r="CJ6" s="230">
        <v>429201</v>
      </c>
      <c r="CK6" s="230">
        <v>393975</v>
      </c>
      <c r="CL6" s="230">
        <v>35226</v>
      </c>
      <c r="CM6" s="229">
        <v>8.9399999999999993E-2</v>
      </c>
      <c r="CN6" s="230">
        <v>14375298</v>
      </c>
      <c r="CO6" s="230">
        <v>14172903</v>
      </c>
      <c r="CP6" s="230">
        <v>202395</v>
      </c>
      <c r="CQ6" s="229">
        <v>1.43E-2</v>
      </c>
      <c r="CR6" s="230">
        <v>8757987</v>
      </c>
      <c r="CS6" s="230">
        <v>8616465</v>
      </c>
      <c r="CT6" s="230">
        <v>141522</v>
      </c>
      <c r="CU6" s="229">
        <v>1.6400000000000001E-2</v>
      </c>
      <c r="CV6" s="230">
        <v>45750540</v>
      </c>
      <c r="CW6" s="230">
        <v>45285804</v>
      </c>
      <c r="CX6" s="230">
        <v>464736</v>
      </c>
      <c r="CY6" s="229">
        <v>1.03E-2</v>
      </c>
      <c r="CZ6" s="228">
        <v>27.89</v>
      </c>
      <c r="DA6" s="228">
        <v>29.37</v>
      </c>
      <c r="DB6" s="228">
        <v>-1.48</v>
      </c>
      <c r="DC6" s="228">
        <v>-1.48</v>
      </c>
      <c r="DD6" s="228">
        <v>46.68</v>
      </c>
      <c r="DE6" s="228">
        <v>46.79</v>
      </c>
      <c r="DF6" s="228">
        <v>-18.79</v>
      </c>
      <c r="DG6" s="228">
        <v>-0.11</v>
      </c>
      <c r="DH6" s="228">
        <v>28.21</v>
      </c>
      <c r="DI6" s="228">
        <v>29.9</v>
      </c>
      <c r="DJ6" s="228">
        <v>-1.69</v>
      </c>
      <c r="DK6" s="228">
        <v>-1.69</v>
      </c>
      <c r="DL6" s="228">
        <v>27.22</v>
      </c>
      <c r="DM6" s="228">
        <v>28.06</v>
      </c>
      <c r="DN6" s="228">
        <v>-0.84</v>
      </c>
      <c r="DO6" s="228">
        <v>-0.84</v>
      </c>
      <c r="DP6" s="228">
        <v>0.61</v>
      </c>
      <c r="DQ6" s="228">
        <v>0.61</v>
      </c>
      <c r="DR6" s="228">
        <v>0</v>
      </c>
      <c r="DS6" s="229">
        <v>0</v>
      </c>
      <c r="DT6" s="231">
        <v>2300</v>
      </c>
      <c r="DU6" s="231">
        <v>2300</v>
      </c>
      <c r="DV6" s="228">
        <v>0.47</v>
      </c>
      <c r="DW6" s="228">
        <v>0.41</v>
      </c>
      <c r="DX6" s="228">
        <v>0.06</v>
      </c>
      <c r="DY6" s="229">
        <v>0.14630000000000001</v>
      </c>
      <c r="DZ6" s="229">
        <v>0.1166</v>
      </c>
      <c r="EA6" s="230">
        <v>2548014</v>
      </c>
      <c r="EB6" s="229">
        <v>4.1000000000000003E-3</v>
      </c>
      <c r="EC6" s="229">
        <v>0.1166</v>
      </c>
      <c r="ED6" s="228">
        <v>8.69</v>
      </c>
      <c r="EE6" s="229">
        <v>3.8999999999999998E-3</v>
      </c>
      <c r="EF6" s="230">
        <v>190283</v>
      </c>
      <c r="EG6" s="230">
        <v>253730</v>
      </c>
      <c r="EH6" s="229">
        <v>-0.25009999999999999</v>
      </c>
      <c r="EI6" s="229">
        <v>0.28179999999999999</v>
      </c>
      <c r="EJ6" s="231">
        <v>195455.75</v>
      </c>
      <c r="EK6" s="231">
        <v>87197.49</v>
      </c>
      <c r="EL6" s="231">
        <v>42374.720000000001</v>
      </c>
      <c r="EM6" s="231">
        <v>9312</v>
      </c>
      <c r="EN6" s="231">
        <v>325027.96000000002</v>
      </c>
      <c r="EO6" s="231">
        <v>330827</v>
      </c>
      <c r="EP6" s="231">
        <v>-5799.04</v>
      </c>
      <c r="EQ6" s="229">
        <v>-1.7500000000000002E-2</v>
      </c>
      <c r="ER6" s="231">
        <v>341888</v>
      </c>
      <c r="ES6" s="231">
        <v>198552</v>
      </c>
      <c r="ET6" s="231">
        <v>507305</v>
      </c>
      <c r="EU6" s="231">
        <v>30942206</v>
      </c>
      <c r="EV6" s="231">
        <v>1047745</v>
      </c>
      <c r="EW6" s="231">
        <v>1041217</v>
      </c>
      <c r="EX6" s="231">
        <v>6528</v>
      </c>
      <c r="EY6" s="229">
        <v>6.3E-3</v>
      </c>
      <c r="EZ6" s="229">
        <v>1.4785999999999999</v>
      </c>
      <c r="FA6" s="227" t="s">
        <v>567</v>
      </c>
      <c r="FB6" s="161">
        <f t="shared" si="0"/>
        <v>2637006</v>
      </c>
    </row>
    <row r="7" spans="1:158" ht="17.25" hidden="1" thickBot="1" x14ac:dyDescent="0.3">
      <c r="A7" s="226">
        <v>46008</v>
      </c>
      <c r="B7" s="227" t="s">
        <v>161</v>
      </c>
      <c r="C7" s="227" t="s">
        <v>606</v>
      </c>
      <c r="D7" s="228">
        <v>600</v>
      </c>
      <c r="E7" s="231">
        <v>1023.6</v>
      </c>
      <c r="F7" s="231">
        <v>1030.8</v>
      </c>
      <c r="G7" s="228">
        <v>-7.2</v>
      </c>
      <c r="H7" s="229">
        <v>-7.0000000000000001E-3</v>
      </c>
      <c r="I7" s="231">
        <v>1020.7</v>
      </c>
      <c r="J7" s="231">
        <v>1028.2</v>
      </c>
      <c r="K7" s="228">
        <v>-7.5</v>
      </c>
      <c r="L7" s="229">
        <v>-7.3000000000000001E-3</v>
      </c>
      <c r="M7" s="231">
        <v>1023.6</v>
      </c>
      <c r="N7" s="231">
        <v>1030.8</v>
      </c>
      <c r="O7" s="228">
        <v>-7.2</v>
      </c>
      <c r="P7" s="229">
        <v>-7.0000000000000001E-3</v>
      </c>
      <c r="Q7" s="231">
        <v>1029.9000000000001</v>
      </c>
      <c r="R7" s="231">
        <v>1037.4000000000001</v>
      </c>
      <c r="S7" s="228">
        <v>-7.5</v>
      </c>
      <c r="T7" s="229">
        <v>-7.1999999999999998E-3</v>
      </c>
      <c r="U7" s="231">
        <v>1036.5</v>
      </c>
      <c r="V7" s="231">
        <v>1042.2</v>
      </c>
      <c r="W7" s="228">
        <v>-5.7</v>
      </c>
      <c r="X7" s="229">
        <v>-5.4999999999999997E-3</v>
      </c>
      <c r="Y7" s="228">
        <v>2.9</v>
      </c>
      <c r="Z7" s="228">
        <v>2.6</v>
      </c>
      <c r="AA7" s="228">
        <v>0.3</v>
      </c>
      <c r="AB7" s="229">
        <v>2.8E-3</v>
      </c>
      <c r="AC7" s="228">
        <v>2.9</v>
      </c>
      <c r="AD7" s="228">
        <v>2.6</v>
      </c>
      <c r="AE7" s="228">
        <v>0.3</v>
      </c>
      <c r="AF7" s="229">
        <v>2.8E-3</v>
      </c>
      <c r="AG7" s="228">
        <v>9.1999999999999993</v>
      </c>
      <c r="AH7" s="228">
        <v>9.1999999999999993</v>
      </c>
      <c r="AI7" s="228">
        <v>0</v>
      </c>
      <c r="AJ7" s="229">
        <v>8.9999999999999993E-3</v>
      </c>
      <c r="AK7" s="228">
        <v>15.8</v>
      </c>
      <c r="AL7" s="228">
        <v>14</v>
      </c>
      <c r="AM7" s="228">
        <v>1.8</v>
      </c>
      <c r="AN7" s="229">
        <v>1.55E-2</v>
      </c>
      <c r="AO7" s="231">
        <v>1026.4100000000001</v>
      </c>
      <c r="AP7" s="231">
        <v>1032.96</v>
      </c>
      <c r="AQ7" s="228">
        <v>0</v>
      </c>
      <c r="AR7" s="230">
        <v>1897800</v>
      </c>
      <c r="AS7" s="230">
        <v>2211600</v>
      </c>
      <c r="AT7" s="230">
        <v>-313800</v>
      </c>
      <c r="AU7" s="229">
        <v>-0.1419</v>
      </c>
      <c r="AV7" s="230">
        <v>1674000</v>
      </c>
      <c r="AW7" s="230">
        <v>1920000</v>
      </c>
      <c r="AX7" s="230">
        <v>-246000</v>
      </c>
      <c r="AY7" s="229">
        <v>-0.12809999999999999</v>
      </c>
      <c r="AZ7" s="230">
        <v>204000</v>
      </c>
      <c r="BA7" s="230">
        <v>278400</v>
      </c>
      <c r="BB7" s="230">
        <v>-74400</v>
      </c>
      <c r="BC7" s="229">
        <v>-0.26719999999999999</v>
      </c>
      <c r="BD7" s="230">
        <v>19800</v>
      </c>
      <c r="BE7" s="230">
        <v>13200</v>
      </c>
      <c r="BF7" s="230">
        <v>6600</v>
      </c>
      <c r="BG7" s="229">
        <v>0.5</v>
      </c>
      <c r="BH7" s="230">
        <v>9652200</v>
      </c>
      <c r="BI7" s="230">
        <v>10211400</v>
      </c>
      <c r="BJ7" s="230">
        <v>-559200</v>
      </c>
      <c r="BK7" s="229">
        <v>-5.4800000000000001E-2</v>
      </c>
      <c r="BL7" s="230">
        <v>5108400</v>
      </c>
      <c r="BM7" s="230">
        <v>7518000</v>
      </c>
      <c r="BN7" s="230">
        <v>-2409600</v>
      </c>
      <c r="BO7" s="229">
        <v>-0.32050000000000001</v>
      </c>
      <c r="BP7" s="230">
        <v>16658400</v>
      </c>
      <c r="BQ7" s="230">
        <v>19941000</v>
      </c>
      <c r="BR7" s="230">
        <v>-3282600</v>
      </c>
      <c r="BS7" s="229">
        <v>-0.1646</v>
      </c>
      <c r="BT7" s="230">
        <v>1383030</v>
      </c>
      <c r="BU7" s="230">
        <v>1139615</v>
      </c>
      <c r="BV7" s="230">
        <v>243415</v>
      </c>
      <c r="BW7" s="229">
        <v>0.21360000000000001</v>
      </c>
      <c r="BX7" s="230">
        <v>25622400</v>
      </c>
      <c r="BY7" s="230">
        <v>25384800</v>
      </c>
      <c r="BZ7" s="230">
        <v>237600</v>
      </c>
      <c r="CA7" s="229">
        <v>9.4000000000000004E-3</v>
      </c>
      <c r="CB7" s="230">
        <v>24331200</v>
      </c>
      <c r="CC7" s="230">
        <v>24156600</v>
      </c>
      <c r="CD7" s="230">
        <v>174600</v>
      </c>
      <c r="CE7" s="229">
        <v>7.1999999999999998E-3</v>
      </c>
      <c r="CF7" s="230">
        <v>1074600</v>
      </c>
      <c r="CG7" s="230">
        <v>1022400</v>
      </c>
      <c r="CH7" s="230">
        <v>52200</v>
      </c>
      <c r="CI7" s="229">
        <v>5.11E-2</v>
      </c>
      <c r="CJ7" s="230">
        <v>216600</v>
      </c>
      <c r="CK7" s="230">
        <v>205800</v>
      </c>
      <c r="CL7" s="230">
        <v>10800</v>
      </c>
      <c r="CM7" s="229">
        <v>5.2499999999999998E-2</v>
      </c>
      <c r="CN7" s="230">
        <v>12699600</v>
      </c>
      <c r="CO7" s="230">
        <v>12760200</v>
      </c>
      <c r="CP7" s="230">
        <v>-60600</v>
      </c>
      <c r="CQ7" s="229">
        <v>-4.7000000000000002E-3</v>
      </c>
      <c r="CR7" s="230">
        <v>6808200</v>
      </c>
      <c r="CS7" s="230">
        <v>6742800</v>
      </c>
      <c r="CT7" s="230">
        <v>65400</v>
      </c>
      <c r="CU7" s="229">
        <v>9.7000000000000003E-3</v>
      </c>
      <c r="CV7" s="230">
        <v>45130200</v>
      </c>
      <c r="CW7" s="230">
        <v>44887800</v>
      </c>
      <c r="CX7" s="230">
        <v>242400</v>
      </c>
      <c r="CY7" s="229">
        <v>5.4000000000000003E-3</v>
      </c>
      <c r="CZ7" s="228">
        <v>29.61</v>
      </c>
      <c r="DA7" s="228">
        <v>30.15</v>
      </c>
      <c r="DB7" s="228">
        <v>-0.54</v>
      </c>
      <c r="DC7" s="228">
        <v>-0.54</v>
      </c>
      <c r="DD7" s="228">
        <v>55.76</v>
      </c>
      <c r="DE7" s="228">
        <v>55.89</v>
      </c>
      <c r="DF7" s="228">
        <v>-26.15</v>
      </c>
      <c r="DG7" s="228">
        <v>-0.13</v>
      </c>
      <c r="DH7" s="228">
        <v>30.45</v>
      </c>
      <c r="DI7" s="228">
        <v>31.48</v>
      </c>
      <c r="DJ7" s="228">
        <v>-1.03</v>
      </c>
      <c r="DK7" s="228">
        <v>-1.03</v>
      </c>
      <c r="DL7" s="228">
        <v>28.03</v>
      </c>
      <c r="DM7" s="228">
        <v>28.34</v>
      </c>
      <c r="DN7" s="228">
        <v>-0.31</v>
      </c>
      <c r="DO7" s="228">
        <v>-0.31</v>
      </c>
      <c r="DP7" s="228">
        <v>0.54</v>
      </c>
      <c r="DQ7" s="228">
        <v>0.53</v>
      </c>
      <c r="DR7" s="228">
        <v>0.01</v>
      </c>
      <c r="DS7" s="229">
        <v>1.89E-2</v>
      </c>
      <c r="DT7" s="231">
        <v>1100</v>
      </c>
      <c r="DU7" s="231">
        <v>1000</v>
      </c>
      <c r="DV7" s="228">
        <v>0.53</v>
      </c>
      <c r="DW7" s="228">
        <v>0.74</v>
      </c>
      <c r="DX7" s="228">
        <v>-0.21</v>
      </c>
      <c r="DY7" s="229">
        <v>-0.2838</v>
      </c>
      <c r="DZ7" s="229">
        <v>5.04E-2</v>
      </c>
      <c r="EA7" s="230">
        <v>1228200</v>
      </c>
      <c r="EB7" s="229">
        <v>6.1999999999999998E-3</v>
      </c>
      <c r="EC7" s="229">
        <v>5.04E-2</v>
      </c>
      <c r="ED7" s="228">
        <v>6.55</v>
      </c>
      <c r="EE7" s="229">
        <v>6.4000000000000003E-3</v>
      </c>
      <c r="EF7" s="230">
        <v>500496</v>
      </c>
      <c r="EG7" s="230">
        <v>414006</v>
      </c>
      <c r="EH7" s="229">
        <v>0.2089</v>
      </c>
      <c r="EI7" s="229">
        <v>0.3619</v>
      </c>
      <c r="EJ7" s="231">
        <v>104802.58</v>
      </c>
      <c r="EK7" s="231">
        <v>52380.3</v>
      </c>
      <c r="EL7" s="231">
        <v>19494.91</v>
      </c>
      <c r="EM7" s="231">
        <v>9631</v>
      </c>
      <c r="EN7" s="231">
        <v>176677.79</v>
      </c>
      <c r="EO7" s="231">
        <v>211738.43</v>
      </c>
      <c r="EP7" s="231">
        <v>-35060.639999999999</v>
      </c>
      <c r="EQ7" s="229">
        <v>-0.1656</v>
      </c>
      <c r="ER7" s="231">
        <v>138844</v>
      </c>
      <c r="ES7" s="231">
        <v>68561</v>
      </c>
      <c r="ET7" s="231">
        <v>262367</v>
      </c>
      <c r="EU7" s="231">
        <v>61877951</v>
      </c>
      <c r="EV7" s="231">
        <v>469771</v>
      </c>
      <c r="EW7" s="231">
        <v>469327</v>
      </c>
      <c r="EX7" s="228">
        <v>444</v>
      </c>
      <c r="EY7" s="229">
        <v>8.9999999999999998E-4</v>
      </c>
      <c r="EZ7" s="229">
        <v>0.72929999999999995</v>
      </c>
      <c r="FA7" s="227" t="s">
        <v>567</v>
      </c>
      <c r="FB7" s="161">
        <f t="shared" si="0"/>
        <v>1291200</v>
      </c>
    </row>
    <row r="8" spans="1:158" ht="17.25" hidden="1" thickBot="1" x14ac:dyDescent="0.3">
      <c r="A8" s="226">
        <v>46008</v>
      </c>
      <c r="B8" s="227" t="s">
        <v>215</v>
      </c>
      <c r="C8" s="227" t="s">
        <v>160</v>
      </c>
      <c r="D8" s="228">
        <v>475</v>
      </c>
      <c r="E8" s="231">
        <v>1491.8</v>
      </c>
      <c r="F8" s="231">
        <v>1503.9</v>
      </c>
      <c r="G8" s="228">
        <v>-12.1</v>
      </c>
      <c r="H8" s="229">
        <v>-8.0000000000000002E-3</v>
      </c>
      <c r="I8" s="231">
        <v>1486.3</v>
      </c>
      <c r="J8" s="231">
        <v>1499</v>
      </c>
      <c r="K8" s="228">
        <v>-12.7</v>
      </c>
      <c r="L8" s="229">
        <v>-8.5000000000000006E-3</v>
      </c>
      <c r="M8" s="231">
        <v>1491.8</v>
      </c>
      <c r="N8" s="231">
        <v>1503.9</v>
      </c>
      <c r="O8" s="228">
        <v>-12.1</v>
      </c>
      <c r="P8" s="229">
        <v>-8.0000000000000002E-3</v>
      </c>
      <c r="Q8" s="231">
        <v>1500.1</v>
      </c>
      <c r="R8" s="231">
        <v>1512.1</v>
      </c>
      <c r="S8" s="228">
        <v>-12</v>
      </c>
      <c r="T8" s="229">
        <v>-7.9000000000000008E-3</v>
      </c>
      <c r="U8" s="231">
        <v>1509.8</v>
      </c>
      <c r="V8" s="231">
        <v>1521</v>
      </c>
      <c r="W8" s="228">
        <v>-11.2</v>
      </c>
      <c r="X8" s="229">
        <v>-7.4000000000000003E-3</v>
      </c>
      <c r="Y8" s="228">
        <v>5.5</v>
      </c>
      <c r="Z8" s="228">
        <v>4.9000000000000004</v>
      </c>
      <c r="AA8" s="228">
        <v>0.6</v>
      </c>
      <c r="AB8" s="229">
        <v>3.7000000000000002E-3</v>
      </c>
      <c r="AC8" s="228">
        <v>5.5</v>
      </c>
      <c r="AD8" s="228">
        <v>4.9000000000000004</v>
      </c>
      <c r="AE8" s="228">
        <v>0.6</v>
      </c>
      <c r="AF8" s="229">
        <v>3.7000000000000002E-3</v>
      </c>
      <c r="AG8" s="228">
        <v>13.8</v>
      </c>
      <c r="AH8" s="228">
        <v>13.1</v>
      </c>
      <c r="AI8" s="228">
        <v>0.7</v>
      </c>
      <c r="AJ8" s="229">
        <v>9.2999999999999992E-3</v>
      </c>
      <c r="AK8" s="228">
        <v>23.5</v>
      </c>
      <c r="AL8" s="228">
        <v>22</v>
      </c>
      <c r="AM8" s="228">
        <v>1.5</v>
      </c>
      <c r="AN8" s="229">
        <v>1.5800000000000002E-2</v>
      </c>
      <c r="AO8" s="231">
        <v>1494.27</v>
      </c>
      <c r="AP8" s="231">
        <v>1501.94</v>
      </c>
      <c r="AQ8" s="228">
        <v>0</v>
      </c>
      <c r="AR8" s="230">
        <v>1649200</v>
      </c>
      <c r="AS8" s="230">
        <v>2033000</v>
      </c>
      <c r="AT8" s="230">
        <v>-383800</v>
      </c>
      <c r="AU8" s="229">
        <v>-0.1888</v>
      </c>
      <c r="AV8" s="230">
        <v>1244025</v>
      </c>
      <c r="AW8" s="230">
        <v>1566075</v>
      </c>
      <c r="AX8" s="230">
        <v>-322050</v>
      </c>
      <c r="AY8" s="229">
        <v>-0.2056</v>
      </c>
      <c r="AZ8" s="230">
        <v>378100</v>
      </c>
      <c r="BA8" s="230">
        <v>448875</v>
      </c>
      <c r="BB8" s="230">
        <v>-70775</v>
      </c>
      <c r="BC8" s="229">
        <v>-0.15770000000000001</v>
      </c>
      <c r="BD8" s="230">
        <v>27075</v>
      </c>
      <c r="BE8" s="230">
        <v>18050</v>
      </c>
      <c r="BF8" s="230">
        <v>9025</v>
      </c>
      <c r="BG8" s="229">
        <v>0.5</v>
      </c>
      <c r="BH8" s="230">
        <v>7095550</v>
      </c>
      <c r="BI8" s="230">
        <v>5264900</v>
      </c>
      <c r="BJ8" s="230">
        <v>1830650</v>
      </c>
      <c r="BK8" s="229">
        <v>0.34770000000000001</v>
      </c>
      <c r="BL8" s="230">
        <v>3201975</v>
      </c>
      <c r="BM8" s="230">
        <v>2479500</v>
      </c>
      <c r="BN8" s="230">
        <v>722475</v>
      </c>
      <c r="BO8" s="229">
        <v>0.29139999999999999</v>
      </c>
      <c r="BP8" s="230">
        <v>11946725</v>
      </c>
      <c r="BQ8" s="230">
        <v>9777400</v>
      </c>
      <c r="BR8" s="230">
        <v>2169325</v>
      </c>
      <c r="BS8" s="229">
        <v>0.22189999999999999</v>
      </c>
      <c r="BT8" s="230">
        <v>1004997</v>
      </c>
      <c r="BU8" s="230">
        <v>1139802</v>
      </c>
      <c r="BV8" s="230">
        <v>-134805</v>
      </c>
      <c r="BW8" s="229">
        <v>-0.1183</v>
      </c>
      <c r="BX8" s="230">
        <v>23775650</v>
      </c>
      <c r="BY8" s="230">
        <v>23553350</v>
      </c>
      <c r="BZ8" s="230">
        <v>222300</v>
      </c>
      <c r="CA8" s="229">
        <v>9.4000000000000004E-3</v>
      </c>
      <c r="CB8" s="230">
        <v>21467625</v>
      </c>
      <c r="CC8" s="230">
        <v>21487100</v>
      </c>
      <c r="CD8" s="230">
        <v>-19475</v>
      </c>
      <c r="CE8" s="229">
        <v>-8.9999999999999998E-4</v>
      </c>
      <c r="CF8" s="230">
        <v>2043925</v>
      </c>
      <c r="CG8" s="230">
        <v>1806425</v>
      </c>
      <c r="CH8" s="230">
        <v>237500</v>
      </c>
      <c r="CI8" s="229">
        <v>0.13150000000000001</v>
      </c>
      <c r="CJ8" s="230">
        <v>264100</v>
      </c>
      <c r="CK8" s="230">
        <v>259825</v>
      </c>
      <c r="CL8" s="230">
        <v>4275</v>
      </c>
      <c r="CM8" s="229">
        <v>1.6500000000000001E-2</v>
      </c>
      <c r="CN8" s="230">
        <v>9410700</v>
      </c>
      <c r="CO8" s="230">
        <v>9008850</v>
      </c>
      <c r="CP8" s="230">
        <v>401850</v>
      </c>
      <c r="CQ8" s="229">
        <v>4.4600000000000001E-2</v>
      </c>
      <c r="CR8" s="230">
        <v>4611300</v>
      </c>
      <c r="CS8" s="230">
        <v>4561900</v>
      </c>
      <c r="CT8" s="230">
        <v>49400</v>
      </c>
      <c r="CU8" s="229">
        <v>1.0800000000000001E-2</v>
      </c>
      <c r="CV8" s="230">
        <v>37797650</v>
      </c>
      <c r="CW8" s="230">
        <v>37124100</v>
      </c>
      <c r="CX8" s="230">
        <v>673550</v>
      </c>
      <c r="CY8" s="229">
        <v>1.8100000000000002E-2</v>
      </c>
      <c r="CZ8" s="228">
        <v>20.86</v>
      </c>
      <c r="DA8" s="228">
        <v>20.59</v>
      </c>
      <c r="DB8" s="228">
        <v>0.27</v>
      </c>
      <c r="DC8" s="228">
        <v>0.27</v>
      </c>
      <c r="DD8" s="228">
        <v>36.1</v>
      </c>
      <c r="DE8" s="228">
        <v>36.18</v>
      </c>
      <c r="DF8" s="228">
        <v>-15.24</v>
      </c>
      <c r="DG8" s="228">
        <v>-0.08</v>
      </c>
      <c r="DH8" s="228">
        <v>21.32</v>
      </c>
      <c r="DI8" s="228">
        <v>21.08</v>
      </c>
      <c r="DJ8" s="228">
        <v>0.24</v>
      </c>
      <c r="DK8" s="228">
        <v>0.24</v>
      </c>
      <c r="DL8" s="228">
        <v>19.84</v>
      </c>
      <c r="DM8" s="228">
        <v>19.559999999999999</v>
      </c>
      <c r="DN8" s="228">
        <v>0.28000000000000003</v>
      </c>
      <c r="DO8" s="228">
        <v>0.28000000000000003</v>
      </c>
      <c r="DP8" s="228">
        <v>0.49</v>
      </c>
      <c r="DQ8" s="228">
        <v>0.51</v>
      </c>
      <c r="DR8" s="228">
        <v>-0.02</v>
      </c>
      <c r="DS8" s="229">
        <v>-3.9199999999999999E-2</v>
      </c>
      <c r="DT8" s="231">
        <v>1600</v>
      </c>
      <c r="DU8" s="231">
        <v>1500</v>
      </c>
      <c r="DV8" s="228">
        <v>0.45</v>
      </c>
      <c r="DW8" s="228">
        <v>0.47</v>
      </c>
      <c r="DX8" s="228">
        <v>-0.02</v>
      </c>
      <c r="DY8" s="229">
        <v>-4.2599999999999999E-2</v>
      </c>
      <c r="DZ8" s="229">
        <v>9.7100000000000006E-2</v>
      </c>
      <c r="EA8" s="230">
        <v>2066250</v>
      </c>
      <c r="EB8" s="229">
        <v>5.5999999999999999E-3</v>
      </c>
      <c r="EC8" s="229">
        <v>9.7100000000000006E-2</v>
      </c>
      <c r="ED8" s="228">
        <v>7.67</v>
      </c>
      <c r="EE8" s="229">
        <v>5.1000000000000004E-3</v>
      </c>
      <c r="EF8" s="230">
        <v>560736</v>
      </c>
      <c r="EG8" s="230">
        <v>671928</v>
      </c>
      <c r="EH8" s="229">
        <v>-0.16550000000000001</v>
      </c>
      <c r="EI8" s="229">
        <v>0.55789999999999995</v>
      </c>
      <c r="EJ8" s="231">
        <v>110146.66</v>
      </c>
      <c r="EK8" s="231">
        <v>47715.35</v>
      </c>
      <c r="EL8" s="231">
        <v>24676.97</v>
      </c>
      <c r="EM8" s="231">
        <v>4571</v>
      </c>
      <c r="EN8" s="231">
        <v>182538.98</v>
      </c>
      <c r="EO8" s="231">
        <v>149915.53</v>
      </c>
      <c r="EP8" s="231">
        <v>32623.45</v>
      </c>
      <c r="EQ8" s="229">
        <v>0.21759999999999999</v>
      </c>
      <c r="ER8" s="231">
        <v>146743</v>
      </c>
      <c r="ES8" s="231">
        <v>67040</v>
      </c>
      <c r="ET8" s="231">
        <v>354902</v>
      </c>
      <c r="EU8" s="231">
        <v>73799006</v>
      </c>
      <c r="EV8" s="231">
        <v>568686</v>
      </c>
      <c r="EW8" s="231">
        <v>561485</v>
      </c>
      <c r="EX8" s="231">
        <v>7201</v>
      </c>
      <c r="EY8" s="229">
        <v>1.2800000000000001E-2</v>
      </c>
      <c r="EZ8" s="229">
        <v>0.51219999999999999</v>
      </c>
      <c r="FA8" s="227" t="s">
        <v>567</v>
      </c>
      <c r="FB8" s="161">
        <f t="shared" si="0"/>
        <v>2308025</v>
      </c>
    </row>
    <row r="9" spans="1:158" ht="17.25" hidden="1" thickBot="1" x14ac:dyDescent="0.3">
      <c r="A9" s="226">
        <v>46008</v>
      </c>
      <c r="B9" s="227" t="s">
        <v>170</v>
      </c>
      <c r="C9" s="227" t="s">
        <v>497</v>
      </c>
      <c r="D9" s="228">
        <v>125</v>
      </c>
      <c r="E9" s="231">
        <v>5635.5</v>
      </c>
      <c r="F9" s="231">
        <v>5671.5</v>
      </c>
      <c r="G9" s="228">
        <v>-36</v>
      </c>
      <c r="H9" s="229">
        <v>-6.3E-3</v>
      </c>
      <c r="I9" s="231">
        <v>5628.5</v>
      </c>
      <c r="J9" s="231">
        <v>5663.5</v>
      </c>
      <c r="K9" s="228">
        <v>-35</v>
      </c>
      <c r="L9" s="229">
        <v>-6.1999999999999998E-3</v>
      </c>
      <c r="M9" s="231">
        <v>5635.5</v>
      </c>
      <c r="N9" s="231">
        <v>5671.5</v>
      </c>
      <c r="O9" s="228">
        <v>-36</v>
      </c>
      <c r="P9" s="229">
        <v>-6.3E-3</v>
      </c>
      <c r="Q9" s="231">
        <v>5666.5</v>
      </c>
      <c r="R9" s="231">
        <v>5695</v>
      </c>
      <c r="S9" s="228">
        <v>-28.5</v>
      </c>
      <c r="T9" s="229">
        <v>-5.0000000000000001E-3</v>
      </c>
      <c r="U9" s="231">
        <v>5657.5</v>
      </c>
      <c r="V9" s="231">
        <v>5657.5</v>
      </c>
      <c r="W9" s="228">
        <v>0</v>
      </c>
      <c r="X9" s="229">
        <v>0</v>
      </c>
      <c r="Y9" s="228">
        <v>7</v>
      </c>
      <c r="Z9" s="228">
        <v>8</v>
      </c>
      <c r="AA9" s="228">
        <v>-1</v>
      </c>
      <c r="AB9" s="229">
        <v>1.1999999999999999E-3</v>
      </c>
      <c r="AC9" s="228">
        <v>7</v>
      </c>
      <c r="AD9" s="228">
        <v>8</v>
      </c>
      <c r="AE9" s="228">
        <v>-1</v>
      </c>
      <c r="AF9" s="229">
        <v>1.1999999999999999E-3</v>
      </c>
      <c r="AG9" s="228">
        <v>38</v>
      </c>
      <c r="AH9" s="228">
        <v>31.5</v>
      </c>
      <c r="AI9" s="228">
        <v>6.5</v>
      </c>
      <c r="AJ9" s="229">
        <v>6.7999999999999996E-3</v>
      </c>
      <c r="AK9" s="228">
        <v>29</v>
      </c>
      <c r="AL9" s="228">
        <v>-6</v>
      </c>
      <c r="AM9" s="228">
        <v>35</v>
      </c>
      <c r="AN9" s="229">
        <v>5.1999999999999998E-3</v>
      </c>
      <c r="AO9" s="231">
        <v>5644.08</v>
      </c>
      <c r="AP9" s="231">
        <v>5660.55</v>
      </c>
      <c r="AQ9" s="228">
        <v>0</v>
      </c>
      <c r="AR9" s="230">
        <v>225125</v>
      </c>
      <c r="AS9" s="230">
        <v>109875</v>
      </c>
      <c r="AT9" s="230">
        <v>115250</v>
      </c>
      <c r="AU9" s="229">
        <v>1.0488999999999999</v>
      </c>
      <c r="AV9" s="230">
        <v>167375</v>
      </c>
      <c r="AW9" s="230">
        <v>103750</v>
      </c>
      <c r="AX9" s="230">
        <v>63625</v>
      </c>
      <c r="AY9" s="229">
        <v>0.61329999999999996</v>
      </c>
      <c r="AZ9" s="230">
        <v>57750</v>
      </c>
      <c r="BA9" s="230">
        <v>6125</v>
      </c>
      <c r="BB9" s="230">
        <v>51625</v>
      </c>
      <c r="BC9" s="229">
        <v>8.4285999999999994</v>
      </c>
      <c r="BD9" s="228">
        <v>0</v>
      </c>
      <c r="BE9" s="228">
        <v>0</v>
      </c>
      <c r="BF9" s="228">
        <v>0</v>
      </c>
      <c r="BG9" s="229">
        <v>0</v>
      </c>
      <c r="BH9" s="230">
        <v>301625</v>
      </c>
      <c r="BI9" s="230">
        <v>238625</v>
      </c>
      <c r="BJ9" s="230">
        <v>63000</v>
      </c>
      <c r="BK9" s="229">
        <v>0.26400000000000001</v>
      </c>
      <c r="BL9" s="230">
        <v>125875</v>
      </c>
      <c r="BM9" s="230">
        <v>76125</v>
      </c>
      <c r="BN9" s="230">
        <v>49750</v>
      </c>
      <c r="BO9" s="229">
        <v>0.65349999999999997</v>
      </c>
      <c r="BP9" s="230">
        <v>652625</v>
      </c>
      <c r="BQ9" s="230">
        <v>424625</v>
      </c>
      <c r="BR9" s="230">
        <v>228000</v>
      </c>
      <c r="BS9" s="229">
        <v>0.53690000000000004</v>
      </c>
      <c r="BT9" s="230">
        <v>36685</v>
      </c>
      <c r="BU9" s="230">
        <v>94398</v>
      </c>
      <c r="BV9" s="230">
        <v>-57713</v>
      </c>
      <c r="BW9" s="229">
        <v>-0.61140000000000005</v>
      </c>
      <c r="BX9" s="230">
        <v>1595375</v>
      </c>
      <c r="BY9" s="230">
        <v>1602500</v>
      </c>
      <c r="BZ9" s="230">
        <v>-7125</v>
      </c>
      <c r="CA9" s="229">
        <v>-4.4000000000000003E-3</v>
      </c>
      <c r="CB9" s="230">
        <v>1537250</v>
      </c>
      <c r="CC9" s="230">
        <v>1584500</v>
      </c>
      <c r="CD9" s="230">
        <v>-47250</v>
      </c>
      <c r="CE9" s="229">
        <v>-2.98E-2</v>
      </c>
      <c r="CF9" s="230">
        <v>57250</v>
      </c>
      <c r="CG9" s="230">
        <v>17125</v>
      </c>
      <c r="CH9" s="230">
        <v>40125</v>
      </c>
      <c r="CI9" s="229">
        <v>2.3431000000000002</v>
      </c>
      <c r="CJ9" s="228">
        <v>875</v>
      </c>
      <c r="CK9" s="228">
        <v>875</v>
      </c>
      <c r="CL9" s="228">
        <v>0</v>
      </c>
      <c r="CM9" s="229">
        <v>0</v>
      </c>
      <c r="CN9" s="230">
        <v>252625</v>
      </c>
      <c r="CO9" s="230">
        <v>217000</v>
      </c>
      <c r="CP9" s="230">
        <v>35625</v>
      </c>
      <c r="CQ9" s="229">
        <v>0.16420000000000001</v>
      </c>
      <c r="CR9" s="230">
        <v>163375</v>
      </c>
      <c r="CS9" s="230">
        <v>161875</v>
      </c>
      <c r="CT9" s="230">
        <v>1500</v>
      </c>
      <c r="CU9" s="229">
        <v>9.2999999999999992E-3</v>
      </c>
      <c r="CV9" s="230">
        <v>2011375</v>
      </c>
      <c r="CW9" s="230">
        <v>1981375</v>
      </c>
      <c r="CX9" s="230">
        <v>30000</v>
      </c>
      <c r="CY9" s="229">
        <v>1.5100000000000001E-2</v>
      </c>
      <c r="CZ9" s="228">
        <v>17.5</v>
      </c>
      <c r="DA9" s="228">
        <v>17.59</v>
      </c>
      <c r="DB9" s="228">
        <v>-0.09</v>
      </c>
      <c r="DC9" s="228">
        <v>-0.09</v>
      </c>
      <c r="DD9" s="228">
        <v>26.03</v>
      </c>
      <c r="DE9" s="228">
        <v>26.08</v>
      </c>
      <c r="DF9" s="228">
        <v>-8.5299999999999994</v>
      </c>
      <c r="DG9" s="228">
        <v>-0.05</v>
      </c>
      <c r="DH9" s="228">
        <v>16.97</v>
      </c>
      <c r="DI9" s="228">
        <v>17.079999999999998</v>
      </c>
      <c r="DJ9" s="228">
        <v>-0.11</v>
      </c>
      <c r="DK9" s="228">
        <v>-0.11</v>
      </c>
      <c r="DL9" s="228">
        <v>18.78</v>
      </c>
      <c r="DM9" s="228">
        <v>19.190000000000001</v>
      </c>
      <c r="DN9" s="228">
        <v>-0.41</v>
      </c>
      <c r="DO9" s="228">
        <v>-0.41</v>
      </c>
      <c r="DP9" s="228">
        <v>0.65</v>
      </c>
      <c r="DQ9" s="228">
        <v>0.75</v>
      </c>
      <c r="DR9" s="228">
        <v>-0.1</v>
      </c>
      <c r="DS9" s="229">
        <v>-0.1333</v>
      </c>
      <c r="DT9" s="231">
        <v>5800</v>
      </c>
      <c r="DU9" s="231">
        <v>5500</v>
      </c>
      <c r="DV9" s="228">
        <v>0.42</v>
      </c>
      <c r="DW9" s="228">
        <v>0.32</v>
      </c>
      <c r="DX9" s="228">
        <v>0.1</v>
      </c>
      <c r="DY9" s="229">
        <v>0.3125</v>
      </c>
      <c r="DZ9" s="229">
        <v>3.6400000000000002E-2</v>
      </c>
      <c r="EA9" s="230">
        <v>18000</v>
      </c>
      <c r="EB9" s="229">
        <v>5.4999999999999997E-3</v>
      </c>
      <c r="EC9" s="229">
        <v>3.6400000000000002E-2</v>
      </c>
      <c r="ED9" s="228">
        <v>16.47</v>
      </c>
      <c r="EE9" s="229">
        <v>2.8999999999999998E-3</v>
      </c>
      <c r="EF9" s="230">
        <v>19318</v>
      </c>
      <c r="EG9" s="230">
        <v>60014</v>
      </c>
      <c r="EH9" s="229">
        <v>-0.67810000000000004</v>
      </c>
      <c r="EI9" s="229">
        <v>0.52659999999999996</v>
      </c>
      <c r="EJ9" s="231">
        <v>17429.36</v>
      </c>
      <c r="EK9" s="231">
        <v>6947.02</v>
      </c>
      <c r="EL9" s="231">
        <v>12715.75</v>
      </c>
      <c r="EM9" s="228">
        <v>701</v>
      </c>
      <c r="EN9" s="231">
        <v>37092.129999999997</v>
      </c>
      <c r="EO9" s="231">
        <v>24234.49</v>
      </c>
      <c r="EP9" s="231">
        <v>12857.64</v>
      </c>
      <c r="EQ9" s="229">
        <v>0.53059999999999996</v>
      </c>
      <c r="ER9" s="231">
        <v>14727</v>
      </c>
      <c r="ES9" s="231">
        <v>9004</v>
      </c>
      <c r="ET9" s="231">
        <v>89925</v>
      </c>
      <c r="EU9" s="231">
        <v>6130387</v>
      </c>
      <c r="EV9" s="231">
        <v>113657</v>
      </c>
      <c r="EW9" s="231">
        <v>112544</v>
      </c>
      <c r="EX9" s="231">
        <v>1113</v>
      </c>
      <c r="EY9" s="229">
        <v>9.9000000000000008E-3</v>
      </c>
      <c r="EZ9" s="229">
        <v>0.3281</v>
      </c>
      <c r="FA9" s="227" t="s">
        <v>568</v>
      </c>
      <c r="FB9" s="161">
        <f t="shared" si="0"/>
        <v>58125</v>
      </c>
    </row>
    <row r="10" spans="1:158" ht="17.25" hidden="1" thickBot="1" x14ac:dyDescent="0.3">
      <c r="A10" s="226">
        <v>46008</v>
      </c>
      <c r="B10" s="227" t="s">
        <v>184</v>
      </c>
      <c r="C10" s="227" t="s">
        <v>682</v>
      </c>
      <c r="D10" s="228">
        <v>100</v>
      </c>
      <c r="E10" s="231">
        <v>6600</v>
      </c>
      <c r="F10" s="231">
        <v>6793.5</v>
      </c>
      <c r="G10" s="228">
        <v>-193.5</v>
      </c>
      <c r="H10" s="229">
        <v>-2.8500000000000001E-2</v>
      </c>
      <c r="I10" s="231">
        <v>6580.5</v>
      </c>
      <c r="J10" s="231">
        <v>6779.5</v>
      </c>
      <c r="K10" s="228">
        <v>-199</v>
      </c>
      <c r="L10" s="229">
        <v>-2.9399999999999999E-2</v>
      </c>
      <c r="M10" s="231">
        <v>6600</v>
      </c>
      <c r="N10" s="231">
        <v>6793.5</v>
      </c>
      <c r="O10" s="228">
        <v>-193.5</v>
      </c>
      <c r="P10" s="229">
        <v>-2.8500000000000001E-2</v>
      </c>
      <c r="Q10" s="231">
        <v>6528.5</v>
      </c>
      <c r="R10" s="231">
        <v>6705.5</v>
      </c>
      <c r="S10" s="228">
        <v>-177</v>
      </c>
      <c r="T10" s="229">
        <v>-2.64E-2</v>
      </c>
      <c r="U10" s="231">
        <v>6460.5</v>
      </c>
      <c r="V10" s="231">
        <v>6678.5</v>
      </c>
      <c r="W10" s="228">
        <v>-218</v>
      </c>
      <c r="X10" s="229">
        <v>-3.2599999999999997E-2</v>
      </c>
      <c r="Y10" s="228">
        <v>19.5</v>
      </c>
      <c r="Z10" s="228">
        <v>14</v>
      </c>
      <c r="AA10" s="228">
        <v>5.5</v>
      </c>
      <c r="AB10" s="229">
        <v>3.0000000000000001E-3</v>
      </c>
      <c r="AC10" s="228">
        <v>19.5</v>
      </c>
      <c r="AD10" s="228">
        <v>14</v>
      </c>
      <c r="AE10" s="228">
        <v>5.5</v>
      </c>
      <c r="AF10" s="229">
        <v>3.0000000000000001E-3</v>
      </c>
      <c r="AG10" s="228">
        <v>-52</v>
      </c>
      <c r="AH10" s="228">
        <v>-74</v>
      </c>
      <c r="AI10" s="228">
        <v>22</v>
      </c>
      <c r="AJ10" s="229">
        <v>-7.9000000000000008E-3</v>
      </c>
      <c r="AK10" s="228">
        <v>-120</v>
      </c>
      <c r="AL10" s="228">
        <v>-101</v>
      </c>
      <c r="AM10" s="228">
        <v>-19</v>
      </c>
      <c r="AN10" s="229">
        <v>-1.8200000000000001E-2</v>
      </c>
      <c r="AO10" s="231">
        <v>6667.6</v>
      </c>
      <c r="AP10" s="231">
        <v>6589.35</v>
      </c>
      <c r="AQ10" s="228">
        <v>0</v>
      </c>
      <c r="AR10" s="230">
        <v>336100</v>
      </c>
      <c r="AS10" s="230">
        <v>201800</v>
      </c>
      <c r="AT10" s="230">
        <v>134300</v>
      </c>
      <c r="AU10" s="229">
        <v>0.66549999999999998</v>
      </c>
      <c r="AV10" s="230">
        <v>285000</v>
      </c>
      <c r="AW10" s="230">
        <v>159900</v>
      </c>
      <c r="AX10" s="230">
        <v>125100</v>
      </c>
      <c r="AY10" s="229">
        <v>0.78239999999999998</v>
      </c>
      <c r="AZ10" s="230">
        <v>49500</v>
      </c>
      <c r="BA10" s="230">
        <v>40400</v>
      </c>
      <c r="BB10" s="230">
        <v>9100</v>
      </c>
      <c r="BC10" s="229">
        <v>0.22520000000000001</v>
      </c>
      <c r="BD10" s="230">
        <v>1600</v>
      </c>
      <c r="BE10" s="230">
        <v>1500</v>
      </c>
      <c r="BF10" s="228">
        <v>100</v>
      </c>
      <c r="BG10" s="229">
        <v>6.6699999999999995E-2</v>
      </c>
      <c r="BH10" s="230">
        <v>1656800</v>
      </c>
      <c r="BI10" s="230">
        <v>1193700</v>
      </c>
      <c r="BJ10" s="230">
        <v>463100</v>
      </c>
      <c r="BK10" s="229">
        <v>0.38800000000000001</v>
      </c>
      <c r="BL10" s="230">
        <v>1318000</v>
      </c>
      <c r="BM10" s="230">
        <v>657400</v>
      </c>
      <c r="BN10" s="230">
        <v>660600</v>
      </c>
      <c r="BO10" s="229">
        <v>1.0048999999999999</v>
      </c>
      <c r="BP10" s="230">
        <v>3310900</v>
      </c>
      <c r="BQ10" s="230">
        <v>2052900</v>
      </c>
      <c r="BR10" s="230">
        <v>1258000</v>
      </c>
      <c r="BS10" s="229">
        <v>0.61280000000000001</v>
      </c>
      <c r="BT10" s="230">
        <v>250852</v>
      </c>
      <c r="BU10" s="230">
        <v>177854</v>
      </c>
      <c r="BV10" s="230">
        <v>72998</v>
      </c>
      <c r="BW10" s="229">
        <v>0.41039999999999999</v>
      </c>
      <c r="BX10" s="230">
        <v>1175700</v>
      </c>
      <c r="BY10" s="230">
        <v>1161600</v>
      </c>
      <c r="BZ10" s="230">
        <v>14100</v>
      </c>
      <c r="CA10" s="229">
        <v>1.21E-2</v>
      </c>
      <c r="CB10" s="230">
        <v>1005400</v>
      </c>
      <c r="CC10" s="230">
        <v>1010300</v>
      </c>
      <c r="CD10" s="230">
        <v>-4900</v>
      </c>
      <c r="CE10" s="229">
        <v>-4.8999999999999998E-3</v>
      </c>
      <c r="CF10" s="230">
        <v>161300</v>
      </c>
      <c r="CG10" s="230">
        <v>143400</v>
      </c>
      <c r="CH10" s="230">
        <v>17900</v>
      </c>
      <c r="CI10" s="229">
        <v>0.12479999999999999</v>
      </c>
      <c r="CJ10" s="230">
        <v>9000</v>
      </c>
      <c r="CK10" s="230">
        <v>7900</v>
      </c>
      <c r="CL10" s="230">
        <v>1100</v>
      </c>
      <c r="CM10" s="229">
        <v>0.13919999999999999</v>
      </c>
      <c r="CN10" s="230">
        <v>1178100</v>
      </c>
      <c r="CO10" s="230">
        <v>1082000</v>
      </c>
      <c r="CP10" s="230">
        <v>96100</v>
      </c>
      <c r="CQ10" s="229">
        <v>8.8800000000000004E-2</v>
      </c>
      <c r="CR10" s="230">
        <v>781500</v>
      </c>
      <c r="CS10" s="230">
        <v>774300</v>
      </c>
      <c r="CT10" s="230">
        <v>7200</v>
      </c>
      <c r="CU10" s="229">
        <v>9.2999999999999992E-3</v>
      </c>
      <c r="CV10" s="230">
        <v>3135300</v>
      </c>
      <c r="CW10" s="230">
        <v>3017900</v>
      </c>
      <c r="CX10" s="230">
        <v>117400</v>
      </c>
      <c r="CY10" s="229">
        <v>3.8899999999999997E-2</v>
      </c>
      <c r="CZ10" s="228">
        <v>31.64</v>
      </c>
      <c r="DA10" s="228">
        <v>31.3</v>
      </c>
      <c r="DB10" s="228">
        <v>0.34</v>
      </c>
      <c r="DC10" s="228">
        <v>0.34</v>
      </c>
      <c r="DD10" s="228">
        <v>52.81</v>
      </c>
      <c r="DE10" s="228">
        <v>52.8</v>
      </c>
      <c r="DF10" s="228">
        <v>-21.17</v>
      </c>
      <c r="DG10" s="228">
        <v>0.01</v>
      </c>
      <c r="DH10" s="228">
        <v>31.59</v>
      </c>
      <c r="DI10" s="228">
        <v>31.07</v>
      </c>
      <c r="DJ10" s="228">
        <v>0.52</v>
      </c>
      <c r="DK10" s="228">
        <v>0.52</v>
      </c>
      <c r="DL10" s="228">
        <v>31.7</v>
      </c>
      <c r="DM10" s="228">
        <v>31.72</v>
      </c>
      <c r="DN10" s="228">
        <v>-0.02</v>
      </c>
      <c r="DO10" s="228">
        <v>-0.02</v>
      </c>
      <c r="DP10" s="228">
        <v>0.66</v>
      </c>
      <c r="DQ10" s="228">
        <v>0.72</v>
      </c>
      <c r="DR10" s="228">
        <v>-0.06</v>
      </c>
      <c r="DS10" s="229">
        <v>-8.3299999999999999E-2</v>
      </c>
      <c r="DT10" s="231">
        <v>7000</v>
      </c>
      <c r="DU10" s="231">
        <v>6000</v>
      </c>
      <c r="DV10" s="228">
        <v>0.8</v>
      </c>
      <c r="DW10" s="228">
        <v>0.55000000000000004</v>
      </c>
      <c r="DX10" s="228">
        <v>0.25</v>
      </c>
      <c r="DY10" s="229">
        <v>0.45450000000000002</v>
      </c>
      <c r="DZ10" s="229">
        <v>0.14480000000000001</v>
      </c>
      <c r="EA10" s="230">
        <v>151300</v>
      </c>
      <c r="EB10" s="229">
        <v>-1.0800000000000001E-2</v>
      </c>
      <c r="EC10" s="229">
        <v>0.14480000000000001</v>
      </c>
      <c r="ED10" s="228">
        <v>-78.25</v>
      </c>
      <c r="EE10" s="229">
        <v>-1.17E-2</v>
      </c>
      <c r="EF10" s="230">
        <v>91019</v>
      </c>
      <c r="EG10" s="230">
        <v>45657</v>
      </c>
      <c r="EH10" s="229">
        <v>0.99350000000000005</v>
      </c>
      <c r="EI10" s="229">
        <v>0.36280000000000001</v>
      </c>
      <c r="EJ10" s="231">
        <v>116903.88</v>
      </c>
      <c r="EK10" s="231">
        <v>85773.43</v>
      </c>
      <c r="EL10" s="231">
        <v>22368.63</v>
      </c>
      <c r="EM10" s="231">
        <v>3943</v>
      </c>
      <c r="EN10" s="231">
        <v>225045.94</v>
      </c>
      <c r="EO10" s="231">
        <v>142792.54999999999</v>
      </c>
      <c r="EP10" s="231">
        <v>82253.39</v>
      </c>
      <c r="EQ10" s="229">
        <v>0.57599999999999996</v>
      </c>
      <c r="ER10" s="231">
        <v>83081</v>
      </c>
      <c r="ES10" s="231">
        <v>50666</v>
      </c>
      <c r="ET10" s="231">
        <v>77468</v>
      </c>
      <c r="EU10" s="231">
        <v>3067454</v>
      </c>
      <c r="EV10" s="231">
        <v>211216</v>
      </c>
      <c r="EW10" s="231">
        <v>205565</v>
      </c>
      <c r="EX10" s="231">
        <v>5651</v>
      </c>
      <c r="EY10" s="229">
        <v>2.75E-2</v>
      </c>
      <c r="EZ10" s="229">
        <v>1.0221</v>
      </c>
      <c r="FA10" s="227" t="s">
        <v>567</v>
      </c>
      <c r="FB10" s="161">
        <f t="shared" si="0"/>
        <v>170300</v>
      </c>
    </row>
    <row r="11" spans="1:158" ht="17.25" hidden="1" thickBot="1" x14ac:dyDescent="0.3">
      <c r="A11" s="226">
        <v>46008</v>
      </c>
      <c r="B11" s="227" t="s">
        <v>157</v>
      </c>
      <c r="C11" s="227" t="s">
        <v>164</v>
      </c>
      <c r="D11" s="228">
        <v>1050</v>
      </c>
      <c r="E11" s="228">
        <v>541.9</v>
      </c>
      <c r="F11" s="228">
        <v>549.5</v>
      </c>
      <c r="G11" s="228">
        <v>-7.6</v>
      </c>
      <c r="H11" s="229">
        <v>-1.38E-2</v>
      </c>
      <c r="I11" s="228">
        <v>541.29999999999995</v>
      </c>
      <c r="J11" s="228">
        <v>548.70000000000005</v>
      </c>
      <c r="K11" s="228">
        <v>-7.4</v>
      </c>
      <c r="L11" s="229">
        <v>-1.35E-2</v>
      </c>
      <c r="M11" s="228">
        <v>541.9</v>
      </c>
      <c r="N11" s="228">
        <v>549.5</v>
      </c>
      <c r="O11" s="228">
        <v>-7.6</v>
      </c>
      <c r="P11" s="229">
        <v>-1.38E-2</v>
      </c>
      <c r="Q11" s="228">
        <v>544.85</v>
      </c>
      <c r="R11" s="228">
        <v>553.29999999999995</v>
      </c>
      <c r="S11" s="228">
        <v>-8.4499999999999993</v>
      </c>
      <c r="T11" s="229">
        <v>-1.5299999999999999E-2</v>
      </c>
      <c r="U11" s="228">
        <v>548</v>
      </c>
      <c r="V11" s="228">
        <v>556.45000000000005</v>
      </c>
      <c r="W11" s="228">
        <v>-8.4499999999999993</v>
      </c>
      <c r="X11" s="229">
        <v>-1.52E-2</v>
      </c>
      <c r="Y11" s="228">
        <v>0.6</v>
      </c>
      <c r="Z11" s="228">
        <v>0.8</v>
      </c>
      <c r="AA11" s="228">
        <v>-0.2</v>
      </c>
      <c r="AB11" s="229">
        <v>1.1000000000000001E-3</v>
      </c>
      <c r="AC11" s="228">
        <v>0.6</v>
      </c>
      <c r="AD11" s="228">
        <v>0.8</v>
      </c>
      <c r="AE11" s="228">
        <v>-0.2</v>
      </c>
      <c r="AF11" s="229">
        <v>1.1000000000000001E-3</v>
      </c>
      <c r="AG11" s="228">
        <v>3.55</v>
      </c>
      <c r="AH11" s="228">
        <v>4.5999999999999996</v>
      </c>
      <c r="AI11" s="228">
        <v>-1.05</v>
      </c>
      <c r="AJ11" s="229">
        <v>6.6E-3</v>
      </c>
      <c r="AK11" s="228">
        <v>6.7</v>
      </c>
      <c r="AL11" s="228">
        <v>7.75</v>
      </c>
      <c r="AM11" s="228">
        <v>-1.05</v>
      </c>
      <c r="AN11" s="229">
        <v>1.24E-2</v>
      </c>
      <c r="AO11" s="228">
        <v>544.38</v>
      </c>
      <c r="AP11" s="228">
        <v>547.45000000000005</v>
      </c>
      <c r="AQ11" s="228">
        <v>0</v>
      </c>
      <c r="AR11" s="230">
        <v>2325750</v>
      </c>
      <c r="AS11" s="230">
        <v>3269700</v>
      </c>
      <c r="AT11" s="230">
        <v>-943950</v>
      </c>
      <c r="AU11" s="229">
        <v>-0.28870000000000001</v>
      </c>
      <c r="AV11" s="230">
        <v>1925700</v>
      </c>
      <c r="AW11" s="230">
        <v>2903250</v>
      </c>
      <c r="AX11" s="230">
        <v>-977550</v>
      </c>
      <c r="AY11" s="229">
        <v>-0.3367</v>
      </c>
      <c r="AZ11" s="230">
        <v>384300</v>
      </c>
      <c r="BA11" s="230">
        <v>347550</v>
      </c>
      <c r="BB11" s="230">
        <v>36750</v>
      </c>
      <c r="BC11" s="229">
        <v>0.1057</v>
      </c>
      <c r="BD11" s="230">
        <v>15750</v>
      </c>
      <c r="BE11" s="230">
        <v>18900</v>
      </c>
      <c r="BF11" s="230">
        <v>-3150</v>
      </c>
      <c r="BG11" s="229">
        <v>-0.16669999999999999</v>
      </c>
      <c r="BH11" s="230">
        <v>5387550</v>
      </c>
      <c r="BI11" s="230">
        <v>7133700</v>
      </c>
      <c r="BJ11" s="230">
        <v>-1746150</v>
      </c>
      <c r="BK11" s="229">
        <v>-0.24479999999999999</v>
      </c>
      <c r="BL11" s="230">
        <v>2415000</v>
      </c>
      <c r="BM11" s="230">
        <v>4297650</v>
      </c>
      <c r="BN11" s="230">
        <v>-1882650</v>
      </c>
      <c r="BO11" s="229">
        <v>-0.43809999999999999</v>
      </c>
      <c r="BP11" s="230">
        <v>10128300</v>
      </c>
      <c r="BQ11" s="230">
        <v>14701050</v>
      </c>
      <c r="BR11" s="230">
        <v>-4572750</v>
      </c>
      <c r="BS11" s="229">
        <v>-0.311</v>
      </c>
      <c r="BT11" s="230">
        <v>534919</v>
      </c>
      <c r="BU11" s="230">
        <v>1925706</v>
      </c>
      <c r="BV11" s="230">
        <v>-1390787</v>
      </c>
      <c r="BW11" s="229">
        <v>-0.72219999999999995</v>
      </c>
      <c r="BX11" s="230">
        <v>48043800</v>
      </c>
      <c r="BY11" s="230">
        <v>48237000</v>
      </c>
      <c r="BZ11" s="230">
        <v>-193200</v>
      </c>
      <c r="CA11" s="229">
        <v>-4.0000000000000001E-3</v>
      </c>
      <c r="CB11" s="230">
        <v>46327050</v>
      </c>
      <c r="CC11" s="230">
        <v>46596900</v>
      </c>
      <c r="CD11" s="230">
        <v>-269850</v>
      </c>
      <c r="CE11" s="229">
        <v>-5.7999999999999996E-3</v>
      </c>
      <c r="CF11" s="230">
        <v>1524600</v>
      </c>
      <c r="CG11" s="230">
        <v>1447950</v>
      </c>
      <c r="CH11" s="230">
        <v>76650</v>
      </c>
      <c r="CI11" s="229">
        <v>5.2900000000000003E-2</v>
      </c>
      <c r="CJ11" s="230">
        <v>192150</v>
      </c>
      <c r="CK11" s="230">
        <v>192150</v>
      </c>
      <c r="CL11" s="228">
        <v>0</v>
      </c>
      <c r="CM11" s="229">
        <v>0</v>
      </c>
      <c r="CN11" s="230">
        <v>11865000</v>
      </c>
      <c r="CO11" s="230">
        <v>11235000</v>
      </c>
      <c r="CP11" s="230">
        <v>630000</v>
      </c>
      <c r="CQ11" s="229">
        <v>5.6099999999999997E-2</v>
      </c>
      <c r="CR11" s="230">
        <v>9641100</v>
      </c>
      <c r="CS11" s="230">
        <v>9667350</v>
      </c>
      <c r="CT11" s="230">
        <v>-26250</v>
      </c>
      <c r="CU11" s="229">
        <v>-2.7000000000000001E-3</v>
      </c>
      <c r="CV11" s="230">
        <v>69549900</v>
      </c>
      <c r="CW11" s="230">
        <v>69139350</v>
      </c>
      <c r="CX11" s="230">
        <v>410550</v>
      </c>
      <c r="CY11" s="229">
        <v>5.8999999999999999E-3</v>
      </c>
      <c r="CZ11" s="228">
        <v>19.47</v>
      </c>
      <c r="DA11" s="228">
        <v>19.16</v>
      </c>
      <c r="DB11" s="228">
        <v>0.31</v>
      </c>
      <c r="DC11" s="228">
        <v>0.31</v>
      </c>
      <c r="DD11" s="228">
        <v>31.76</v>
      </c>
      <c r="DE11" s="228">
        <v>31.79</v>
      </c>
      <c r="DF11" s="228">
        <v>-12.29</v>
      </c>
      <c r="DG11" s="228">
        <v>-0.03</v>
      </c>
      <c r="DH11" s="228">
        <v>19.66</v>
      </c>
      <c r="DI11" s="228">
        <v>18.809999999999999</v>
      </c>
      <c r="DJ11" s="228">
        <v>0.85</v>
      </c>
      <c r="DK11" s="228">
        <v>0.85</v>
      </c>
      <c r="DL11" s="228">
        <v>19.04</v>
      </c>
      <c r="DM11" s="228">
        <v>19.739999999999998</v>
      </c>
      <c r="DN11" s="228">
        <v>-0.7</v>
      </c>
      <c r="DO11" s="228">
        <v>-0.7</v>
      </c>
      <c r="DP11" s="228">
        <v>0.81</v>
      </c>
      <c r="DQ11" s="228">
        <v>0.86</v>
      </c>
      <c r="DR11" s="228">
        <v>-0.05</v>
      </c>
      <c r="DS11" s="229">
        <v>-5.8099999999999999E-2</v>
      </c>
      <c r="DT11" s="228">
        <v>550</v>
      </c>
      <c r="DU11" s="228">
        <v>550</v>
      </c>
      <c r="DV11" s="228">
        <v>0.45</v>
      </c>
      <c r="DW11" s="228">
        <v>0.6</v>
      </c>
      <c r="DX11" s="228">
        <v>-0.15</v>
      </c>
      <c r="DY11" s="229">
        <v>-0.25</v>
      </c>
      <c r="DZ11" s="229">
        <v>3.5700000000000003E-2</v>
      </c>
      <c r="EA11" s="230">
        <v>1640100</v>
      </c>
      <c r="EB11" s="229">
        <v>5.4000000000000003E-3</v>
      </c>
      <c r="EC11" s="229">
        <v>3.5700000000000003E-2</v>
      </c>
      <c r="ED11" s="228">
        <v>3.07</v>
      </c>
      <c r="EE11" s="229">
        <v>5.5999999999999999E-3</v>
      </c>
      <c r="EF11" s="230">
        <v>259502</v>
      </c>
      <c r="EG11" s="230">
        <v>1265690</v>
      </c>
      <c r="EH11" s="229">
        <v>-0.79500000000000004</v>
      </c>
      <c r="EI11" s="229">
        <v>0.48509999999999998</v>
      </c>
      <c r="EJ11" s="231">
        <v>30228.44</v>
      </c>
      <c r="EK11" s="231">
        <v>13152.01</v>
      </c>
      <c r="EL11" s="231">
        <v>12673.97</v>
      </c>
      <c r="EM11" s="231">
        <v>4225</v>
      </c>
      <c r="EN11" s="231">
        <v>56054.42</v>
      </c>
      <c r="EO11" s="231">
        <v>81651.839999999997</v>
      </c>
      <c r="EP11" s="231">
        <v>-25597.42</v>
      </c>
      <c r="EQ11" s="229">
        <v>-0.3135</v>
      </c>
      <c r="ER11" s="231">
        <v>67355</v>
      </c>
      <c r="ES11" s="231">
        <v>53412</v>
      </c>
      <c r="ET11" s="231">
        <v>260406</v>
      </c>
      <c r="EU11" s="231">
        <v>119762774</v>
      </c>
      <c r="EV11" s="231">
        <v>381173</v>
      </c>
      <c r="EW11" s="231">
        <v>382552</v>
      </c>
      <c r="EX11" s="231">
        <v>-1379</v>
      </c>
      <c r="EY11" s="229">
        <v>-3.5999999999999999E-3</v>
      </c>
      <c r="EZ11" s="229">
        <v>0.58069999999999999</v>
      </c>
      <c r="FA11" s="227" t="s">
        <v>568</v>
      </c>
      <c r="FB11" s="161">
        <f t="shared" si="0"/>
        <v>1716750</v>
      </c>
    </row>
    <row r="12" spans="1:158" ht="17.25" hidden="1" thickBot="1" x14ac:dyDescent="0.3">
      <c r="A12" s="226">
        <v>46008</v>
      </c>
      <c r="B12" s="227" t="s">
        <v>175</v>
      </c>
      <c r="C12" s="227" t="s">
        <v>609</v>
      </c>
      <c r="D12" s="228">
        <v>250</v>
      </c>
      <c r="E12" s="231">
        <v>2478.9</v>
      </c>
      <c r="F12" s="231">
        <v>2507.6</v>
      </c>
      <c r="G12" s="228">
        <v>-28.7</v>
      </c>
      <c r="H12" s="229">
        <v>-1.14E-2</v>
      </c>
      <c r="I12" s="231">
        <v>2504.6</v>
      </c>
      <c r="J12" s="231">
        <v>2532.4</v>
      </c>
      <c r="K12" s="228">
        <v>-27.8</v>
      </c>
      <c r="L12" s="229">
        <v>-1.0999999999999999E-2</v>
      </c>
      <c r="M12" s="231">
        <v>2478.9</v>
      </c>
      <c r="N12" s="231">
        <v>2507.6</v>
      </c>
      <c r="O12" s="228">
        <v>-28.7</v>
      </c>
      <c r="P12" s="229">
        <v>-1.14E-2</v>
      </c>
      <c r="Q12" s="231">
        <v>2437.8000000000002</v>
      </c>
      <c r="R12" s="231">
        <v>2470.3000000000002</v>
      </c>
      <c r="S12" s="228">
        <v>-32.5</v>
      </c>
      <c r="T12" s="229">
        <v>-1.32E-2</v>
      </c>
      <c r="U12" s="231">
        <v>2428</v>
      </c>
      <c r="V12" s="231">
        <v>2480</v>
      </c>
      <c r="W12" s="228">
        <v>-52</v>
      </c>
      <c r="X12" s="229">
        <v>-2.1000000000000001E-2</v>
      </c>
      <c r="Y12" s="228">
        <v>-25.7</v>
      </c>
      <c r="Z12" s="228">
        <v>-24.8</v>
      </c>
      <c r="AA12" s="228">
        <v>-0.9</v>
      </c>
      <c r="AB12" s="229">
        <v>-1.03E-2</v>
      </c>
      <c r="AC12" s="228">
        <v>-25.7</v>
      </c>
      <c r="AD12" s="228">
        <v>-24.8</v>
      </c>
      <c r="AE12" s="228">
        <v>-0.9</v>
      </c>
      <c r="AF12" s="229">
        <v>-1.03E-2</v>
      </c>
      <c r="AG12" s="228">
        <v>-66.8</v>
      </c>
      <c r="AH12" s="228">
        <v>-62.1</v>
      </c>
      <c r="AI12" s="228">
        <v>-4.7</v>
      </c>
      <c r="AJ12" s="229">
        <v>-2.6700000000000002E-2</v>
      </c>
      <c r="AK12" s="228">
        <v>-76.599999999999994</v>
      </c>
      <c r="AL12" s="228">
        <v>-52.4</v>
      </c>
      <c r="AM12" s="228">
        <v>-24.2</v>
      </c>
      <c r="AN12" s="229">
        <v>-3.0599999999999999E-2</v>
      </c>
      <c r="AO12" s="231">
        <v>2486.4499999999998</v>
      </c>
      <c r="AP12" s="231">
        <v>2445.06</v>
      </c>
      <c r="AQ12" s="228">
        <v>0</v>
      </c>
      <c r="AR12" s="230">
        <v>931500</v>
      </c>
      <c r="AS12" s="230">
        <v>889250</v>
      </c>
      <c r="AT12" s="230">
        <v>42250</v>
      </c>
      <c r="AU12" s="229">
        <v>4.7500000000000001E-2</v>
      </c>
      <c r="AV12" s="230">
        <v>649000</v>
      </c>
      <c r="AW12" s="230">
        <v>750250</v>
      </c>
      <c r="AX12" s="230">
        <v>-101250</v>
      </c>
      <c r="AY12" s="229">
        <v>-0.13500000000000001</v>
      </c>
      <c r="AZ12" s="230">
        <v>271750</v>
      </c>
      <c r="BA12" s="230">
        <v>137750</v>
      </c>
      <c r="BB12" s="230">
        <v>134000</v>
      </c>
      <c r="BC12" s="229">
        <v>0.9728</v>
      </c>
      <c r="BD12" s="230">
        <v>10750</v>
      </c>
      <c r="BE12" s="230">
        <v>1250</v>
      </c>
      <c r="BF12" s="230">
        <v>9500</v>
      </c>
      <c r="BG12" s="229">
        <v>7.6</v>
      </c>
      <c r="BH12" s="230">
        <v>3892250</v>
      </c>
      <c r="BI12" s="230">
        <v>3535750</v>
      </c>
      <c r="BJ12" s="230">
        <v>356500</v>
      </c>
      <c r="BK12" s="229">
        <v>0.1008</v>
      </c>
      <c r="BL12" s="230">
        <v>1567750</v>
      </c>
      <c r="BM12" s="230">
        <v>1801250</v>
      </c>
      <c r="BN12" s="230">
        <v>-233500</v>
      </c>
      <c r="BO12" s="229">
        <v>-0.12959999999999999</v>
      </c>
      <c r="BP12" s="230">
        <v>6391500</v>
      </c>
      <c r="BQ12" s="230">
        <v>6226250</v>
      </c>
      <c r="BR12" s="230">
        <v>165250</v>
      </c>
      <c r="BS12" s="229">
        <v>2.6499999999999999E-2</v>
      </c>
      <c r="BT12" s="230">
        <v>319925</v>
      </c>
      <c r="BU12" s="230">
        <v>375194</v>
      </c>
      <c r="BV12" s="230">
        <v>-55269</v>
      </c>
      <c r="BW12" s="229">
        <v>-0.14729999999999999</v>
      </c>
      <c r="BX12" s="230">
        <v>4211250</v>
      </c>
      <c r="BY12" s="230">
        <v>4109250</v>
      </c>
      <c r="BZ12" s="230">
        <v>102000</v>
      </c>
      <c r="CA12" s="229">
        <v>2.4799999999999999E-2</v>
      </c>
      <c r="CB12" s="230">
        <v>3634500</v>
      </c>
      <c r="CC12" s="230">
        <v>3604750</v>
      </c>
      <c r="CD12" s="230">
        <v>29750</v>
      </c>
      <c r="CE12" s="229">
        <v>8.3000000000000001E-3</v>
      </c>
      <c r="CF12" s="230">
        <v>534000</v>
      </c>
      <c r="CG12" s="230">
        <v>466500</v>
      </c>
      <c r="CH12" s="230">
        <v>67500</v>
      </c>
      <c r="CI12" s="229">
        <v>0.1447</v>
      </c>
      <c r="CJ12" s="230">
        <v>42750</v>
      </c>
      <c r="CK12" s="230">
        <v>38000</v>
      </c>
      <c r="CL12" s="230">
        <v>4750</v>
      </c>
      <c r="CM12" s="229">
        <v>0.125</v>
      </c>
      <c r="CN12" s="230">
        <v>5140000</v>
      </c>
      <c r="CO12" s="230">
        <v>4878750</v>
      </c>
      <c r="CP12" s="230">
        <v>261250</v>
      </c>
      <c r="CQ12" s="229">
        <v>5.3499999999999999E-2</v>
      </c>
      <c r="CR12" s="230">
        <v>2095500</v>
      </c>
      <c r="CS12" s="230">
        <v>2088000</v>
      </c>
      <c r="CT12" s="230">
        <v>7500</v>
      </c>
      <c r="CU12" s="229">
        <v>3.5999999999999999E-3</v>
      </c>
      <c r="CV12" s="230">
        <v>11446750</v>
      </c>
      <c r="CW12" s="230">
        <v>11076000</v>
      </c>
      <c r="CX12" s="230">
        <v>370750</v>
      </c>
      <c r="CY12" s="229">
        <v>3.3500000000000002E-2</v>
      </c>
      <c r="CZ12" s="228">
        <v>37.11</v>
      </c>
      <c r="DA12" s="228">
        <v>36.590000000000003</v>
      </c>
      <c r="DB12" s="228">
        <v>0.52</v>
      </c>
      <c r="DC12" s="228">
        <v>0.52</v>
      </c>
      <c r="DD12" s="228">
        <v>52.89</v>
      </c>
      <c r="DE12" s="228">
        <v>53</v>
      </c>
      <c r="DF12" s="228">
        <v>-15.78</v>
      </c>
      <c r="DG12" s="228">
        <v>-0.11</v>
      </c>
      <c r="DH12" s="228">
        <v>37.869999999999997</v>
      </c>
      <c r="DI12" s="228">
        <v>37.270000000000003</v>
      </c>
      <c r="DJ12" s="228">
        <v>0.6</v>
      </c>
      <c r="DK12" s="228">
        <v>0.6</v>
      </c>
      <c r="DL12" s="228">
        <v>35.229999999999997</v>
      </c>
      <c r="DM12" s="228">
        <v>35.270000000000003</v>
      </c>
      <c r="DN12" s="228">
        <v>-0.04</v>
      </c>
      <c r="DO12" s="228">
        <v>-0.04</v>
      </c>
      <c r="DP12" s="228">
        <v>0.41</v>
      </c>
      <c r="DQ12" s="228">
        <v>0.43</v>
      </c>
      <c r="DR12" s="228">
        <v>-0.02</v>
      </c>
      <c r="DS12" s="229">
        <v>-4.65E-2</v>
      </c>
      <c r="DT12" s="231">
        <v>2800</v>
      </c>
      <c r="DU12" s="231">
        <v>2500</v>
      </c>
      <c r="DV12" s="228">
        <v>0.4</v>
      </c>
      <c r="DW12" s="228">
        <v>0.51</v>
      </c>
      <c r="DX12" s="228">
        <v>-0.11</v>
      </c>
      <c r="DY12" s="229">
        <v>-0.2157</v>
      </c>
      <c r="DZ12" s="229">
        <v>0.13700000000000001</v>
      </c>
      <c r="EA12" s="230">
        <v>504500</v>
      </c>
      <c r="EB12" s="229">
        <v>-1.66E-2</v>
      </c>
      <c r="EC12" s="229">
        <v>0.13700000000000001</v>
      </c>
      <c r="ED12" s="228">
        <v>-41.39</v>
      </c>
      <c r="EE12" s="229">
        <v>-1.66E-2</v>
      </c>
      <c r="EF12" s="230">
        <v>60137</v>
      </c>
      <c r="EG12" s="230">
        <v>89976</v>
      </c>
      <c r="EH12" s="229">
        <v>-0.33160000000000001</v>
      </c>
      <c r="EI12" s="229">
        <v>0.188</v>
      </c>
      <c r="EJ12" s="231">
        <v>105030.73</v>
      </c>
      <c r="EK12" s="231">
        <v>39160.339999999997</v>
      </c>
      <c r="EL12" s="231">
        <v>23043.81</v>
      </c>
      <c r="EM12" s="231">
        <v>3628</v>
      </c>
      <c r="EN12" s="231">
        <v>167234.88</v>
      </c>
      <c r="EO12" s="231">
        <v>163295.42000000001</v>
      </c>
      <c r="EP12" s="231">
        <v>3939.46</v>
      </c>
      <c r="EQ12" s="229">
        <v>2.41E-2</v>
      </c>
      <c r="ER12" s="231">
        <v>141973</v>
      </c>
      <c r="ES12" s="231">
        <v>52264</v>
      </c>
      <c r="ET12" s="231">
        <v>104151</v>
      </c>
      <c r="EU12" s="231">
        <v>9647634</v>
      </c>
      <c r="EV12" s="231">
        <v>298389</v>
      </c>
      <c r="EW12" s="231">
        <v>290375</v>
      </c>
      <c r="EX12" s="231">
        <v>8014</v>
      </c>
      <c r="EY12" s="229">
        <v>2.76E-2</v>
      </c>
      <c r="EZ12" s="229">
        <v>1.1865000000000001</v>
      </c>
      <c r="FA12" s="227" t="s">
        <v>567</v>
      </c>
      <c r="FB12" s="161">
        <f t="shared" si="0"/>
        <v>576750</v>
      </c>
    </row>
    <row r="13" spans="1:158" ht="17.25" hidden="1" thickBot="1" x14ac:dyDescent="0.3">
      <c r="A13" s="226">
        <v>46008</v>
      </c>
      <c r="B13" s="227" t="s">
        <v>227</v>
      </c>
      <c r="C13" s="227" t="s">
        <v>598</v>
      </c>
      <c r="D13" s="228">
        <v>350</v>
      </c>
      <c r="E13" s="231">
        <v>1769.5</v>
      </c>
      <c r="F13" s="231">
        <v>1737.1</v>
      </c>
      <c r="G13" s="228">
        <v>32.4</v>
      </c>
      <c r="H13" s="229">
        <v>1.8700000000000001E-2</v>
      </c>
      <c r="I13" s="231">
        <v>1764.5</v>
      </c>
      <c r="J13" s="231">
        <v>1732.9</v>
      </c>
      <c r="K13" s="228">
        <v>31.6</v>
      </c>
      <c r="L13" s="229">
        <v>1.8200000000000001E-2</v>
      </c>
      <c r="M13" s="231">
        <v>1769.5</v>
      </c>
      <c r="N13" s="231">
        <v>1737.1</v>
      </c>
      <c r="O13" s="228">
        <v>32.4</v>
      </c>
      <c r="P13" s="229">
        <v>1.8700000000000001E-2</v>
      </c>
      <c r="Q13" s="231">
        <v>1778.5</v>
      </c>
      <c r="R13" s="231">
        <v>1747</v>
      </c>
      <c r="S13" s="228">
        <v>31.5</v>
      </c>
      <c r="T13" s="229">
        <v>1.7999999999999999E-2</v>
      </c>
      <c r="U13" s="231">
        <v>1791</v>
      </c>
      <c r="V13" s="231">
        <v>1752.2</v>
      </c>
      <c r="W13" s="228">
        <v>38.799999999999997</v>
      </c>
      <c r="X13" s="229">
        <v>2.2100000000000002E-2</v>
      </c>
      <c r="Y13" s="228">
        <v>5</v>
      </c>
      <c r="Z13" s="228">
        <v>4.2</v>
      </c>
      <c r="AA13" s="228">
        <v>0.8</v>
      </c>
      <c r="AB13" s="229">
        <v>2.8E-3</v>
      </c>
      <c r="AC13" s="228">
        <v>5</v>
      </c>
      <c r="AD13" s="228">
        <v>4.2</v>
      </c>
      <c r="AE13" s="228">
        <v>0.8</v>
      </c>
      <c r="AF13" s="229">
        <v>2.8E-3</v>
      </c>
      <c r="AG13" s="228">
        <v>14</v>
      </c>
      <c r="AH13" s="228">
        <v>14.1</v>
      </c>
      <c r="AI13" s="228">
        <v>-0.1</v>
      </c>
      <c r="AJ13" s="229">
        <v>7.9000000000000008E-3</v>
      </c>
      <c r="AK13" s="228">
        <v>26.5</v>
      </c>
      <c r="AL13" s="228">
        <v>19.3</v>
      </c>
      <c r="AM13" s="228">
        <v>7.2</v>
      </c>
      <c r="AN13" s="229">
        <v>1.4999999999999999E-2</v>
      </c>
      <c r="AO13" s="231">
        <v>1761.4</v>
      </c>
      <c r="AP13" s="231">
        <v>1763.91</v>
      </c>
      <c r="AQ13" s="228">
        <v>0</v>
      </c>
      <c r="AR13" s="230">
        <v>1292550</v>
      </c>
      <c r="AS13" s="230">
        <v>557200</v>
      </c>
      <c r="AT13" s="230">
        <v>735350</v>
      </c>
      <c r="AU13" s="229">
        <v>1.3197000000000001</v>
      </c>
      <c r="AV13" s="230">
        <v>1087800</v>
      </c>
      <c r="AW13" s="230">
        <v>454300</v>
      </c>
      <c r="AX13" s="230">
        <v>633500</v>
      </c>
      <c r="AY13" s="229">
        <v>1.3945000000000001</v>
      </c>
      <c r="AZ13" s="230">
        <v>200900</v>
      </c>
      <c r="BA13" s="230">
        <v>102200</v>
      </c>
      <c r="BB13" s="230">
        <v>98700</v>
      </c>
      <c r="BC13" s="229">
        <v>0.96579999999999999</v>
      </c>
      <c r="BD13" s="230">
        <v>3850</v>
      </c>
      <c r="BE13" s="228">
        <v>700</v>
      </c>
      <c r="BF13" s="230">
        <v>3150</v>
      </c>
      <c r="BG13" s="229">
        <v>4.5</v>
      </c>
      <c r="BH13" s="230">
        <v>5972400</v>
      </c>
      <c r="BI13" s="230">
        <v>548800</v>
      </c>
      <c r="BJ13" s="230">
        <v>5423600</v>
      </c>
      <c r="BK13" s="229">
        <v>9.8826999999999998</v>
      </c>
      <c r="BL13" s="230">
        <v>1913800</v>
      </c>
      <c r="BM13" s="230">
        <v>216650</v>
      </c>
      <c r="BN13" s="230">
        <v>1697150</v>
      </c>
      <c r="BO13" s="229">
        <v>7.8335999999999997</v>
      </c>
      <c r="BP13" s="230">
        <v>9178750</v>
      </c>
      <c r="BQ13" s="230">
        <v>1322650</v>
      </c>
      <c r="BR13" s="230">
        <v>7856100</v>
      </c>
      <c r="BS13" s="229">
        <v>5.9397000000000002</v>
      </c>
      <c r="BT13" s="230">
        <v>768856</v>
      </c>
      <c r="BU13" s="230">
        <v>601766</v>
      </c>
      <c r="BV13" s="230">
        <v>167090</v>
      </c>
      <c r="BW13" s="229">
        <v>0.2777</v>
      </c>
      <c r="BX13" s="230">
        <v>7853300</v>
      </c>
      <c r="BY13" s="230">
        <v>7750750</v>
      </c>
      <c r="BZ13" s="230">
        <v>102550</v>
      </c>
      <c r="CA13" s="229">
        <v>1.32E-2</v>
      </c>
      <c r="CB13" s="230">
        <v>7556150</v>
      </c>
      <c r="CC13" s="230">
        <v>7493850</v>
      </c>
      <c r="CD13" s="230">
        <v>62300</v>
      </c>
      <c r="CE13" s="229">
        <v>8.3000000000000001E-3</v>
      </c>
      <c r="CF13" s="230">
        <v>255150</v>
      </c>
      <c r="CG13" s="230">
        <v>215600</v>
      </c>
      <c r="CH13" s="230">
        <v>39550</v>
      </c>
      <c r="CI13" s="229">
        <v>0.18340000000000001</v>
      </c>
      <c r="CJ13" s="230">
        <v>42000</v>
      </c>
      <c r="CK13" s="230">
        <v>41300</v>
      </c>
      <c r="CL13" s="228">
        <v>700</v>
      </c>
      <c r="CM13" s="229">
        <v>1.6899999999999998E-2</v>
      </c>
      <c r="CN13" s="230">
        <v>1142750</v>
      </c>
      <c r="CO13" s="230">
        <v>1006950</v>
      </c>
      <c r="CP13" s="230">
        <v>135800</v>
      </c>
      <c r="CQ13" s="229">
        <v>0.13489999999999999</v>
      </c>
      <c r="CR13" s="230">
        <v>862050</v>
      </c>
      <c r="CS13" s="230">
        <v>879550</v>
      </c>
      <c r="CT13" s="230">
        <v>-17500</v>
      </c>
      <c r="CU13" s="229">
        <v>-1.9900000000000001E-2</v>
      </c>
      <c r="CV13" s="230">
        <v>9858100</v>
      </c>
      <c r="CW13" s="230">
        <v>9637250</v>
      </c>
      <c r="CX13" s="230">
        <v>220850</v>
      </c>
      <c r="CY13" s="229">
        <v>2.29E-2</v>
      </c>
      <c r="CZ13" s="228">
        <v>19.13</v>
      </c>
      <c r="DA13" s="228">
        <v>17.93</v>
      </c>
      <c r="DB13" s="228">
        <v>1.2</v>
      </c>
      <c r="DC13" s="228">
        <v>1.2</v>
      </c>
      <c r="DD13" s="228">
        <v>32.25</v>
      </c>
      <c r="DE13" s="228">
        <v>32.24</v>
      </c>
      <c r="DF13" s="228">
        <v>-13.12</v>
      </c>
      <c r="DG13" s="228">
        <v>0.01</v>
      </c>
      <c r="DH13" s="228">
        <v>19.07</v>
      </c>
      <c r="DI13" s="228">
        <v>18.170000000000002</v>
      </c>
      <c r="DJ13" s="228">
        <v>0.9</v>
      </c>
      <c r="DK13" s="228">
        <v>0.9</v>
      </c>
      <c r="DL13" s="228">
        <v>19.34</v>
      </c>
      <c r="DM13" s="228">
        <v>17.329999999999998</v>
      </c>
      <c r="DN13" s="228">
        <v>2.0099999999999998</v>
      </c>
      <c r="DO13" s="228">
        <v>2.0099999999999998</v>
      </c>
      <c r="DP13" s="228">
        <v>0.75</v>
      </c>
      <c r="DQ13" s="228">
        <v>0.87</v>
      </c>
      <c r="DR13" s="228">
        <v>-0.12</v>
      </c>
      <c r="DS13" s="229">
        <v>-0.13789999999999999</v>
      </c>
      <c r="DT13" s="231">
        <v>1760</v>
      </c>
      <c r="DU13" s="231">
        <v>1700</v>
      </c>
      <c r="DV13" s="228">
        <v>0.32</v>
      </c>
      <c r="DW13" s="228">
        <v>0.39</v>
      </c>
      <c r="DX13" s="228">
        <v>-7.0000000000000007E-2</v>
      </c>
      <c r="DY13" s="229">
        <v>-0.17949999999999999</v>
      </c>
      <c r="DZ13" s="229">
        <v>3.78E-2</v>
      </c>
      <c r="EA13" s="230">
        <v>256900</v>
      </c>
      <c r="EB13" s="229">
        <v>5.1000000000000004E-3</v>
      </c>
      <c r="EC13" s="229">
        <v>3.78E-2</v>
      </c>
      <c r="ED13" s="228">
        <v>2.5099999999999998</v>
      </c>
      <c r="EE13" s="229">
        <v>1.4E-3</v>
      </c>
      <c r="EF13" s="230">
        <v>407045</v>
      </c>
      <c r="EG13" s="230">
        <v>445198</v>
      </c>
      <c r="EH13" s="229">
        <v>-8.5699999999999998E-2</v>
      </c>
      <c r="EI13" s="229">
        <v>0.52939999999999998</v>
      </c>
      <c r="EJ13" s="231">
        <v>107851.61</v>
      </c>
      <c r="EK13" s="231">
        <v>33433.99</v>
      </c>
      <c r="EL13" s="231">
        <v>22772.639999999999</v>
      </c>
      <c r="EM13" s="231">
        <v>1882</v>
      </c>
      <c r="EN13" s="231">
        <v>164058.23999999999</v>
      </c>
      <c r="EO13" s="231">
        <v>23252.82</v>
      </c>
      <c r="EP13" s="231">
        <v>140805.42000000001</v>
      </c>
      <c r="EQ13" s="229">
        <v>6.0553999999999997</v>
      </c>
      <c r="ER13" s="231">
        <v>20535</v>
      </c>
      <c r="ES13" s="231">
        <v>14740</v>
      </c>
      <c r="ET13" s="231">
        <v>138996</v>
      </c>
      <c r="EU13" s="231">
        <v>27232196</v>
      </c>
      <c r="EV13" s="231">
        <v>174272</v>
      </c>
      <c r="EW13" s="231">
        <v>167778</v>
      </c>
      <c r="EX13" s="231">
        <v>6494</v>
      </c>
      <c r="EY13" s="229">
        <v>3.8699999999999998E-2</v>
      </c>
      <c r="EZ13" s="229">
        <v>0.36199999999999999</v>
      </c>
      <c r="FA13" s="227" t="s">
        <v>555</v>
      </c>
      <c r="FB13" s="161">
        <f t="shared" si="0"/>
        <v>297150</v>
      </c>
    </row>
    <row r="14" spans="1:158" ht="17.25" hidden="1" thickBot="1" x14ac:dyDescent="0.3">
      <c r="A14" s="226">
        <v>46008</v>
      </c>
      <c r="B14" s="227" t="s">
        <v>170</v>
      </c>
      <c r="C14" s="227" t="s">
        <v>165</v>
      </c>
      <c r="D14" s="228">
        <v>125</v>
      </c>
      <c r="E14" s="231">
        <v>6927.5</v>
      </c>
      <c r="F14" s="231">
        <v>7067.5</v>
      </c>
      <c r="G14" s="228">
        <v>-140</v>
      </c>
      <c r="H14" s="229">
        <v>-1.9800000000000002E-2</v>
      </c>
      <c r="I14" s="231">
        <v>6921.5</v>
      </c>
      <c r="J14" s="231">
        <v>7051.5</v>
      </c>
      <c r="K14" s="228">
        <v>-130</v>
      </c>
      <c r="L14" s="229">
        <v>-1.84E-2</v>
      </c>
      <c r="M14" s="231">
        <v>6927.5</v>
      </c>
      <c r="N14" s="231">
        <v>7067.5</v>
      </c>
      <c r="O14" s="228">
        <v>-140</v>
      </c>
      <c r="P14" s="229">
        <v>-1.9800000000000002E-2</v>
      </c>
      <c r="Q14" s="231">
        <v>6971</v>
      </c>
      <c r="R14" s="231">
        <v>7109.5</v>
      </c>
      <c r="S14" s="228">
        <v>-138.5</v>
      </c>
      <c r="T14" s="229">
        <v>-1.95E-2</v>
      </c>
      <c r="U14" s="231">
        <v>7003.5</v>
      </c>
      <c r="V14" s="231">
        <v>7143</v>
      </c>
      <c r="W14" s="228">
        <v>-139.5</v>
      </c>
      <c r="X14" s="229">
        <v>-1.95E-2</v>
      </c>
      <c r="Y14" s="228">
        <v>6</v>
      </c>
      <c r="Z14" s="228">
        <v>16</v>
      </c>
      <c r="AA14" s="228">
        <v>-10</v>
      </c>
      <c r="AB14" s="229">
        <v>8.9999999999999998E-4</v>
      </c>
      <c r="AC14" s="228">
        <v>6</v>
      </c>
      <c r="AD14" s="228">
        <v>16</v>
      </c>
      <c r="AE14" s="228">
        <v>-10</v>
      </c>
      <c r="AF14" s="229">
        <v>8.9999999999999998E-4</v>
      </c>
      <c r="AG14" s="228">
        <v>49.5</v>
      </c>
      <c r="AH14" s="228">
        <v>58</v>
      </c>
      <c r="AI14" s="228">
        <v>-8.5</v>
      </c>
      <c r="AJ14" s="229">
        <v>7.1999999999999998E-3</v>
      </c>
      <c r="AK14" s="228">
        <v>82</v>
      </c>
      <c r="AL14" s="228">
        <v>91.5</v>
      </c>
      <c r="AM14" s="228">
        <v>-9.5</v>
      </c>
      <c r="AN14" s="229">
        <v>1.18E-2</v>
      </c>
      <c r="AO14" s="231">
        <v>6971.12</v>
      </c>
      <c r="AP14" s="231">
        <v>7016</v>
      </c>
      <c r="AQ14" s="228">
        <v>0</v>
      </c>
      <c r="AR14" s="230">
        <v>527625</v>
      </c>
      <c r="AS14" s="230">
        <v>412750</v>
      </c>
      <c r="AT14" s="230">
        <v>114875</v>
      </c>
      <c r="AU14" s="229">
        <v>0.27829999999999999</v>
      </c>
      <c r="AV14" s="230">
        <v>432375</v>
      </c>
      <c r="AW14" s="230">
        <v>350625</v>
      </c>
      <c r="AX14" s="230">
        <v>81750</v>
      </c>
      <c r="AY14" s="229">
        <v>0.23319999999999999</v>
      </c>
      <c r="AZ14" s="230">
        <v>88375</v>
      </c>
      <c r="BA14" s="230">
        <v>58875</v>
      </c>
      <c r="BB14" s="230">
        <v>29500</v>
      </c>
      <c r="BC14" s="229">
        <v>0.50109999999999999</v>
      </c>
      <c r="BD14" s="230">
        <v>6875</v>
      </c>
      <c r="BE14" s="230">
        <v>3250</v>
      </c>
      <c r="BF14" s="230">
        <v>3625</v>
      </c>
      <c r="BG14" s="229">
        <v>1.1153999999999999</v>
      </c>
      <c r="BH14" s="230">
        <v>2951375</v>
      </c>
      <c r="BI14" s="230">
        <v>2853250</v>
      </c>
      <c r="BJ14" s="230">
        <v>98125</v>
      </c>
      <c r="BK14" s="229">
        <v>3.44E-2</v>
      </c>
      <c r="BL14" s="230">
        <v>1598125</v>
      </c>
      <c r="BM14" s="230">
        <v>695000</v>
      </c>
      <c r="BN14" s="230">
        <v>903125</v>
      </c>
      <c r="BO14" s="229">
        <v>1.2995000000000001</v>
      </c>
      <c r="BP14" s="230">
        <v>5077125</v>
      </c>
      <c r="BQ14" s="230">
        <v>3961000</v>
      </c>
      <c r="BR14" s="230">
        <v>1116125</v>
      </c>
      <c r="BS14" s="229">
        <v>0.28179999999999999</v>
      </c>
      <c r="BT14" s="230">
        <v>362937</v>
      </c>
      <c r="BU14" s="230">
        <v>399798</v>
      </c>
      <c r="BV14" s="230">
        <v>-36861</v>
      </c>
      <c r="BW14" s="229">
        <v>-9.2200000000000004E-2</v>
      </c>
      <c r="BX14" s="230">
        <v>3415500</v>
      </c>
      <c r="BY14" s="230">
        <v>3336625</v>
      </c>
      <c r="BZ14" s="230">
        <v>78875</v>
      </c>
      <c r="CA14" s="229">
        <v>2.3599999999999999E-2</v>
      </c>
      <c r="CB14" s="230">
        <v>3169500</v>
      </c>
      <c r="CC14" s="230">
        <v>3149750</v>
      </c>
      <c r="CD14" s="230">
        <v>19750</v>
      </c>
      <c r="CE14" s="229">
        <v>6.3E-3</v>
      </c>
      <c r="CF14" s="230">
        <v>229375</v>
      </c>
      <c r="CG14" s="230">
        <v>172875</v>
      </c>
      <c r="CH14" s="230">
        <v>56500</v>
      </c>
      <c r="CI14" s="229">
        <v>0.32679999999999998</v>
      </c>
      <c r="CJ14" s="230">
        <v>16625</v>
      </c>
      <c r="CK14" s="230">
        <v>14000</v>
      </c>
      <c r="CL14" s="230">
        <v>2625</v>
      </c>
      <c r="CM14" s="229">
        <v>0.1875</v>
      </c>
      <c r="CN14" s="230">
        <v>2414750</v>
      </c>
      <c r="CO14" s="230">
        <v>2117875</v>
      </c>
      <c r="CP14" s="230">
        <v>296875</v>
      </c>
      <c r="CQ14" s="229">
        <v>0.14019999999999999</v>
      </c>
      <c r="CR14" s="230">
        <v>1132125</v>
      </c>
      <c r="CS14" s="230">
        <v>1005250</v>
      </c>
      <c r="CT14" s="230">
        <v>126875</v>
      </c>
      <c r="CU14" s="229">
        <v>0.12620000000000001</v>
      </c>
      <c r="CV14" s="230">
        <v>6962375</v>
      </c>
      <c r="CW14" s="230">
        <v>6459750</v>
      </c>
      <c r="CX14" s="230">
        <v>502625</v>
      </c>
      <c r="CY14" s="229">
        <v>7.7799999999999994E-2</v>
      </c>
      <c r="CZ14" s="228">
        <v>18.34</v>
      </c>
      <c r="DA14" s="228">
        <v>17.09</v>
      </c>
      <c r="DB14" s="228">
        <v>1.25</v>
      </c>
      <c r="DC14" s="228">
        <v>1.25</v>
      </c>
      <c r="DD14" s="228">
        <v>24.97</v>
      </c>
      <c r="DE14" s="228">
        <v>24.9</v>
      </c>
      <c r="DF14" s="228">
        <v>-6.63</v>
      </c>
      <c r="DG14" s="228">
        <v>7.0000000000000007E-2</v>
      </c>
      <c r="DH14" s="228">
        <v>19.23</v>
      </c>
      <c r="DI14" s="228">
        <v>17.39</v>
      </c>
      <c r="DJ14" s="228">
        <v>1.84</v>
      </c>
      <c r="DK14" s="228">
        <v>1.84</v>
      </c>
      <c r="DL14" s="228">
        <v>16.68</v>
      </c>
      <c r="DM14" s="228">
        <v>15.85</v>
      </c>
      <c r="DN14" s="228">
        <v>0.83</v>
      </c>
      <c r="DO14" s="228">
        <v>0.83</v>
      </c>
      <c r="DP14" s="228">
        <v>0.47</v>
      </c>
      <c r="DQ14" s="228">
        <v>0.47</v>
      </c>
      <c r="DR14" s="228">
        <v>0</v>
      </c>
      <c r="DS14" s="229">
        <v>0</v>
      </c>
      <c r="DT14" s="231">
        <v>7500</v>
      </c>
      <c r="DU14" s="231">
        <v>7000</v>
      </c>
      <c r="DV14" s="228">
        <v>0.54</v>
      </c>
      <c r="DW14" s="228">
        <v>0.24</v>
      </c>
      <c r="DX14" s="228">
        <v>0.3</v>
      </c>
      <c r="DY14" s="229">
        <v>1.25</v>
      </c>
      <c r="DZ14" s="229">
        <v>7.1999999999999995E-2</v>
      </c>
      <c r="EA14" s="230">
        <v>186875</v>
      </c>
      <c r="EB14" s="229">
        <v>6.3E-3</v>
      </c>
      <c r="EC14" s="229">
        <v>7.1999999999999995E-2</v>
      </c>
      <c r="ED14" s="228">
        <v>44.88</v>
      </c>
      <c r="EE14" s="229">
        <v>6.4000000000000003E-3</v>
      </c>
      <c r="EF14" s="230">
        <v>245066</v>
      </c>
      <c r="EG14" s="230">
        <v>256571</v>
      </c>
      <c r="EH14" s="229">
        <v>-4.48E-2</v>
      </c>
      <c r="EI14" s="229">
        <v>0.67520000000000002</v>
      </c>
      <c r="EJ14" s="231">
        <v>213899.01</v>
      </c>
      <c r="EK14" s="231">
        <v>111823.47</v>
      </c>
      <c r="EL14" s="231">
        <v>36825.839999999997</v>
      </c>
      <c r="EM14" s="231">
        <v>2896</v>
      </c>
      <c r="EN14" s="231">
        <v>362548.32</v>
      </c>
      <c r="EO14" s="231">
        <v>286876.7</v>
      </c>
      <c r="EP14" s="231">
        <v>75671.62</v>
      </c>
      <c r="EQ14" s="229">
        <v>0.26379999999999998</v>
      </c>
      <c r="ER14" s="231">
        <v>178949</v>
      </c>
      <c r="ES14" s="231">
        <v>79793</v>
      </c>
      <c r="ET14" s="231">
        <v>236721</v>
      </c>
      <c r="EU14" s="231">
        <v>15240043</v>
      </c>
      <c r="EV14" s="231">
        <v>495464</v>
      </c>
      <c r="EW14" s="231">
        <v>465843</v>
      </c>
      <c r="EX14" s="231">
        <v>29621</v>
      </c>
      <c r="EY14" s="229">
        <v>6.3600000000000004E-2</v>
      </c>
      <c r="EZ14" s="229">
        <v>0.45679999999999998</v>
      </c>
      <c r="FA14" s="227" t="s">
        <v>567</v>
      </c>
      <c r="FB14" s="161">
        <f t="shared" si="0"/>
        <v>246000</v>
      </c>
    </row>
    <row r="15" spans="1:158" ht="17.25" hidden="1" thickBot="1" x14ac:dyDescent="0.3">
      <c r="A15" s="226">
        <v>46008</v>
      </c>
      <c r="B15" s="227" t="s">
        <v>162</v>
      </c>
      <c r="C15" s="227" t="s">
        <v>167</v>
      </c>
      <c r="D15" s="228">
        <v>5000</v>
      </c>
      <c r="E15" s="228">
        <v>166.15</v>
      </c>
      <c r="F15" s="228">
        <v>166.25</v>
      </c>
      <c r="G15" s="228">
        <v>-0.1</v>
      </c>
      <c r="H15" s="229">
        <v>-5.9999999999999995E-4</v>
      </c>
      <c r="I15" s="228">
        <v>166.14</v>
      </c>
      <c r="J15" s="228">
        <v>167.75</v>
      </c>
      <c r="K15" s="228">
        <v>-1.61</v>
      </c>
      <c r="L15" s="229">
        <v>-9.5999999999999992E-3</v>
      </c>
      <c r="M15" s="228">
        <v>166.15</v>
      </c>
      <c r="N15" s="228">
        <v>166.25</v>
      </c>
      <c r="O15" s="228">
        <v>-0.1</v>
      </c>
      <c r="P15" s="229">
        <v>-5.9999999999999995E-4</v>
      </c>
      <c r="Q15" s="228">
        <v>165.16</v>
      </c>
      <c r="R15" s="228">
        <v>165.25</v>
      </c>
      <c r="S15" s="228">
        <v>-0.09</v>
      </c>
      <c r="T15" s="229">
        <v>-5.0000000000000001E-4</v>
      </c>
      <c r="U15" s="228">
        <v>164.3</v>
      </c>
      <c r="V15" s="228">
        <v>164.37</v>
      </c>
      <c r="W15" s="228">
        <v>-7.0000000000000007E-2</v>
      </c>
      <c r="X15" s="229">
        <v>-4.0000000000000002E-4</v>
      </c>
      <c r="Y15" s="228">
        <v>0.01</v>
      </c>
      <c r="Z15" s="228">
        <v>-1.5</v>
      </c>
      <c r="AA15" s="228">
        <v>1.51</v>
      </c>
      <c r="AB15" s="229">
        <v>1E-4</v>
      </c>
      <c r="AC15" s="228">
        <v>0.01</v>
      </c>
      <c r="AD15" s="228">
        <v>-1.5</v>
      </c>
      <c r="AE15" s="228">
        <v>1.51</v>
      </c>
      <c r="AF15" s="229">
        <v>1E-4</v>
      </c>
      <c r="AG15" s="228">
        <v>-0.98</v>
      </c>
      <c r="AH15" s="228">
        <v>-2.5</v>
      </c>
      <c r="AI15" s="228">
        <v>1.52</v>
      </c>
      <c r="AJ15" s="229">
        <v>-5.8999999999999999E-3</v>
      </c>
      <c r="AK15" s="228">
        <v>-1.84</v>
      </c>
      <c r="AL15" s="228">
        <v>-3.38</v>
      </c>
      <c r="AM15" s="228">
        <v>1.54</v>
      </c>
      <c r="AN15" s="229">
        <v>-1.11E-2</v>
      </c>
      <c r="AO15" s="228">
        <v>165.73</v>
      </c>
      <c r="AP15" s="228">
        <v>164.73</v>
      </c>
      <c r="AQ15" s="228">
        <v>0</v>
      </c>
      <c r="AR15" s="230">
        <v>22080000</v>
      </c>
      <c r="AS15" s="230">
        <v>32140000</v>
      </c>
      <c r="AT15" s="230">
        <v>-10060000</v>
      </c>
      <c r="AU15" s="229">
        <v>-0.313</v>
      </c>
      <c r="AV15" s="230">
        <v>16930000</v>
      </c>
      <c r="AW15" s="230">
        <v>24915000</v>
      </c>
      <c r="AX15" s="230">
        <v>-7985000</v>
      </c>
      <c r="AY15" s="229">
        <v>-0.32050000000000001</v>
      </c>
      <c r="AZ15" s="230">
        <v>5050000</v>
      </c>
      <c r="BA15" s="230">
        <v>6885000</v>
      </c>
      <c r="BB15" s="230">
        <v>-1835000</v>
      </c>
      <c r="BC15" s="229">
        <v>-0.26650000000000001</v>
      </c>
      <c r="BD15" s="230">
        <v>100000</v>
      </c>
      <c r="BE15" s="230">
        <v>340000</v>
      </c>
      <c r="BF15" s="230">
        <v>-240000</v>
      </c>
      <c r="BG15" s="229">
        <v>-0.70589999999999997</v>
      </c>
      <c r="BH15" s="230">
        <v>61195000</v>
      </c>
      <c r="BI15" s="230">
        <v>126255000</v>
      </c>
      <c r="BJ15" s="230">
        <v>-65060000</v>
      </c>
      <c r="BK15" s="229">
        <v>-0.51529999999999998</v>
      </c>
      <c r="BL15" s="230">
        <v>40515000</v>
      </c>
      <c r="BM15" s="230">
        <v>60290000</v>
      </c>
      <c r="BN15" s="230">
        <v>-19775000</v>
      </c>
      <c r="BO15" s="229">
        <v>-0.32800000000000001</v>
      </c>
      <c r="BP15" s="230">
        <v>123790000</v>
      </c>
      <c r="BQ15" s="230">
        <v>218685000</v>
      </c>
      <c r="BR15" s="230">
        <v>-94895000</v>
      </c>
      <c r="BS15" s="229">
        <v>-0.43390000000000001</v>
      </c>
      <c r="BT15" s="230">
        <v>8504503</v>
      </c>
      <c r="BU15" s="230">
        <v>17944125</v>
      </c>
      <c r="BV15" s="230">
        <v>-9439622</v>
      </c>
      <c r="BW15" s="229">
        <v>-0.52610000000000001</v>
      </c>
      <c r="BX15" s="230">
        <v>159850000</v>
      </c>
      <c r="BY15" s="230">
        <v>157745000</v>
      </c>
      <c r="BZ15" s="230">
        <v>2105000</v>
      </c>
      <c r="CA15" s="229">
        <v>1.3299999999999999E-2</v>
      </c>
      <c r="CB15" s="230">
        <v>140925000</v>
      </c>
      <c r="CC15" s="230">
        <v>141635000</v>
      </c>
      <c r="CD15" s="230">
        <v>-710000</v>
      </c>
      <c r="CE15" s="229">
        <v>-5.0000000000000001E-3</v>
      </c>
      <c r="CF15" s="230">
        <v>18185000</v>
      </c>
      <c r="CG15" s="230">
        <v>15350000</v>
      </c>
      <c r="CH15" s="230">
        <v>2835000</v>
      </c>
      <c r="CI15" s="229">
        <v>0.1847</v>
      </c>
      <c r="CJ15" s="230">
        <v>740000</v>
      </c>
      <c r="CK15" s="230">
        <v>760000</v>
      </c>
      <c r="CL15" s="230">
        <v>-20000</v>
      </c>
      <c r="CM15" s="229">
        <v>-2.63E-2</v>
      </c>
      <c r="CN15" s="230">
        <v>67825000</v>
      </c>
      <c r="CO15" s="230">
        <v>68985000</v>
      </c>
      <c r="CP15" s="230">
        <v>-1160000</v>
      </c>
      <c r="CQ15" s="229">
        <v>-1.6799999999999999E-2</v>
      </c>
      <c r="CR15" s="230">
        <v>66175000</v>
      </c>
      <c r="CS15" s="230">
        <v>66225000</v>
      </c>
      <c r="CT15" s="230">
        <v>-50000</v>
      </c>
      <c r="CU15" s="229">
        <v>-8.0000000000000004E-4</v>
      </c>
      <c r="CV15" s="230">
        <v>293850000</v>
      </c>
      <c r="CW15" s="230">
        <v>292955000</v>
      </c>
      <c r="CX15" s="230">
        <v>895000</v>
      </c>
      <c r="CY15" s="229">
        <v>3.0999999999999999E-3</v>
      </c>
      <c r="CZ15" s="228">
        <v>22.84</v>
      </c>
      <c r="DA15" s="228">
        <v>23.17</v>
      </c>
      <c r="DB15" s="228">
        <v>-0.33</v>
      </c>
      <c r="DC15" s="228">
        <v>-0.33</v>
      </c>
      <c r="DD15" s="228">
        <v>35.1</v>
      </c>
      <c r="DE15" s="228">
        <v>35.159999999999997</v>
      </c>
      <c r="DF15" s="228">
        <v>-12.26</v>
      </c>
      <c r="DG15" s="228">
        <v>-0.06</v>
      </c>
      <c r="DH15" s="228">
        <v>22.22</v>
      </c>
      <c r="DI15" s="228">
        <v>22.72</v>
      </c>
      <c r="DJ15" s="228">
        <v>-0.5</v>
      </c>
      <c r="DK15" s="228">
        <v>-0.5</v>
      </c>
      <c r="DL15" s="228">
        <v>23.78</v>
      </c>
      <c r="DM15" s="228">
        <v>24.09</v>
      </c>
      <c r="DN15" s="228">
        <v>-0.31</v>
      </c>
      <c r="DO15" s="228">
        <v>-0.31</v>
      </c>
      <c r="DP15" s="228">
        <v>0.98</v>
      </c>
      <c r="DQ15" s="228">
        <v>0.96</v>
      </c>
      <c r="DR15" s="228">
        <v>0.02</v>
      </c>
      <c r="DS15" s="229">
        <v>2.0799999999999999E-2</v>
      </c>
      <c r="DT15" s="228">
        <v>170</v>
      </c>
      <c r="DU15" s="228">
        <v>160</v>
      </c>
      <c r="DV15" s="228">
        <v>0.66</v>
      </c>
      <c r="DW15" s="228">
        <v>0.48</v>
      </c>
      <c r="DX15" s="228">
        <v>0.18</v>
      </c>
      <c r="DY15" s="229">
        <v>0.375</v>
      </c>
      <c r="DZ15" s="229">
        <v>0.11840000000000001</v>
      </c>
      <c r="EA15" s="230">
        <v>16110000</v>
      </c>
      <c r="EB15" s="229">
        <v>-6.0000000000000001E-3</v>
      </c>
      <c r="EC15" s="229">
        <v>0.11840000000000001</v>
      </c>
      <c r="ED15" s="228">
        <v>-1</v>
      </c>
      <c r="EE15" s="229">
        <v>-6.0000000000000001E-3</v>
      </c>
      <c r="EF15" s="230">
        <v>4710344</v>
      </c>
      <c r="EG15" s="230">
        <v>9533513</v>
      </c>
      <c r="EH15" s="229">
        <v>-0.50590000000000002</v>
      </c>
      <c r="EI15" s="229">
        <v>0.55389999999999995</v>
      </c>
      <c r="EJ15" s="231">
        <v>104307.6</v>
      </c>
      <c r="EK15" s="231">
        <v>65806.02</v>
      </c>
      <c r="EL15" s="231">
        <v>36541.46</v>
      </c>
      <c r="EM15" s="231">
        <v>4970</v>
      </c>
      <c r="EN15" s="231">
        <v>206655.08</v>
      </c>
      <c r="EO15" s="231">
        <v>368127.91</v>
      </c>
      <c r="EP15" s="231">
        <v>-161472.82999999999</v>
      </c>
      <c r="EQ15" s="229">
        <v>-0.43859999999999999</v>
      </c>
      <c r="ER15" s="231">
        <v>111667</v>
      </c>
      <c r="ES15" s="231">
        <v>101672</v>
      </c>
      <c r="ET15" s="231">
        <v>265397</v>
      </c>
      <c r="EU15" s="231">
        <v>409181558</v>
      </c>
      <c r="EV15" s="231">
        <v>478736</v>
      </c>
      <c r="EW15" s="231">
        <v>477143</v>
      </c>
      <c r="EX15" s="231">
        <v>1593</v>
      </c>
      <c r="EY15" s="229">
        <v>3.3E-3</v>
      </c>
      <c r="EZ15" s="229">
        <v>0.71809999999999996</v>
      </c>
      <c r="FA15" s="227" t="s">
        <v>567</v>
      </c>
      <c r="FB15" s="161">
        <f t="shared" si="0"/>
        <v>18925000</v>
      </c>
    </row>
    <row r="16" spans="1:158" ht="17.25" hidden="1" thickBot="1" x14ac:dyDescent="0.3">
      <c r="A16" s="226">
        <v>46008</v>
      </c>
      <c r="B16" s="227" t="s">
        <v>168</v>
      </c>
      <c r="C16" s="227" t="s">
        <v>169</v>
      </c>
      <c r="D16" s="228">
        <v>250</v>
      </c>
      <c r="E16" s="231">
        <v>2785.6</v>
      </c>
      <c r="F16" s="231">
        <v>2792.4</v>
      </c>
      <c r="G16" s="228">
        <v>-6.8</v>
      </c>
      <c r="H16" s="229">
        <v>-2.3999999999999998E-3</v>
      </c>
      <c r="I16" s="231">
        <v>2785.7</v>
      </c>
      <c r="J16" s="231">
        <v>2790.9</v>
      </c>
      <c r="K16" s="228">
        <v>-5.2</v>
      </c>
      <c r="L16" s="229">
        <v>-1.9E-3</v>
      </c>
      <c r="M16" s="231">
        <v>2785.6</v>
      </c>
      <c r="N16" s="231">
        <v>2792.4</v>
      </c>
      <c r="O16" s="228">
        <v>-6.8</v>
      </c>
      <c r="P16" s="229">
        <v>-2.3999999999999998E-3</v>
      </c>
      <c r="Q16" s="231">
        <v>2803.3</v>
      </c>
      <c r="R16" s="231">
        <v>2808.9</v>
      </c>
      <c r="S16" s="228">
        <v>-5.6</v>
      </c>
      <c r="T16" s="229">
        <v>-2E-3</v>
      </c>
      <c r="U16" s="231">
        <v>2818.2</v>
      </c>
      <c r="V16" s="231">
        <v>2824.4</v>
      </c>
      <c r="W16" s="228">
        <v>-6.2</v>
      </c>
      <c r="X16" s="229">
        <v>-2.2000000000000001E-3</v>
      </c>
      <c r="Y16" s="228">
        <v>-0.1</v>
      </c>
      <c r="Z16" s="228">
        <v>1.5</v>
      </c>
      <c r="AA16" s="228">
        <v>-1.6</v>
      </c>
      <c r="AB16" s="229">
        <v>0</v>
      </c>
      <c r="AC16" s="228">
        <v>-0.1</v>
      </c>
      <c r="AD16" s="228">
        <v>1.5</v>
      </c>
      <c r="AE16" s="228">
        <v>-1.6</v>
      </c>
      <c r="AF16" s="229">
        <v>0</v>
      </c>
      <c r="AG16" s="228">
        <v>17.600000000000001</v>
      </c>
      <c r="AH16" s="228">
        <v>18</v>
      </c>
      <c r="AI16" s="228">
        <v>-0.4</v>
      </c>
      <c r="AJ16" s="229">
        <v>6.3E-3</v>
      </c>
      <c r="AK16" s="228">
        <v>32.5</v>
      </c>
      <c r="AL16" s="228">
        <v>33.5</v>
      </c>
      <c r="AM16" s="228">
        <v>-1</v>
      </c>
      <c r="AN16" s="229">
        <v>1.17E-2</v>
      </c>
      <c r="AO16" s="231">
        <v>2789.57</v>
      </c>
      <c r="AP16" s="231">
        <v>2803.96</v>
      </c>
      <c r="AQ16" s="228">
        <v>0</v>
      </c>
      <c r="AR16" s="230">
        <v>1192750</v>
      </c>
      <c r="AS16" s="230">
        <v>1359000</v>
      </c>
      <c r="AT16" s="230">
        <v>-166250</v>
      </c>
      <c r="AU16" s="229">
        <v>-0.12230000000000001</v>
      </c>
      <c r="AV16" s="230">
        <v>947500</v>
      </c>
      <c r="AW16" s="230">
        <v>1228000</v>
      </c>
      <c r="AX16" s="230">
        <v>-280500</v>
      </c>
      <c r="AY16" s="229">
        <v>-0.22839999999999999</v>
      </c>
      <c r="AZ16" s="230">
        <v>238500</v>
      </c>
      <c r="BA16" s="230">
        <v>120750</v>
      </c>
      <c r="BB16" s="230">
        <v>117750</v>
      </c>
      <c r="BC16" s="229">
        <v>0.97519999999999996</v>
      </c>
      <c r="BD16" s="230">
        <v>6750</v>
      </c>
      <c r="BE16" s="230">
        <v>10250</v>
      </c>
      <c r="BF16" s="230">
        <v>-3500</v>
      </c>
      <c r="BG16" s="229">
        <v>-0.34150000000000003</v>
      </c>
      <c r="BH16" s="230">
        <v>6514250</v>
      </c>
      <c r="BI16" s="230">
        <v>10653750</v>
      </c>
      <c r="BJ16" s="230">
        <v>-4139500</v>
      </c>
      <c r="BK16" s="229">
        <v>-0.38850000000000001</v>
      </c>
      <c r="BL16" s="230">
        <v>2485750</v>
      </c>
      <c r="BM16" s="230">
        <v>3604000</v>
      </c>
      <c r="BN16" s="230">
        <v>-1118250</v>
      </c>
      <c r="BO16" s="229">
        <v>-0.31030000000000002</v>
      </c>
      <c r="BP16" s="230">
        <v>10192750</v>
      </c>
      <c r="BQ16" s="230">
        <v>15616750</v>
      </c>
      <c r="BR16" s="230">
        <v>-5424000</v>
      </c>
      <c r="BS16" s="229">
        <v>-0.3473</v>
      </c>
      <c r="BT16" s="230">
        <v>658830</v>
      </c>
      <c r="BU16" s="230">
        <v>944242</v>
      </c>
      <c r="BV16" s="230">
        <v>-285412</v>
      </c>
      <c r="BW16" s="229">
        <v>-0.30230000000000001</v>
      </c>
      <c r="BX16" s="230">
        <v>12209750</v>
      </c>
      <c r="BY16" s="230">
        <v>12038250</v>
      </c>
      <c r="BZ16" s="230">
        <v>171500</v>
      </c>
      <c r="CA16" s="229">
        <v>1.4200000000000001E-2</v>
      </c>
      <c r="CB16" s="230">
        <v>11622000</v>
      </c>
      <c r="CC16" s="230">
        <v>11568500</v>
      </c>
      <c r="CD16" s="230">
        <v>53500</v>
      </c>
      <c r="CE16" s="229">
        <v>4.5999999999999999E-3</v>
      </c>
      <c r="CF16" s="230">
        <v>521000</v>
      </c>
      <c r="CG16" s="230">
        <v>402000</v>
      </c>
      <c r="CH16" s="230">
        <v>119000</v>
      </c>
      <c r="CI16" s="229">
        <v>0.29599999999999999</v>
      </c>
      <c r="CJ16" s="230">
        <v>66750</v>
      </c>
      <c r="CK16" s="230">
        <v>67750</v>
      </c>
      <c r="CL16" s="230">
        <v>-1000</v>
      </c>
      <c r="CM16" s="229">
        <v>-1.4800000000000001E-2</v>
      </c>
      <c r="CN16" s="230">
        <v>8883250</v>
      </c>
      <c r="CO16" s="230">
        <v>8915500</v>
      </c>
      <c r="CP16" s="230">
        <v>-32250</v>
      </c>
      <c r="CQ16" s="229">
        <v>-3.5999999999999999E-3</v>
      </c>
      <c r="CR16" s="230">
        <v>4535250</v>
      </c>
      <c r="CS16" s="230">
        <v>4615250</v>
      </c>
      <c r="CT16" s="230">
        <v>-80000</v>
      </c>
      <c r="CU16" s="229">
        <v>-1.7299999999999999E-2</v>
      </c>
      <c r="CV16" s="230">
        <v>25628250</v>
      </c>
      <c r="CW16" s="230">
        <v>25569000</v>
      </c>
      <c r="CX16" s="230">
        <v>59250</v>
      </c>
      <c r="CY16" s="229">
        <v>2.3E-3</v>
      </c>
      <c r="CZ16" s="228">
        <v>18.27</v>
      </c>
      <c r="DA16" s="228">
        <v>18.43</v>
      </c>
      <c r="DB16" s="228">
        <v>-0.16</v>
      </c>
      <c r="DC16" s="228">
        <v>-0.16</v>
      </c>
      <c r="DD16" s="228">
        <v>25.19</v>
      </c>
      <c r="DE16" s="228">
        <v>25.25</v>
      </c>
      <c r="DF16" s="228">
        <v>-6.92</v>
      </c>
      <c r="DG16" s="228">
        <v>-0.06</v>
      </c>
      <c r="DH16" s="228">
        <v>18.38</v>
      </c>
      <c r="DI16" s="228">
        <v>18.489999999999998</v>
      </c>
      <c r="DJ16" s="228">
        <v>-0.11</v>
      </c>
      <c r="DK16" s="228">
        <v>-0.11</v>
      </c>
      <c r="DL16" s="228">
        <v>17.97</v>
      </c>
      <c r="DM16" s="228">
        <v>18.260000000000002</v>
      </c>
      <c r="DN16" s="228">
        <v>-0.28999999999999998</v>
      </c>
      <c r="DO16" s="228">
        <v>-0.28999999999999998</v>
      </c>
      <c r="DP16" s="228">
        <v>0.51</v>
      </c>
      <c r="DQ16" s="228">
        <v>0.52</v>
      </c>
      <c r="DR16" s="228">
        <v>-0.01</v>
      </c>
      <c r="DS16" s="229">
        <v>-1.9199999999999998E-2</v>
      </c>
      <c r="DT16" s="231">
        <v>3000</v>
      </c>
      <c r="DU16" s="231">
        <v>2600</v>
      </c>
      <c r="DV16" s="228">
        <v>0.38</v>
      </c>
      <c r="DW16" s="228">
        <v>0.34</v>
      </c>
      <c r="DX16" s="228">
        <v>0.04</v>
      </c>
      <c r="DY16" s="229">
        <v>0.1176</v>
      </c>
      <c r="DZ16" s="229">
        <v>4.8099999999999997E-2</v>
      </c>
      <c r="EA16" s="230">
        <v>469750</v>
      </c>
      <c r="EB16" s="229">
        <v>6.4000000000000003E-3</v>
      </c>
      <c r="EC16" s="229">
        <v>4.8099999999999997E-2</v>
      </c>
      <c r="ED16" s="228">
        <v>14.39</v>
      </c>
      <c r="EE16" s="229">
        <v>5.1999999999999998E-3</v>
      </c>
      <c r="EF16" s="230">
        <v>426649</v>
      </c>
      <c r="EG16" s="230">
        <v>571805</v>
      </c>
      <c r="EH16" s="229">
        <v>-0.25390000000000001</v>
      </c>
      <c r="EI16" s="229">
        <v>0.64759999999999995</v>
      </c>
      <c r="EJ16" s="231">
        <v>187602.09</v>
      </c>
      <c r="EK16" s="231">
        <v>68832.88</v>
      </c>
      <c r="EL16" s="231">
        <v>33309.47</v>
      </c>
      <c r="EM16" s="231">
        <v>6170</v>
      </c>
      <c r="EN16" s="231">
        <v>289744.44</v>
      </c>
      <c r="EO16" s="231">
        <v>444454.89</v>
      </c>
      <c r="EP16" s="231">
        <v>-154710.45000000001</v>
      </c>
      <c r="EQ16" s="229">
        <v>-0.34810000000000002</v>
      </c>
      <c r="ER16" s="231">
        <v>261724</v>
      </c>
      <c r="ES16" s="231">
        <v>124232</v>
      </c>
      <c r="ET16" s="231">
        <v>340229</v>
      </c>
      <c r="EU16" s="231">
        <v>52357280</v>
      </c>
      <c r="EV16" s="231">
        <v>726185</v>
      </c>
      <c r="EW16" s="231">
        <v>725357</v>
      </c>
      <c r="EX16" s="228">
        <v>828</v>
      </c>
      <c r="EY16" s="229">
        <v>1.1000000000000001E-3</v>
      </c>
      <c r="EZ16" s="229">
        <v>0.48949999999999999</v>
      </c>
      <c r="FA16" s="227" t="s">
        <v>567</v>
      </c>
      <c r="FB16" s="161">
        <f t="shared" si="0"/>
        <v>587750</v>
      </c>
    </row>
    <row r="17" spans="1:158" ht="17.25" hidden="1" thickBot="1" x14ac:dyDescent="0.3">
      <c r="A17" s="226">
        <v>46008</v>
      </c>
      <c r="B17" s="227" t="s">
        <v>184</v>
      </c>
      <c r="C17" s="227" t="s">
        <v>503</v>
      </c>
      <c r="D17" s="228">
        <v>425</v>
      </c>
      <c r="E17" s="231">
        <v>1430.9</v>
      </c>
      <c r="F17" s="231">
        <v>1466.6</v>
      </c>
      <c r="G17" s="228">
        <v>-35.700000000000003</v>
      </c>
      <c r="H17" s="229">
        <v>-2.4299999999999999E-2</v>
      </c>
      <c r="I17" s="231">
        <v>1428.9</v>
      </c>
      <c r="J17" s="231">
        <v>1462.9</v>
      </c>
      <c r="K17" s="228">
        <v>-34</v>
      </c>
      <c r="L17" s="229">
        <v>-2.3199999999999998E-2</v>
      </c>
      <c r="M17" s="231">
        <v>1430.9</v>
      </c>
      <c r="N17" s="231">
        <v>1466.6</v>
      </c>
      <c r="O17" s="228">
        <v>-35.700000000000003</v>
      </c>
      <c r="P17" s="229">
        <v>-2.4299999999999999E-2</v>
      </c>
      <c r="Q17" s="231">
        <v>1433.6</v>
      </c>
      <c r="R17" s="231">
        <v>1470.4</v>
      </c>
      <c r="S17" s="228">
        <v>-36.799999999999997</v>
      </c>
      <c r="T17" s="229">
        <v>-2.5000000000000001E-2</v>
      </c>
      <c r="U17" s="231">
        <v>1436.3</v>
      </c>
      <c r="V17" s="231">
        <v>1472.3</v>
      </c>
      <c r="W17" s="228">
        <v>-36</v>
      </c>
      <c r="X17" s="229">
        <v>-2.4500000000000001E-2</v>
      </c>
      <c r="Y17" s="228">
        <v>2</v>
      </c>
      <c r="Z17" s="228">
        <v>3.7</v>
      </c>
      <c r="AA17" s="228">
        <v>-1.7</v>
      </c>
      <c r="AB17" s="229">
        <v>1.4E-3</v>
      </c>
      <c r="AC17" s="228">
        <v>2</v>
      </c>
      <c r="AD17" s="228">
        <v>3.7</v>
      </c>
      <c r="AE17" s="228">
        <v>-1.7</v>
      </c>
      <c r="AF17" s="229">
        <v>1.4E-3</v>
      </c>
      <c r="AG17" s="228">
        <v>4.7</v>
      </c>
      <c r="AH17" s="228">
        <v>7.5</v>
      </c>
      <c r="AI17" s="228">
        <v>-2.8</v>
      </c>
      <c r="AJ17" s="229">
        <v>3.3E-3</v>
      </c>
      <c r="AK17" s="228">
        <v>7.4</v>
      </c>
      <c r="AL17" s="228">
        <v>9.4</v>
      </c>
      <c r="AM17" s="228">
        <v>-2</v>
      </c>
      <c r="AN17" s="229">
        <v>5.1999999999999998E-3</v>
      </c>
      <c r="AO17" s="231">
        <v>1442.53</v>
      </c>
      <c r="AP17" s="231">
        <v>1444.52</v>
      </c>
      <c r="AQ17" s="228">
        <v>0</v>
      </c>
      <c r="AR17" s="230">
        <v>1251200</v>
      </c>
      <c r="AS17" s="230">
        <v>3603575</v>
      </c>
      <c r="AT17" s="230">
        <v>-2352375</v>
      </c>
      <c r="AU17" s="229">
        <v>-0.65280000000000005</v>
      </c>
      <c r="AV17" s="230">
        <v>1068875</v>
      </c>
      <c r="AW17" s="230">
        <v>2809250</v>
      </c>
      <c r="AX17" s="230">
        <v>-1740375</v>
      </c>
      <c r="AY17" s="229">
        <v>-0.61950000000000005</v>
      </c>
      <c r="AZ17" s="230">
        <v>172550</v>
      </c>
      <c r="BA17" s="230">
        <v>770525</v>
      </c>
      <c r="BB17" s="230">
        <v>-597975</v>
      </c>
      <c r="BC17" s="229">
        <v>-0.77610000000000001</v>
      </c>
      <c r="BD17" s="230">
        <v>9775</v>
      </c>
      <c r="BE17" s="230">
        <v>23800</v>
      </c>
      <c r="BF17" s="230">
        <v>-14025</v>
      </c>
      <c r="BG17" s="229">
        <v>-0.58930000000000005</v>
      </c>
      <c r="BH17" s="230">
        <v>4308225</v>
      </c>
      <c r="BI17" s="230">
        <v>14179700</v>
      </c>
      <c r="BJ17" s="230">
        <v>-9871475</v>
      </c>
      <c r="BK17" s="229">
        <v>-0.69620000000000004</v>
      </c>
      <c r="BL17" s="230">
        <v>3085500</v>
      </c>
      <c r="BM17" s="230">
        <v>6184600</v>
      </c>
      <c r="BN17" s="230">
        <v>-3099100</v>
      </c>
      <c r="BO17" s="229">
        <v>-0.50109999999999999</v>
      </c>
      <c r="BP17" s="230">
        <v>8644925</v>
      </c>
      <c r="BQ17" s="230">
        <v>23967875</v>
      </c>
      <c r="BR17" s="230">
        <v>-15322950</v>
      </c>
      <c r="BS17" s="229">
        <v>-0.63929999999999998</v>
      </c>
      <c r="BT17" s="230">
        <v>377870</v>
      </c>
      <c r="BU17" s="230">
        <v>844465</v>
      </c>
      <c r="BV17" s="230">
        <v>-466595</v>
      </c>
      <c r="BW17" s="229">
        <v>-0.55249999999999999</v>
      </c>
      <c r="BX17" s="230">
        <v>7620675</v>
      </c>
      <c r="BY17" s="230">
        <v>7682300</v>
      </c>
      <c r="BZ17" s="230">
        <v>-61625</v>
      </c>
      <c r="CA17" s="229">
        <v>-8.0000000000000002E-3</v>
      </c>
      <c r="CB17" s="230">
        <v>6908375</v>
      </c>
      <c r="CC17" s="230">
        <v>7006975</v>
      </c>
      <c r="CD17" s="230">
        <v>-98600</v>
      </c>
      <c r="CE17" s="229">
        <v>-1.41E-2</v>
      </c>
      <c r="CF17" s="230">
        <v>661725</v>
      </c>
      <c r="CG17" s="230">
        <v>630275</v>
      </c>
      <c r="CH17" s="230">
        <v>31450</v>
      </c>
      <c r="CI17" s="229">
        <v>4.99E-2</v>
      </c>
      <c r="CJ17" s="230">
        <v>50575</v>
      </c>
      <c r="CK17" s="230">
        <v>45050</v>
      </c>
      <c r="CL17" s="230">
        <v>5525</v>
      </c>
      <c r="CM17" s="229">
        <v>0.1226</v>
      </c>
      <c r="CN17" s="230">
        <v>3717900</v>
      </c>
      <c r="CO17" s="230">
        <v>3648625</v>
      </c>
      <c r="CP17" s="230">
        <v>69275</v>
      </c>
      <c r="CQ17" s="229">
        <v>1.9E-2</v>
      </c>
      <c r="CR17" s="230">
        <v>1879350</v>
      </c>
      <c r="CS17" s="230">
        <v>2005150</v>
      </c>
      <c r="CT17" s="230">
        <v>-125800</v>
      </c>
      <c r="CU17" s="229">
        <v>-6.2700000000000006E-2</v>
      </c>
      <c r="CV17" s="230">
        <v>13217925</v>
      </c>
      <c r="CW17" s="230">
        <v>13336075</v>
      </c>
      <c r="CX17" s="230">
        <v>-118150</v>
      </c>
      <c r="CY17" s="229">
        <v>-8.8999999999999999E-3</v>
      </c>
      <c r="CZ17" s="228">
        <v>24.27</v>
      </c>
      <c r="DA17" s="228">
        <v>23.55</v>
      </c>
      <c r="DB17" s="228">
        <v>0.72</v>
      </c>
      <c r="DC17" s="228">
        <v>0.72</v>
      </c>
      <c r="DD17" s="228">
        <v>33.74</v>
      </c>
      <c r="DE17" s="228">
        <v>33.659999999999997</v>
      </c>
      <c r="DF17" s="228">
        <v>-9.4700000000000006</v>
      </c>
      <c r="DG17" s="228">
        <v>0.08</v>
      </c>
      <c r="DH17" s="228">
        <v>24.67</v>
      </c>
      <c r="DI17" s="228">
        <v>23.48</v>
      </c>
      <c r="DJ17" s="228">
        <v>1.19</v>
      </c>
      <c r="DK17" s="228">
        <v>1.19</v>
      </c>
      <c r="DL17" s="228">
        <v>23.72</v>
      </c>
      <c r="DM17" s="228">
        <v>23.71</v>
      </c>
      <c r="DN17" s="228">
        <v>0.01</v>
      </c>
      <c r="DO17" s="228">
        <v>0.01</v>
      </c>
      <c r="DP17" s="228">
        <v>0.51</v>
      </c>
      <c r="DQ17" s="228">
        <v>0.55000000000000004</v>
      </c>
      <c r="DR17" s="228">
        <v>-0.04</v>
      </c>
      <c r="DS17" s="229">
        <v>-7.2700000000000001E-2</v>
      </c>
      <c r="DT17" s="231">
        <v>1500</v>
      </c>
      <c r="DU17" s="231">
        <v>1400</v>
      </c>
      <c r="DV17" s="228">
        <v>0.72</v>
      </c>
      <c r="DW17" s="228">
        <v>0.44</v>
      </c>
      <c r="DX17" s="228">
        <v>0.28000000000000003</v>
      </c>
      <c r="DY17" s="229">
        <v>0.63639999999999997</v>
      </c>
      <c r="DZ17" s="229">
        <v>9.35E-2</v>
      </c>
      <c r="EA17" s="230">
        <v>675325</v>
      </c>
      <c r="EB17" s="229">
        <v>1.9E-3</v>
      </c>
      <c r="EC17" s="229">
        <v>9.35E-2</v>
      </c>
      <c r="ED17" s="228">
        <v>1.99</v>
      </c>
      <c r="EE17" s="229">
        <v>1.4E-3</v>
      </c>
      <c r="EF17" s="230">
        <v>130901</v>
      </c>
      <c r="EG17" s="230">
        <v>175008</v>
      </c>
      <c r="EH17" s="229">
        <v>-0.252</v>
      </c>
      <c r="EI17" s="229">
        <v>0.34639999999999999</v>
      </c>
      <c r="EJ17" s="231">
        <v>65132.09</v>
      </c>
      <c r="EK17" s="231">
        <v>43845.72</v>
      </c>
      <c r="EL17" s="231">
        <v>18052.97</v>
      </c>
      <c r="EM17" s="231">
        <v>3545</v>
      </c>
      <c r="EN17" s="231">
        <v>127030.78</v>
      </c>
      <c r="EO17" s="231">
        <v>354593.94</v>
      </c>
      <c r="EP17" s="231">
        <v>-227563.16</v>
      </c>
      <c r="EQ17" s="229">
        <v>-0.64180000000000004</v>
      </c>
      <c r="ER17" s="231">
        <v>56775</v>
      </c>
      <c r="ES17" s="231">
        <v>26471</v>
      </c>
      <c r="ET17" s="231">
        <v>109065</v>
      </c>
      <c r="EU17" s="231">
        <v>18495534</v>
      </c>
      <c r="EV17" s="231">
        <v>192311</v>
      </c>
      <c r="EW17" s="231">
        <v>196725</v>
      </c>
      <c r="EX17" s="231">
        <v>-4414</v>
      </c>
      <c r="EY17" s="229">
        <v>-2.24E-2</v>
      </c>
      <c r="EZ17" s="229">
        <v>0.7147</v>
      </c>
      <c r="FA17" s="227" t="s">
        <v>568</v>
      </c>
      <c r="FB17" s="161">
        <f t="shared" si="0"/>
        <v>712300</v>
      </c>
    </row>
    <row r="18" spans="1:158" ht="17.25" hidden="1" thickBot="1" x14ac:dyDescent="0.3">
      <c r="A18" s="226">
        <v>46008</v>
      </c>
      <c r="B18" s="227" t="s">
        <v>172</v>
      </c>
      <c r="C18" s="227" t="s">
        <v>495</v>
      </c>
      <c r="D18" s="228">
        <v>1000</v>
      </c>
      <c r="E18" s="228">
        <v>988.7</v>
      </c>
      <c r="F18" s="228">
        <v>982.95</v>
      </c>
      <c r="G18" s="228">
        <v>5.75</v>
      </c>
      <c r="H18" s="229">
        <v>5.7999999999999996E-3</v>
      </c>
      <c r="I18" s="228">
        <v>990.3</v>
      </c>
      <c r="J18" s="228">
        <v>980.6</v>
      </c>
      <c r="K18" s="228">
        <v>9.6999999999999993</v>
      </c>
      <c r="L18" s="229">
        <v>9.9000000000000008E-3</v>
      </c>
      <c r="M18" s="228">
        <v>988.7</v>
      </c>
      <c r="N18" s="228">
        <v>982.95</v>
      </c>
      <c r="O18" s="228">
        <v>5.75</v>
      </c>
      <c r="P18" s="229">
        <v>5.7999999999999996E-3</v>
      </c>
      <c r="Q18" s="228">
        <v>991.95</v>
      </c>
      <c r="R18" s="228">
        <v>988.5</v>
      </c>
      <c r="S18" s="228">
        <v>3.45</v>
      </c>
      <c r="T18" s="229">
        <v>3.5000000000000001E-3</v>
      </c>
      <c r="U18" s="228">
        <v>994.85</v>
      </c>
      <c r="V18" s="228">
        <v>992.9</v>
      </c>
      <c r="W18" s="228">
        <v>1.95</v>
      </c>
      <c r="X18" s="229">
        <v>2E-3</v>
      </c>
      <c r="Y18" s="228">
        <v>-1.6</v>
      </c>
      <c r="Z18" s="228">
        <v>2.35</v>
      </c>
      <c r="AA18" s="228">
        <v>-3.95</v>
      </c>
      <c r="AB18" s="229">
        <v>-1.6000000000000001E-3</v>
      </c>
      <c r="AC18" s="228">
        <v>-1.6</v>
      </c>
      <c r="AD18" s="228">
        <v>2.35</v>
      </c>
      <c r="AE18" s="228">
        <v>-3.95</v>
      </c>
      <c r="AF18" s="229">
        <v>-1.6000000000000001E-3</v>
      </c>
      <c r="AG18" s="228">
        <v>1.65</v>
      </c>
      <c r="AH18" s="228">
        <v>7.9</v>
      </c>
      <c r="AI18" s="228">
        <v>-6.25</v>
      </c>
      <c r="AJ18" s="229">
        <v>1.6999999999999999E-3</v>
      </c>
      <c r="AK18" s="228">
        <v>4.55</v>
      </c>
      <c r="AL18" s="228">
        <v>12.3</v>
      </c>
      <c r="AM18" s="228">
        <v>-7.75</v>
      </c>
      <c r="AN18" s="229">
        <v>4.5999999999999999E-3</v>
      </c>
      <c r="AO18" s="228">
        <v>991.61</v>
      </c>
      <c r="AP18" s="228">
        <v>995.63</v>
      </c>
      <c r="AQ18" s="228">
        <v>0</v>
      </c>
      <c r="AR18" s="230">
        <v>6378000</v>
      </c>
      <c r="AS18" s="230">
        <v>3402000</v>
      </c>
      <c r="AT18" s="230">
        <v>2976000</v>
      </c>
      <c r="AU18" s="229">
        <v>0.87480000000000002</v>
      </c>
      <c r="AV18" s="230">
        <v>4843000</v>
      </c>
      <c r="AW18" s="230">
        <v>2612000</v>
      </c>
      <c r="AX18" s="230">
        <v>2231000</v>
      </c>
      <c r="AY18" s="229">
        <v>0.85409999999999997</v>
      </c>
      <c r="AZ18" s="230">
        <v>1473000</v>
      </c>
      <c r="BA18" s="230">
        <v>723000</v>
      </c>
      <c r="BB18" s="230">
        <v>750000</v>
      </c>
      <c r="BC18" s="229">
        <v>1.0373000000000001</v>
      </c>
      <c r="BD18" s="230">
        <v>62000</v>
      </c>
      <c r="BE18" s="230">
        <v>67000</v>
      </c>
      <c r="BF18" s="230">
        <v>-5000</v>
      </c>
      <c r="BG18" s="229">
        <v>-7.46E-2</v>
      </c>
      <c r="BH18" s="230">
        <v>19138000</v>
      </c>
      <c r="BI18" s="230">
        <v>5275000</v>
      </c>
      <c r="BJ18" s="230">
        <v>13863000</v>
      </c>
      <c r="BK18" s="229">
        <v>2.6280999999999999</v>
      </c>
      <c r="BL18" s="230">
        <v>7813000</v>
      </c>
      <c r="BM18" s="230">
        <v>3817000</v>
      </c>
      <c r="BN18" s="230">
        <v>3996000</v>
      </c>
      <c r="BO18" s="229">
        <v>1.0468999999999999</v>
      </c>
      <c r="BP18" s="230">
        <v>33329000</v>
      </c>
      <c r="BQ18" s="230">
        <v>12494000</v>
      </c>
      <c r="BR18" s="230">
        <v>20835000</v>
      </c>
      <c r="BS18" s="229">
        <v>1.6676</v>
      </c>
      <c r="BT18" s="230">
        <v>3675195</v>
      </c>
      <c r="BU18" s="230">
        <v>1386159</v>
      </c>
      <c r="BV18" s="230">
        <v>2289036</v>
      </c>
      <c r="BW18" s="229">
        <v>1.6514</v>
      </c>
      <c r="BX18" s="230">
        <v>21323000</v>
      </c>
      <c r="BY18" s="230">
        <v>20274000</v>
      </c>
      <c r="BZ18" s="230">
        <v>1049000</v>
      </c>
      <c r="CA18" s="229">
        <v>5.1700000000000003E-2</v>
      </c>
      <c r="CB18" s="230">
        <v>18649000</v>
      </c>
      <c r="CC18" s="230">
        <v>18066000</v>
      </c>
      <c r="CD18" s="230">
        <v>583000</v>
      </c>
      <c r="CE18" s="229">
        <v>3.2300000000000002E-2</v>
      </c>
      <c r="CF18" s="230">
        <v>2464000</v>
      </c>
      <c r="CG18" s="230">
        <v>2001000</v>
      </c>
      <c r="CH18" s="230">
        <v>463000</v>
      </c>
      <c r="CI18" s="229">
        <v>0.23139999999999999</v>
      </c>
      <c r="CJ18" s="230">
        <v>210000</v>
      </c>
      <c r="CK18" s="230">
        <v>207000</v>
      </c>
      <c r="CL18" s="230">
        <v>3000</v>
      </c>
      <c r="CM18" s="229">
        <v>1.4500000000000001E-2</v>
      </c>
      <c r="CN18" s="230">
        <v>8661000</v>
      </c>
      <c r="CO18" s="230">
        <v>8045000</v>
      </c>
      <c r="CP18" s="230">
        <v>616000</v>
      </c>
      <c r="CQ18" s="229">
        <v>7.6600000000000001E-2</v>
      </c>
      <c r="CR18" s="230">
        <v>7025000</v>
      </c>
      <c r="CS18" s="230">
        <v>6744000</v>
      </c>
      <c r="CT18" s="230">
        <v>281000</v>
      </c>
      <c r="CU18" s="229">
        <v>4.1700000000000001E-2</v>
      </c>
      <c r="CV18" s="230">
        <v>37009000</v>
      </c>
      <c r="CW18" s="230">
        <v>35063000</v>
      </c>
      <c r="CX18" s="230">
        <v>1946000</v>
      </c>
      <c r="CY18" s="229">
        <v>5.5500000000000001E-2</v>
      </c>
      <c r="CZ18" s="228">
        <v>22.57</v>
      </c>
      <c r="DA18" s="228">
        <v>22.24</v>
      </c>
      <c r="DB18" s="228">
        <v>0.33</v>
      </c>
      <c r="DC18" s="228">
        <v>0.33</v>
      </c>
      <c r="DD18" s="228">
        <v>35.700000000000003</v>
      </c>
      <c r="DE18" s="228">
        <v>35.76</v>
      </c>
      <c r="DF18" s="228">
        <v>-13.13</v>
      </c>
      <c r="DG18" s="228">
        <v>-0.06</v>
      </c>
      <c r="DH18" s="228">
        <v>22.44</v>
      </c>
      <c r="DI18" s="228">
        <v>21.77</v>
      </c>
      <c r="DJ18" s="228">
        <v>0.67</v>
      </c>
      <c r="DK18" s="228">
        <v>0.67</v>
      </c>
      <c r="DL18" s="228">
        <v>22.9</v>
      </c>
      <c r="DM18" s="228">
        <v>22.89</v>
      </c>
      <c r="DN18" s="228">
        <v>0.01</v>
      </c>
      <c r="DO18" s="228">
        <v>0.01</v>
      </c>
      <c r="DP18" s="228">
        <v>0.81</v>
      </c>
      <c r="DQ18" s="228">
        <v>0.84</v>
      </c>
      <c r="DR18" s="228">
        <v>-0.03</v>
      </c>
      <c r="DS18" s="229">
        <v>-3.5700000000000003E-2</v>
      </c>
      <c r="DT18" s="231">
        <v>1000</v>
      </c>
      <c r="DU18" s="228">
        <v>950</v>
      </c>
      <c r="DV18" s="228">
        <v>0.41</v>
      </c>
      <c r="DW18" s="228">
        <v>0.72</v>
      </c>
      <c r="DX18" s="228">
        <v>-0.31</v>
      </c>
      <c r="DY18" s="229">
        <v>-0.43059999999999998</v>
      </c>
      <c r="DZ18" s="229">
        <v>0.12540000000000001</v>
      </c>
      <c r="EA18" s="230">
        <v>2208000</v>
      </c>
      <c r="EB18" s="229">
        <v>3.3E-3</v>
      </c>
      <c r="EC18" s="229">
        <v>0.12540000000000001</v>
      </c>
      <c r="ED18" s="228">
        <v>4.0199999999999996</v>
      </c>
      <c r="EE18" s="229">
        <v>4.1000000000000003E-3</v>
      </c>
      <c r="EF18" s="230">
        <v>2388736</v>
      </c>
      <c r="EG18" s="230">
        <v>841816</v>
      </c>
      <c r="EH18" s="229">
        <v>1.8375999999999999</v>
      </c>
      <c r="EI18" s="229">
        <v>0.65</v>
      </c>
      <c r="EJ18" s="231">
        <v>195088.88</v>
      </c>
      <c r="EK18" s="231">
        <v>76371.62</v>
      </c>
      <c r="EL18" s="231">
        <v>63308.94</v>
      </c>
      <c r="EM18" s="231">
        <v>5874</v>
      </c>
      <c r="EN18" s="231">
        <v>334769.44</v>
      </c>
      <c r="EO18" s="231">
        <v>123764.39</v>
      </c>
      <c r="EP18" s="231">
        <v>211005.05</v>
      </c>
      <c r="EQ18" s="229">
        <v>1.7049000000000001</v>
      </c>
      <c r="ER18" s="231">
        <v>86125</v>
      </c>
      <c r="ES18" s="231">
        <v>65200</v>
      </c>
      <c r="ET18" s="231">
        <v>210913</v>
      </c>
      <c r="EU18" s="231">
        <v>86234186</v>
      </c>
      <c r="EV18" s="231">
        <v>362239</v>
      </c>
      <c r="EW18" s="231">
        <v>341594</v>
      </c>
      <c r="EX18" s="231">
        <v>20645</v>
      </c>
      <c r="EY18" s="229">
        <v>6.0400000000000002E-2</v>
      </c>
      <c r="EZ18" s="229">
        <v>0.42920000000000003</v>
      </c>
      <c r="FA18" s="227" t="s">
        <v>555</v>
      </c>
      <c r="FB18" s="161">
        <f t="shared" si="0"/>
        <v>2674000</v>
      </c>
    </row>
    <row r="19" spans="1:158" ht="17.25" hidden="1" thickBot="1" x14ac:dyDescent="0.3">
      <c r="A19" s="226">
        <v>46008</v>
      </c>
      <c r="B19" s="227" t="s">
        <v>170</v>
      </c>
      <c r="C19" s="227" t="s">
        <v>171</v>
      </c>
      <c r="D19" s="228">
        <v>550</v>
      </c>
      <c r="E19" s="231">
        <v>1195.3</v>
      </c>
      <c r="F19" s="231">
        <v>1180.2</v>
      </c>
      <c r="G19" s="228">
        <v>15.1</v>
      </c>
      <c r="H19" s="229">
        <v>1.2800000000000001E-2</v>
      </c>
      <c r="I19" s="231">
        <v>1193</v>
      </c>
      <c r="J19" s="231">
        <v>1178.0999999999999</v>
      </c>
      <c r="K19" s="228">
        <v>14.9</v>
      </c>
      <c r="L19" s="229">
        <v>1.26E-2</v>
      </c>
      <c r="M19" s="231">
        <v>1195.3</v>
      </c>
      <c r="N19" s="231">
        <v>1180.2</v>
      </c>
      <c r="O19" s="228">
        <v>15.1</v>
      </c>
      <c r="P19" s="229">
        <v>1.2800000000000001E-2</v>
      </c>
      <c r="Q19" s="231">
        <v>1202.2</v>
      </c>
      <c r="R19" s="231">
        <v>1186.9000000000001</v>
      </c>
      <c r="S19" s="228">
        <v>15.3</v>
      </c>
      <c r="T19" s="229">
        <v>1.29E-2</v>
      </c>
      <c r="U19" s="231">
        <v>1209.5</v>
      </c>
      <c r="V19" s="231">
        <v>1193.3</v>
      </c>
      <c r="W19" s="228">
        <v>16.2</v>
      </c>
      <c r="X19" s="229">
        <v>1.3599999999999999E-2</v>
      </c>
      <c r="Y19" s="228">
        <v>2.2999999999999998</v>
      </c>
      <c r="Z19" s="228">
        <v>2.1</v>
      </c>
      <c r="AA19" s="228">
        <v>0.2</v>
      </c>
      <c r="AB19" s="229">
        <v>1.9E-3</v>
      </c>
      <c r="AC19" s="228">
        <v>2.2999999999999998</v>
      </c>
      <c r="AD19" s="228">
        <v>2.1</v>
      </c>
      <c r="AE19" s="228">
        <v>0.2</v>
      </c>
      <c r="AF19" s="229">
        <v>1.9E-3</v>
      </c>
      <c r="AG19" s="228">
        <v>9.1999999999999993</v>
      </c>
      <c r="AH19" s="228">
        <v>8.8000000000000007</v>
      </c>
      <c r="AI19" s="228">
        <v>0.4</v>
      </c>
      <c r="AJ19" s="229">
        <v>7.7000000000000002E-3</v>
      </c>
      <c r="AK19" s="228">
        <v>16.5</v>
      </c>
      <c r="AL19" s="228">
        <v>15.2</v>
      </c>
      <c r="AM19" s="228">
        <v>1.3</v>
      </c>
      <c r="AN19" s="229">
        <v>1.38E-2</v>
      </c>
      <c r="AO19" s="231">
        <v>1189.18</v>
      </c>
      <c r="AP19" s="231">
        <v>1196.6500000000001</v>
      </c>
      <c r="AQ19" s="228">
        <v>0</v>
      </c>
      <c r="AR19" s="230">
        <v>1632400</v>
      </c>
      <c r="AS19" s="230">
        <v>1527350</v>
      </c>
      <c r="AT19" s="230">
        <v>105050</v>
      </c>
      <c r="AU19" s="229">
        <v>6.88E-2</v>
      </c>
      <c r="AV19" s="230">
        <v>1369500</v>
      </c>
      <c r="AW19" s="230">
        <v>1427250</v>
      </c>
      <c r="AX19" s="230">
        <v>-57750</v>
      </c>
      <c r="AY19" s="229">
        <v>-4.0500000000000001E-2</v>
      </c>
      <c r="AZ19" s="230">
        <v>259050</v>
      </c>
      <c r="BA19" s="230">
        <v>96800</v>
      </c>
      <c r="BB19" s="230">
        <v>162250</v>
      </c>
      <c r="BC19" s="229">
        <v>1.6760999999999999</v>
      </c>
      <c r="BD19" s="230">
        <v>3850</v>
      </c>
      <c r="BE19" s="230">
        <v>3300</v>
      </c>
      <c r="BF19" s="228">
        <v>550</v>
      </c>
      <c r="BG19" s="229">
        <v>0.16669999999999999</v>
      </c>
      <c r="BH19" s="230">
        <v>3166900</v>
      </c>
      <c r="BI19" s="230">
        <v>2319900</v>
      </c>
      <c r="BJ19" s="230">
        <v>847000</v>
      </c>
      <c r="BK19" s="229">
        <v>0.36509999999999998</v>
      </c>
      <c r="BL19" s="230">
        <v>1132450</v>
      </c>
      <c r="BM19" s="230">
        <v>1855700</v>
      </c>
      <c r="BN19" s="230">
        <v>-723250</v>
      </c>
      <c r="BO19" s="229">
        <v>-0.38969999999999999</v>
      </c>
      <c r="BP19" s="230">
        <v>5931750</v>
      </c>
      <c r="BQ19" s="230">
        <v>5702950</v>
      </c>
      <c r="BR19" s="230">
        <v>228800</v>
      </c>
      <c r="BS19" s="229">
        <v>4.0099999999999997E-2</v>
      </c>
      <c r="BT19" s="230">
        <v>749968</v>
      </c>
      <c r="BU19" s="230">
        <v>267567</v>
      </c>
      <c r="BV19" s="230">
        <v>482401</v>
      </c>
      <c r="BW19" s="229">
        <v>1.8028999999999999</v>
      </c>
      <c r="BX19" s="230">
        <v>22402600</v>
      </c>
      <c r="BY19" s="230">
        <v>22338800</v>
      </c>
      <c r="BZ19" s="230">
        <v>63800</v>
      </c>
      <c r="CA19" s="229">
        <v>2.8999999999999998E-3</v>
      </c>
      <c r="CB19" s="230">
        <v>21665050</v>
      </c>
      <c r="CC19" s="230">
        <v>21748100</v>
      </c>
      <c r="CD19" s="230">
        <v>-83050</v>
      </c>
      <c r="CE19" s="229">
        <v>-3.8E-3</v>
      </c>
      <c r="CF19" s="230">
        <v>715000</v>
      </c>
      <c r="CG19" s="230">
        <v>569250</v>
      </c>
      <c r="CH19" s="230">
        <v>145750</v>
      </c>
      <c r="CI19" s="229">
        <v>0.25600000000000001</v>
      </c>
      <c r="CJ19" s="230">
        <v>22550</v>
      </c>
      <c r="CK19" s="230">
        <v>21450</v>
      </c>
      <c r="CL19" s="230">
        <v>1100</v>
      </c>
      <c r="CM19" s="229">
        <v>5.1299999999999998E-2</v>
      </c>
      <c r="CN19" s="230">
        <v>5979600</v>
      </c>
      <c r="CO19" s="230">
        <v>5850350</v>
      </c>
      <c r="CP19" s="230">
        <v>129250</v>
      </c>
      <c r="CQ19" s="229">
        <v>2.2100000000000002E-2</v>
      </c>
      <c r="CR19" s="230">
        <v>2663650</v>
      </c>
      <c r="CS19" s="230">
        <v>2634500</v>
      </c>
      <c r="CT19" s="230">
        <v>29150</v>
      </c>
      <c r="CU19" s="229">
        <v>1.11E-2</v>
      </c>
      <c r="CV19" s="230">
        <v>31045850</v>
      </c>
      <c r="CW19" s="230">
        <v>30823650</v>
      </c>
      <c r="CX19" s="230">
        <v>222200</v>
      </c>
      <c r="CY19" s="229">
        <v>7.1999999999999998E-3</v>
      </c>
      <c r="CZ19" s="228">
        <v>24.26</v>
      </c>
      <c r="DA19" s="228">
        <v>24.41</v>
      </c>
      <c r="DB19" s="228">
        <v>-0.15</v>
      </c>
      <c r="DC19" s="228">
        <v>-0.15</v>
      </c>
      <c r="DD19" s="228">
        <v>33.14</v>
      </c>
      <c r="DE19" s="228">
        <v>33.18</v>
      </c>
      <c r="DF19" s="228">
        <v>-8.8800000000000008</v>
      </c>
      <c r="DG19" s="228">
        <v>-0.04</v>
      </c>
      <c r="DH19" s="228">
        <v>24.32</v>
      </c>
      <c r="DI19" s="228">
        <v>25.23</v>
      </c>
      <c r="DJ19" s="228">
        <v>-0.91</v>
      </c>
      <c r="DK19" s="228">
        <v>-0.91</v>
      </c>
      <c r="DL19" s="228">
        <v>24.08</v>
      </c>
      <c r="DM19" s="228">
        <v>23.39</v>
      </c>
      <c r="DN19" s="228">
        <v>0.69</v>
      </c>
      <c r="DO19" s="228">
        <v>0.69</v>
      </c>
      <c r="DP19" s="228">
        <v>0.45</v>
      </c>
      <c r="DQ19" s="228">
        <v>0.45</v>
      </c>
      <c r="DR19" s="228">
        <v>0</v>
      </c>
      <c r="DS19" s="229">
        <v>0</v>
      </c>
      <c r="DT19" s="231">
        <v>1240</v>
      </c>
      <c r="DU19" s="231">
        <v>1180</v>
      </c>
      <c r="DV19" s="228">
        <v>0.36</v>
      </c>
      <c r="DW19" s="228">
        <v>0.8</v>
      </c>
      <c r="DX19" s="228">
        <v>-0.44</v>
      </c>
      <c r="DY19" s="229">
        <v>-0.55000000000000004</v>
      </c>
      <c r="DZ19" s="229">
        <v>3.2899999999999999E-2</v>
      </c>
      <c r="EA19" s="230">
        <v>590700</v>
      </c>
      <c r="EB19" s="229">
        <v>5.7999999999999996E-3</v>
      </c>
      <c r="EC19" s="229">
        <v>3.2899999999999999E-2</v>
      </c>
      <c r="ED19" s="228">
        <v>7.47</v>
      </c>
      <c r="EE19" s="229">
        <v>6.3E-3</v>
      </c>
      <c r="EF19" s="230">
        <v>333251</v>
      </c>
      <c r="EG19" s="230">
        <v>104017</v>
      </c>
      <c r="EH19" s="229">
        <v>2.2038000000000002</v>
      </c>
      <c r="EI19" s="229">
        <v>0.44440000000000002</v>
      </c>
      <c r="EJ19" s="231">
        <v>38873.410000000003</v>
      </c>
      <c r="EK19" s="231">
        <v>13212.49</v>
      </c>
      <c r="EL19" s="231">
        <v>19432.240000000002</v>
      </c>
      <c r="EM19" s="231">
        <v>3136</v>
      </c>
      <c r="EN19" s="231">
        <v>71518.14</v>
      </c>
      <c r="EO19" s="231">
        <v>68713.350000000006</v>
      </c>
      <c r="EP19" s="231">
        <v>2804.79</v>
      </c>
      <c r="EQ19" s="229">
        <v>4.0800000000000003E-2</v>
      </c>
      <c r="ER19" s="231">
        <v>75274</v>
      </c>
      <c r="ES19" s="231">
        <v>30973</v>
      </c>
      <c r="ET19" s="231">
        <v>267831</v>
      </c>
      <c r="EU19" s="231">
        <v>41977935</v>
      </c>
      <c r="EV19" s="231">
        <v>374078</v>
      </c>
      <c r="EW19" s="231">
        <v>367958</v>
      </c>
      <c r="EX19" s="231">
        <v>6120</v>
      </c>
      <c r="EY19" s="229">
        <v>1.66E-2</v>
      </c>
      <c r="EZ19" s="229">
        <v>0.73960000000000004</v>
      </c>
      <c r="FA19" s="227" t="s">
        <v>555</v>
      </c>
      <c r="FB19" s="161">
        <f t="shared" si="0"/>
        <v>737550</v>
      </c>
    </row>
    <row r="20" spans="1:158" ht="17.25" hidden="1" thickBot="1" x14ac:dyDescent="0.3">
      <c r="A20" s="226">
        <v>46008</v>
      </c>
      <c r="B20" s="227" t="s">
        <v>172</v>
      </c>
      <c r="C20" s="227" t="s">
        <v>173</v>
      </c>
      <c r="D20" s="228">
        <v>625</v>
      </c>
      <c r="E20" s="231">
        <v>1228.5999999999999</v>
      </c>
      <c r="F20" s="231">
        <v>1224.4000000000001</v>
      </c>
      <c r="G20" s="228">
        <v>4.2</v>
      </c>
      <c r="H20" s="229">
        <v>3.3999999999999998E-3</v>
      </c>
      <c r="I20" s="231">
        <v>1224.7</v>
      </c>
      <c r="J20" s="231">
        <v>1219.5999999999999</v>
      </c>
      <c r="K20" s="228">
        <v>5.0999999999999996</v>
      </c>
      <c r="L20" s="229">
        <v>4.1999999999999997E-3</v>
      </c>
      <c r="M20" s="231">
        <v>1228.5999999999999</v>
      </c>
      <c r="N20" s="231">
        <v>1224.4000000000001</v>
      </c>
      <c r="O20" s="228">
        <v>4.2</v>
      </c>
      <c r="P20" s="229">
        <v>3.3999999999999998E-3</v>
      </c>
      <c r="Q20" s="231">
        <v>1236.0999999999999</v>
      </c>
      <c r="R20" s="231">
        <v>1231.5</v>
      </c>
      <c r="S20" s="228">
        <v>4.5999999999999996</v>
      </c>
      <c r="T20" s="229">
        <v>3.7000000000000002E-3</v>
      </c>
      <c r="U20" s="231">
        <v>1242.5999999999999</v>
      </c>
      <c r="V20" s="231">
        <v>1239.0999999999999</v>
      </c>
      <c r="W20" s="228">
        <v>3.5</v>
      </c>
      <c r="X20" s="229">
        <v>2.8E-3</v>
      </c>
      <c r="Y20" s="228">
        <v>3.9</v>
      </c>
      <c r="Z20" s="228">
        <v>4.8</v>
      </c>
      <c r="AA20" s="228">
        <v>-0.9</v>
      </c>
      <c r="AB20" s="229">
        <v>3.2000000000000002E-3</v>
      </c>
      <c r="AC20" s="228">
        <v>3.9</v>
      </c>
      <c r="AD20" s="228">
        <v>4.8</v>
      </c>
      <c r="AE20" s="228">
        <v>-0.9</v>
      </c>
      <c r="AF20" s="229">
        <v>3.2000000000000002E-3</v>
      </c>
      <c r="AG20" s="228">
        <v>11.4</v>
      </c>
      <c r="AH20" s="228">
        <v>11.9</v>
      </c>
      <c r="AI20" s="228">
        <v>-0.5</v>
      </c>
      <c r="AJ20" s="229">
        <v>9.2999999999999992E-3</v>
      </c>
      <c r="AK20" s="228">
        <v>17.899999999999999</v>
      </c>
      <c r="AL20" s="228">
        <v>19.5</v>
      </c>
      <c r="AM20" s="228">
        <v>-1.6</v>
      </c>
      <c r="AN20" s="229">
        <v>1.46E-2</v>
      </c>
      <c r="AO20" s="231">
        <v>1231.9000000000001</v>
      </c>
      <c r="AP20" s="231">
        <v>1239.51</v>
      </c>
      <c r="AQ20" s="228">
        <v>0</v>
      </c>
      <c r="AR20" s="230">
        <v>9078125</v>
      </c>
      <c r="AS20" s="230">
        <v>25905625</v>
      </c>
      <c r="AT20" s="230">
        <v>-16827500</v>
      </c>
      <c r="AU20" s="229">
        <v>-0.64959999999999996</v>
      </c>
      <c r="AV20" s="230">
        <v>7115625</v>
      </c>
      <c r="AW20" s="230">
        <v>21283750</v>
      </c>
      <c r="AX20" s="230">
        <v>-14168125</v>
      </c>
      <c r="AY20" s="229">
        <v>-0.66569999999999996</v>
      </c>
      <c r="AZ20" s="230">
        <v>1917500</v>
      </c>
      <c r="BA20" s="230">
        <v>4433750</v>
      </c>
      <c r="BB20" s="230">
        <v>-2516250</v>
      </c>
      <c r="BC20" s="229">
        <v>-0.5675</v>
      </c>
      <c r="BD20" s="230">
        <v>45000</v>
      </c>
      <c r="BE20" s="230">
        <v>188125</v>
      </c>
      <c r="BF20" s="230">
        <v>-143125</v>
      </c>
      <c r="BG20" s="229">
        <v>-0.76080000000000003</v>
      </c>
      <c r="BH20" s="230">
        <v>54635625</v>
      </c>
      <c r="BI20" s="230">
        <v>111576875</v>
      </c>
      <c r="BJ20" s="230">
        <v>-56941250</v>
      </c>
      <c r="BK20" s="229">
        <v>-0.51029999999999998</v>
      </c>
      <c r="BL20" s="230">
        <v>35951875</v>
      </c>
      <c r="BM20" s="230">
        <v>88820625</v>
      </c>
      <c r="BN20" s="230">
        <v>-52868750</v>
      </c>
      <c r="BO20" s="229">
        <v>-0.59519999999999995</v>
      </c>
      <c r="BP20" s="230">
        <v>99665625</v>
      </c>
      <c r="BQ20" s="230">
        <v>226303125</v>
      </c>
      <c r="BR20" s="230">
        <v>-126637500</v>
      </c>
      <c r="BS20" s="229">
        <v>-0.55959999999999999</v>
      </c>
      <c r="BT20" s="230">
        <v>5294261</v>
      </c>
      <c r="BU20" s="230">
        <v>11697893</v>
      </c>
      <c r="BV20" s="230">
        <v>-6403632</v>
      </c>
      <c r="BW20" s="229">
        <v>-0.5474</v>
      </c>
      <c r="BX20" s="230">
        <v>77492500</v>
      </c>
      <c r="BY20" s="230">
        <v>77575000</v>
      </c>
      <c r="BZ20" s="230">
        <v>-82500</v>
      </c>
      <c r="CA20" s="229">
        <v>-1.1000000000000001E-3</v>
      </c>
      <c r="CB20" s="230">
        <v>68294375</v>
      </c>
      <c r="CC20" s="230">
        <v>69356875</v>
      </c>
      <c r="CD20" s="230">
        <v>-1062500</v>
      </c>
      <c r="CE20" s="229">
        <v>-1.5299999999999999E-2</v>
      </c>
      <c r="CF20" s="230">
        <v>8872500</v>
      </c>
      <c r="CG20" s="230">
        <v>7905625</v>
      </c>
      <c r="CH20" s="230">
        <v>966875</v>
      </c>
      <c r="CI20" s="229">
        <v>0.12230000000000001</v>
      </c>
      <c r="CJ20" s="230">
        <v>325625</v>
      </c>
      <c r="CK20" s="230">
        <v>312500</v>
      </c>
      <c r="CL20" s="230">
        <v>13125</v>
      </c>
      <c r="CM20" s="229">
        <v>4.2000000000000003E-2</v>
      </c>
      <c r="CN20" s="230">
        <v>36412500</v>
      </c>
      <c r="CO20" s="230">
        <v>39612500</v>
      </c>
      <c r="CP20" s="230">
        <v>-3200000</v>
      </c>
      <c r="CQ20" s="229">
        <v>-8.0799999999999997E-2</v>
      </c>
      <c r="CR20" s="230">
        <v>16055000</v>
      </c>
      <c r="CS20" s="230">
        <v>17983750</v>
      </c>
      <c r="CT20" s="230">
        <v>-1928750</v>
      </c>
      <c r="CU20" s="229">
        <v>-0.1072</v>
      </c>
      <c r="CV20" s="230">
        <v>129960000</v>
      </c>
      <c r="CW20" s="230">
        <v>135171250</v>
      </c>
      <c r="CX20" s="230">
        <v>-5211250</v>
      </c>
      <c r="CY20" s="229">
        <v>-3.8600000000000002E-2</v>
      </c>
      <c r="CZ20" s="228">
        <v>18.07</v>
      </c>
      <c r="DA20" s="228">
        <v>19.77</v>
      </c>
      <c r="DB20" s="228">
        <v>-1.7</v>
      </c>
      <c r="DC20" s="228">
        <v>-1.7</v>
      </c>
      <c r="DD20" s="228">
        <v>26.21</v>
      </c>
      <c r="DE20" s="228">
        <v>26.27</v>
      </c>
      <c r="DF20" s="228">
        <v>-8.14</v>
      </c>
      <c r="DG20" s="228">
        <v>-0.06</v>
      </c>
      <c r="DH20" s="228">
        <v>17.670000000000002</v>
      </c>
      <c r="DI20" s="228">
        <v>19.88</v>
      </c>
      <c r="DJ20" s="228">
        <v>-2.21</v>
      </c>
      <c r="DK20" s="228">
        <v>-2.21</v>
      </c>
      <c r="DL20" s="228">
        <v>18.670000000000002</v>
      </c>
      <c r="DM20" s="228">
        <v>19.64</v>
      </c>
      <c r="DN20" s="228">
        <v>-0.97</v>
      </c>
      <c r="DO20" s="228">
        <v>-0.97</v>
      </c>
      <c r="DP20" s="228">
        <v>0.44</v>
      </c>
      <c r="DQ20" s="228">
        <v>0.45</v>
      </c>
      <c r="DR20" s="228">
        <v>-0.01</v>
      </c>
      <c r="DS20" s="229">
        <v>-2.2200000000000001E-2</v>
      </c>
      <c r="DT20" s="231">
        <v>1300</v>
      </c>
      <c r="DU20" s="231">
        <v>1230</v>
      </c>
      <c r="DV20" s="228">
        <v>0.66</v>
      </c>
      <c r="DW20" s="228">
        <v>0.8</v>
      </c>
      <c r="DX20" s="228">
        <v>-0.14000000000000001</v>
      </c>
      <c r="DY20" s="229">
        <v>-0.17499999999999999</v>
      </c>
      <c r="DZ20" s="229">
        <v>0.1187</v>
      </c>
      <c r="EA20" s="230">
        <v>8218125</v>
      </c>
      <c r="EB20" s="229">
        <v>6.1000000000000004E-3</v>
      </c>
      <c r="EC20" s="229">
        <v>0.1187</v>
      </c>
      <c r="ED20" s="228">
        <v>7.61</v>
      </c>
      <c r="EE20" s="229">
        <v>6.1999999999999998E-3</v>
      </c>
      <c r="EF20" s="230">
        <v>3119473</v>
      </c>
      <c r="EG20" s="230">
        <v>6747043</v>
      </c>
      <c r="EH20" s="229">
        <v>-0.53769999999999996</v>
      </c>
      <c r="EI20" s="229">
        <v>0.58919999999999995</v>
      </c>
      <c r="EJ20" s="231">
        <v>691970.34</v>
      </c>
      <c r="EK20" s="231">
        <v>436059.36</v>
      </c>
      <c r="EL20" s="231">
        <v>111986.1</v>
      </c>
      <c r="EM20" s="231">
        <v>13314</v>
      </c>
      <c r="EN20" s="231">
        <v>1240015.8</v>
      </c>
      <c r="EO20" s="231">
        <v>2849262.6</v>
      </c>
      <c r="EP20" s="231">
        <v>-1609246.8</v>
      </c>
      <c r="EQ20" s="229">
        <v>-0.56479999999999997</v>
      </c>
      <c r="ER20" s="231">
        <v>469607</v>
      </c>
      <c r="ES20" s="231">
        <v>195082</v>
      </c>
      <c r="ET20" s="231">
        <v>952784</v>
      </c>
      <c r="EU20" s="231">
        <v>316147681</v>
      </c>
      <c r="EV20" s="231">
        <v>1617473</v>
      </c>
      <c r="EW20" s="231">
        <v>1677944</v>
      </c>
      <c r="EX20" s="231">
        <v>-60471</v>
      </c>
      <c r="EY20" s="229">
        <v>-3.5999999999999997E-2</v>
      </c>
      <c r="EZ20" s="229">
        <v>0.41110000000000002</v>
      </c>
      <c r="FA20" s="227" t="s">
        <v>556</v>
      </c>
      <c r="FB20" s="161">
        <f t="shared" si="0"/>
        <v>9198125</v>
      </c>
    </row>
    <row r="21" spans="1:158" ht="17.25" hidden="1" thickBot="1" x14ac:dyDescent="0.3">
      <c r="A21" s="226">
        <v>46008</v>
      </c>
      <c r="B21" s="227" t="s">
        <v>162</v>
      </c>
      <c r="C21" s="227" t="s">
        <v>174</v>
      </c>
      <c r="D21" s="228">
        <v>75</v>
      </c>
      <c r="E21" s="231">
        <v>8924.5</v>
      </c>
      <c r="F21" s="231">
        <v>9026</v>
      </c>
      <c r="G21" s="228">
        <v>-101.5</v>
      </c>
      <c r="H21" s="229">
        <v>-1.12E-2</v>
      </c>
      <c r="I21" s="231">
        <v>8895</v>
      </c>
      <c r="J21" s="231">
        <v>9008</v>
      </c>
      <c r="K21" s="228">
        <v>-113</v>
      </c>
      <c r="L21" s="229">
        <v>-1.2500000000000001E-2</v>
      </c>
      <c r="M21" s="231">
        <v>8924.5</v>
      </c>
      <c r="N21" s="231">
        <v>9026</v>
      </c>
      <c r="O21" s="228">
        <v>-101.5</v>
      </c>
      <c r="P21" s="229">
        <v>-1.12E-2</v>
      </c>
      <c r="Q21" s="231">
        <v>8968</v>
      </c>
      <c r="R21" s="231">
        <v>9061.5</v>
      </c>
      <c r="S21" s="228">
        <v>-93.5</v>
      </c>
      <c r="T21" s="229">
        <v>-1.03E-2</v>
      </c>
      <c r="U21" s="231">
        <v>8997.5</v>
      </c>
      <c r="V21" s="231">
        <v>9101</v>
      </c>
      <c r="W21" s="228">
        <v>-103.5</v>
      </c>
      <c r="X21" s="229">
        <v>-1.14E-2</v>
      </c>
      <c r="Y21" s="228">
        <v>29.5</v>
      </c>
      <c r="Z21" s="228">
        <v>18</v>
      </c>
      <c r="AA21" s="228">
        <v>11.5</v>
      </c>
      <c r="AB21" s="229">
        <v>3.3E-3</v>
      </c>
      <c r="AC21" s="228">
        <v>29.5</v>
      </c>
      <c r="AD21" s="228">
        <v>18</v>
      </c>
      <c r="AE21" s="228">
        <v>11.5</v>
      </c>
      <c r="AF21" s="229">
        <v>3.3E-3</v>
      </c>
      <c r="AG21" s="228">
        <v>73</v>
      </c>
      <c r="AH21" s="228">
        <v>53.5</v>
      </c>
      <c r="AI21" s="228">
        <v>19.5</v>
      </c>
      <c r="AJ21" s="229">
        <v>8.2000000000000007E-3</v>
      </c>
      <c r="AK21" s="228">
        <v>102.5</v>
      </c>
      <c r="AL21" s="228">
        <v>93</v>
      </c>
      <c r="AM21" s="228">
        <v>9.5</v>
      </c>
      <c r="AN21" s="229">
        <v>1.15E-2</v>
      </c>
      <c r="AO21" s="231">
        <v>8955.2199999999993</v>
      </c>
      <c r="AP21" s="231">
        <v>8987.58</v>
      </c>
      <c r="AQ21" s="228">
        <v>0</v>
      </c>
      <c r="AR21" s="230">
        <v>578925</v>
      </c>
      <c r="AS21" s="230">
        <v>399300</v>
      </c>
      <c r="AT21" s="230">
        <v>179625</v>
      </c>
      <c r="AU21" s="229">
        <v>0.44979999999999998</v>
      </c>
      <c r="AV21" s="230">
        <v>424425</v>
      </c>
      <c r="AW21" s="230">
        <v>372600</v>
      </c>
      <c r="AX21" s="230">
        <v>51825</v>
      </c>
      <c r="AY21" s="229">
        <v>0.1391</v>
      </c>
      <c r="AZ21" s="230">
        <v>152250</v>
      </c>
      <c r="BA21" s="230">
        <v>24600</v>
      </c>
      <c r="BB21" s="230">
        <v>127650</v>
      </c>
      <c r="BC21" s="229">
        <v>5.1890000000000001</v>
      </c>
      <c r="BD21" s="230">
        <v>2250</v>
      </c>
      <c r="BE21" s="230">
        <v>2100</v>
      </c>
      <c r="BF21" s="228">
        <v>150</v>
      </c>
      <c r="BG21" s="229">
        <v>7.1400000000000005E-2</v>
      </c>
      <c r="BH21" s="230">
        <v>2101125</v>
      </c>
      <c r="BI21" s="230">
        <v>2014050</v>
      </c>
      <c r="BJ21" s="230">
        <v>87075</v>
      </c>
      <c r="BK21" s="229">
        <v>4.3200000000000002E-2</v>
      </c>
      <c r="BL21" s="230">
        <v>1541625</v>
      </c>
      <c r="BM21" s="230">
        <v>907650</v>
      </c>
      <c r="BN21" s="230">
        <v>633975</v>
      </c>
      <c r="BO21" s="229">
        <v>0.69850000000000001</v>
      </c>
      <c r="BP21" s="230">
        <v>4221675</v>
      </c>
      <c r="BQ21" s="230">
        <v>3321000</v>
      </c>
      <c r="BR21" s="230">
        <v>900675</v>
      </c>
      <c r="BS21" s="229">
        <v>0.2712</v>
      </c>
      <c r="BT21" s="230">
        <v>262275</v>
      </c>
      <c r="BU21" s="230">
        <v>284924</v>
      </c>
      <c r="BV21" s="230">
        <v>-22649</v>
      </c>
      <c r="BW21" s="229">
        <v>-7.9500000000000001E-2</v>
      </c>
      <c r="BX21" s="230">
        <v>3568275</v>
      </c>
      <c r="BY21" s="230">
        <v>3500625</v>
      </c>
      <c r="BZ21" s="230">
        <v>67650</v>
      </c>
      <c r="CA21" s="229">
        <v>1.9300000000000001E-2</v>
      </c>
      <c r="CB21" s="230">
        <v>3272175</v>
      </c>
      <c r="CC21" s="230">
        <v>3333900</v>
      </c>
      <c r="CD21" s="230">
        <v>-61725</v>
      </c>
      <c r="CE21" s="229">
        <v>-1.8499999999999999E-2</v>
      </c>
      <c r="CF21" s="230">
        <v>283275</v>
      </c>
      <c r="CG21" s="230">
        <v>153975</v>
      </c>
      <c r="CH21" s="230">
        <v>129300</v>
      </c>
      <c r="CI21" s="229">
        <v>0.8397</v>
      </c>
      <c r="CJ21" s="230">
        <v>12825</v>
      </c>
      <c r="CK21" s="230">
        <v>12750</v>
      </c>
      <c r="CL21" s="228">
        <v>75</v>
      </c>
      <c r="CM21" s="229">
        <v>5.8999999999999999E-3</v>
      </c>
      <c r="CN21" s="230">
        <v>2185200</v>
      </c>
      <c r="CO21" s="230">
        <v>2115000</v>
      </c>
      <c r="CP21" s="230">
        <v>70200</v>
      </c>
      <c r="CQ21" s="229">
        <v>3.32E-2</v>
      </c>
      <c r="CR21" s="230">
        <v>1169025</v>
      </c>
      <c r="CS21" s="230">
        <v>1162950</v>
      </c>
      <c r="CT21" s="230">
        <v>6075</v>
      </c>
      <c r="CU21" s="229">
        <v>5.1999999999999998E-3</v>
      </c>
      <c r="CV21" s="230">
        <v>6922500</v>
      </c>
      <c r="CW21" s="230">
        <v>6778575</v>
      </c>
      <c r="CX21" s="230">
        <v>143925</v>
      </c>
      <c r="CY21" s="229">
        <v>2.12E-2</v>
      </c>
      <c r="CZ21" s="228">
        <v>19.55</v>
      </c>
      <c r="DA21" s="228">
        <v>19.55</v>
      </c>
      <c r="DB21" s="228">
        <v>0</v>
      </c>
      <c r="DC21" s="228">
        <v>0</v>
      </c>
      <c r="DD21" s="228">
        <v>28.25</v>
      </c>
      <c r="DE21" s="228">
        <v>28.27</v>
      </c>
      <c r="DF21" s="228">
        <v>-8.6999999999999993</v>
      </c>
      <c r="DG21" s="228">
        <v>-0.02</v>
      </c>
      <c r="DH21" s="228">
        <v>19.97</v>
      </c>
      <c r="DI21" s="228">
        <v>19.600000000000001</v>
      </c>
      <c r="DJ21" s="228">
        <v>0.37</v>
      </c>
      <c r="DK21" s="228">
        <v>0.37</v>
      </c>
      <c r="DL21" s="228">
        <v>18.989999999999998</v>
      </c>
      <c r="DM21" s="228">
        <v>19.43</v>
      </c>
      <c r="DN21" s="228">
        <v>-0.44</v>
      </c>
      <c r="DO21" s="228">
        <v>-0.44</v>
      </c>
      <c r="DP21" s="228">
        <v>0.53</v>
      </c>
      <c r="DQ21" s="228">
        <v>0.55000000000000004</v>
      </c>
      <c r="DR21" s="228">
        <v>-0.02</v>
      </c>
      <c r="DS21" s="229">
        <v>-3.6400000000000002E-2</v>
      </c>
      <c r="DT21" s="231">
        <v>9100</v>
      </c>
      <c r="DU21" s="231">
        <v>9000</v>
      </c>
      <c r="DV21" s="228">
        <v>0.73</v>
      </c>
      <c r="DW21" s="228">
        <v>0.45</v>
      </c>
      <c r="DX21" s="228">
        <v>0.28000000000000003</v>
      </c>
      <c r="DY21" s="229">
        <v>0.62219999999999998</v>
      </c>
      <c r="DZ21" s="229">
        <v>8.3000000000000004E-2</v>
      </c>
      <c r="EA21" s="230">
        <v>166725</v>
      </c>
      <c r="EB21" s="229">
        <v>4.8999999999999998E-3</v>
      </c>
      <c r="EC21" s="229">
        <v>8.3000000000000004E-2</v>
      </c>
      <c r="ED21" s="228">
        <v>32.36</v>
      </c>
      <c r="EE21" s="229">
        <v>3.5999999999999999E-3</v>
      </c>
      <c r="EF21" s="230">
        <v>168790</v>
      </c>
      <c r="EG21" s="230">
        <v>152268</v>
      </c>
      <c r="EH21" s="229">
        <v>0.1085</v>
      </c>
      <c r="EI21" s="229">
        <v>0.64359999999999995</v>
      </c>
      <c r="EJ21" s="231">
        <v>195012.53</v>
      </c>
      <c r="EK21" s="231">
        <v>137208.21</v>
      </c>
      <c r="EL21" s="231">
        <v>51894.94</v>
      </c>
      <c r="EM21" s="231">
        <v>4996</v>
      </c>
      <c r="EN21" s="231">
        <v>384115.68</v>
      </c>
      <c r="EO21" s="231">
        <v>303236.57</v>
      </c>
      <c r="EP21" s="231">
        <v>80879.11</v>
      </c>
      <c r="EQ21" s="229">
        <v>0.26669999999999999</v>
      </c>
      <c r="ER21" s="231">
        <v>206152</v>
      </c>
      <c r="ES21" s="231">
        <v>102018</v>
      </c>
      <c r="ET21" s="231">
        <v>318583</v>
      </c>
      <c r="EU21" s="231">
        <v>12547731</v>
      </c>
      <c r="EV21" s="231">
        <v>626754</v>
      </c>
      <c r="EW21" s="231">
        <v>617605</v>
      </c>
      <c r="EX21" s="231">
        <v>9149</v>
      </c>
      <c r="EY21" s="229">
        <v>1.4800000000000001E-2</v>
      </c>
      <c r="EZ21" s="229">
        <v>0.55169999999999997</v>
      </c>
      <c r="FA21" s="227" t="s">
        <v>567</v>
      </c>
      <c r="FB21" s="161">
        <f t="shared" si="0"/>
        <v>296100</v>
      </c>
    </row>
    <row r="22" spans="1:158" ht="17.25" hidden="1" thickBot="1" x14ac:dyDescent="0.3">
      <c r="A22" s="226">
        <v>46008</v>
      </c>
      <c r="B22" s="227" t="s">
        <v>175</v>
      </c>
      <c r="C22" s="227" t="s">
        <v>176</v>
      </c>
      <c r="D22" s="228">
        <v>250</v>
      </c>
      <c r="E22" s="231">
        <v>2025.9</v>
      </c>
      <c r="F22" s="231">
        <v>2039.8</v>
      </c>
      <c r="G22" s="228">
        <v>-13.9</v>
      </c>
      <c r="H22" s="229">
        <v>-6.7999999999999996E-3</v>
      </c>
      <c r="I22" s="231">
        <v>2021.2</v>
      </c>
      <c r="J22" s="231">
        <v>2035.2</v>
      </c>
      <c r="K22" s="228">
        <v>-14</v>
      </c>
      <c r="L22" s="229">
        <v>-6.8999999999999999E-3</v>
      </c>
      <c r="M22" s="231">
        <v>2025.9</v>
      </c>
      <c r="N22" s="231">
        <v>2039.8</v>
      </c>
      <c r="O22" s="228">
        <v>-13.9</v>
      </c>
      <c r="P22" s="229">
        <v>-6.7999999999999996E-3</v>
      </c>
      <c r="Q22" s="231">
        <v>2039.1</v>
      </c>
      <c r="R22" s="231">
        <v>2053.4</v>
      </c>
      <c r="S22" s="228">
        <v>-14.3</v>
      </c>
      <c r="T22" s="229">
        <v>-7.0000000000000001E-3</v>
      </c>
      <c r="U22" s="231">
        <v>2050.9</v>
      </c>
      <c r="V22" s="231">
        <v>2063.3000000000002</v>
      </c>
      <c r="W22" s="228">
        <v>-12.4</v>
      </c>
      <c r="X22" s="229">
        <v>-6.0000000000000001E-3</v>
      </c>
      <c r="Y22" s="228">
        <v>4.7</v>
      </c>
      <c r="Z22" s="228">
        <v>4.5999999999999996</v>
      </c>
      <c r="AA22" s="228">
        <v>0.1</v>
      </c>
      <c r="AB22" s="229">
        <v>2.3E-3</v>
      </c>
      <c r="AC22" s="228">
        <v>4.7</v>
      </c>
      <c r="AD22" s="228">
        <v>4.5999999999999996</v>
      </c>
      <c r="AE22" s="228">
        <v>0.1</v>
      </c>
      <c r="AF22" s="229">
        <v>2.3E-3</v>
      </c>
      <c r="AG22" s="228">
        <v>17.899999999999999</v>
      </c>
      <c r="AH22" s="228">
        <v>18.2</v>
      </c>
      <c r="AI22" s="228">
        <v>-0.3</v>
      </c>
      <c r="AJ22" s="229">
        <v>8.8999999999999999E-3</v>
      </c>
      <c r="AK22" s="228">
        <v>29.7</v>
      </c>
      <c r="AL22" s="228">
        <v>28.1</v>
      </c>
      <c r="AM22" s="228">
        <v>1.6</v>
      </c>
      <c r="AN22" s="229">
        <v>1.47E-2</v>
      </c>
      <c r="AO22" s="231">
        <v>2027.88</v>
      </c>
      <c r="AP22" s="231">
        <v>2037.45</v>
      </c>
      <c r="AQ22" s="228">
        <v>0</v>
      </c>
      <c r="AR22" s="230">
        <v>1484500</v>
      </c>
      <c r="AS22" s="230">
        <v>1689000</v>
      </c>
      <c r="AT22" s="230">
        <v>-204500</v>
      </c>
      <c r="AU22" s="229">
        <v>-0.1211</v>
      </c>
      <c r="AV22" s="230">
        <v>1075750</v>
      </c>
      <c r="AW22" s="230">
        <v>1342250</v>
      </c>
      <c r="AX22" s="230">
        <v>-266500</v>
      </c>
      <c r="AY22" s="229">
        <v>-0.19850000000000001</v>
      </c>
      <c r="AZ22" s="230">
        <v>393250</v>
      </c>
      <c r="BA22" s="230">
        <v>327750</v>
      </c>
      <c r="BB22" s="230">
        <v>65500</v>
      </c>
      <c r="BC22" s="229">
        <v>0.19980000000000001</v>
      </c>
      <c r="BD22" s="230">
        <v>15500</v>
      </c>
      <c r="BE22" s="230">
        <v>19000</v>
      </c>
      <c r="BF22" s="230">
        <v>-3500</v>
      </c>
      <c r="BG22" s="229">
        <v>-0.1842</v>
      </c>
      <c r="BH22" s="230">
        <v>4274500</v>
      </c>
      <c r="BI22" s="230">
        <v>3913250</v>
      </c>
      <c r="BJ22" s="230">
        <v>361250</v>
      </c>
      <c r="BK22" s="229">
        <v>9.2299999999999993E-2</v>
      </c>
      <c r="BL22" s="230">
        <v>2876750</v>
      </c>
      <c r="BM22" s="230">
        <v>2508250</v>
      </c>
      <c r="BN22" s="230">
        <v>368500</v>
      </c>
      <c r="BO22" s="229">
        <v>0.1469</v>
      </c>
      <c r="BP22" s="230">
        <v>8635750</v>
      </c>
      <c r="BQ22" s="230">
        <v>8110500</v>
      </c>
      <c r="BR22" s="230">
        <v>525250</v>
      </c>
      <c r="BS22" s="229">
        <v>6.4799999999999996E-2</v>
      </c>
      <c r="BT22" s="230">
        <v>615615</v>
      </c>
      <c r="BU22" s="230">
        <v>526925</v>
      </c>
      <c r="BV22" s="230">
        <v>88690</v>
      </c>
      <c r="BW22" s="229">
        <v>0.16830000000000001</v>
      </c>
      <c r="BX22" s="230">
        <v>18559500</v>
      </c>
      <c r="BY22" s="230">
        <v>18475500</v>
      </c>
      <c r="BZ22" s="230">
        <v>84000</v>
      </c>
      <c r="CA22" s="229">
        <v>4.4999999999999997E-3</v>
      </c>
      <c r="CB22" s="230">
        <v>15905000</v>
      </c>
      <c r="CC22" s="230">
        <v>16163250</v>
      </c>
      <c r="CD22" s="230">
        <v>-258250</v>
      </c>
      <c r="CE22" s="229">
        <v>-1.6E-2</v>
      </c>
      <c r="CF22" s="230">
        <v>2585500</v>
      </c>
      <c r="CG22" s="230">
        <v>2245750</v>
      </c>
      <c r="CH22" s="230">
        <v>339750</v>
      </c>
      <c r="CI22" s="229">
        <v>0.15129999999999999</v>
      </c>
      <c r="CJ22" s="230">
        <v>69000</v>
      </c>
      <c r="CK22" s="230">
        <v>66500</v>
      </c>
      <c r="CL22" s="230">
        <v>2500</v>
      </c>
      <c r="CM22" s="229">
        <v>3.7600000000000001E-2</v>
      </c>
      <c r="CN22" s="230">
        <v>5588000</v>
      </c>
      <c r="CO22" s="230">
        <v>5268750</v>
      </c>
      <c r="CP22" s="230">
        <v>319250</v>
      </c>
      <c r="CQ22" s="229">
        <v>6.0600000000000001E-2</v>
      </c>
      <c r="CR22" s="230">
        <v>3656250</v>
      </c>
      <c r="CS22" s="230">
        <v>3724000</v>
      </c>
      <c r="CT22" s="230">
        <v>-67750</v>
      </c>
      <c r="CU22" s="229">
        <v>-1.8200000000000001E-2</v>
      </c>
      <c r="CV22" s="230">
        <v>27803750</v>
      </c>
      <c r="CW22" s="230">
        <v>27468250</v>
      </c>
      <c r="CX22" s="230">
        <v>335500</v>
      </c>
      <c r="CY22" s="229">
        <v>1.2200000000000001E-2</v>
      </c>
      <c r="CZ22" s="228">
        <v>19.05</v>
      </c>
      <c r="DA22" s="228">
        <v>19.690000000000001</v>
      </c>
      <c r="DB22" s="228">
        <v>-0.64</v>
      </c>
      <c r="DC22" s="228">
        <v>-0.64</v>
      </c>
      <c r="DD22" s="228">
        <v>28.74</v>
      </c>
      <c r="DE22" s="228">
        <v>28.79</v>
      </c>
      <c r="DF22" s="228">
        <v>-9.69</v>
      </c>
      <c r="DG22" s="228">
        <v>-0.05</v>
      </c>
      <c r="DH22" s="228">
        <v>19.670000000000002</v>
      </c>
      <c r="DI22" s="228">
        <v>20.07</v>
      </c>
      <c r="DJ22" s="228">
        <v>-0.4</v>
      </c>
      <c r="DK22" s="228">
        <v>-0.4</v>
      </c>
      <c r="DL22" s="228">
        <v>18.13</v>
      </c>
      <c r="DM22" s="228">
        <v>19.100000000000001</v>
      </c>
      <c r="DN22" s="228">
        <v>-0.97</v>
      </c>
      <c r="DO22" s="228">
        <v>-0.97</v>
      </c>
      <c r="DP22" s="228">
        <v>0.65</v>
      </c>
      <c r="DQ22" s="228">
        <v>0.71</v>
      </c>
      <c r="DR22" s="228">
        <v>-0.06</v>
      </c>
      <c r="DS22" s="229">
        <v>-8.4500000000000006E-2</v>
      </c>
      <c r="DT22" s="231">
        <v>2100</v>
      </c>
      <c r="DU22" s="231">
        <v>2000</v>
      </c>
      <c r="DV22" s="228">
        <v>0.67</v>
      </c>
      <c r="DW22" s="228">
        <v>0.64</v>
      </c>
      <c r="DX22" s="228">
        <v>0.03</v>
      </c>
      <c r="DY22" s="229">
        <v>4.6899999999999997E-2</v>
      </c>
      <c r="DZ22" s="229">
        <v>0.14299999999999999</v>
      </c>
      <c r="EA22" s="230">
        <v>2312250</v>
      </c>
      <c r="EB22" s="229">
        <v>6.4999999999999997E-3</v>
      </c>
      <c r="EC22" s="229">
        <v>0.14299999999999999</v>
      </c>
      <c r="ED22" s="228">
        <v>9.57</v>
      </c>
      <c r="EE22" s="229">
        <v>4.7000000000000002E-3</v>
      </c>
      <c r="EF22" s="230">
        <v>393483</v>
      </c>
      <c r="EG22" s="230">
        <v>317220</v>
      </c>
      <c r="EH22" s="229">
        <v>0.2404</v>
      </c>
      <c r="EI22" s="229">
        <v>0.63919999999999999</v>
      </c>
      <c r="EJ22" s="231">
        <v>89664.55</v>
      </c>
      <c r="EK22" s="231">
        <v>58536.71</v>
      </c>
      <c r="EL22" s="231">
        <v>30145.82</v>
      </c>
      <c r="EM22" s="231">
        <v>6791</v>
      </c>
      <c r="EN22" s="231">
        <v>178347.08</v>
      </c>
      <c r="EO22" s="231">
        <v>168787.16</v>
      </c>
      <c r="EP22" s="231">
        <v>9559.92</v>
      </c>
      <c r="EQ22" s="229">
        <v>5.6599999999999998E-2</v>
      </c>
      <c r="ER22" s="231">
        <v>119892</v>
      </c>
      <c r="ES22" s="231">
        <v>72639</v>
      </c>
      <c r="ET22" s="231">
        <v>376355</v>
      </c>
      <c r="EU22" s="231">
        <v>65659712</v>
      </c>
      <c r="EV22" s="231">
        <v>568887</v>
      </c>
      <c r="EW22" s="231">
        <v>564623</v>
      </c>
      <c r="EX22" s="231">
        <v>4264</v>
      </c>
      <c r="EY22" s="229">
        <v>7.6E-3</v>
      </c>
      <c r="EZ22" s="229">
        <v>0.42349999999999999</v>
      </c>
      <c r="FA22" s="227" t="s">
        <v>567</v>
      </c>
      <c r="FB22" s="161">
        <f t="shared" si="0"/>
        <v>2654500</v>
      </c>
    </row>
    <row r="23" spans="1:158" ht="17.25" hidden="1" thickBot="1" x14ac:dyDescent="0.3">
      <c r="A23" s="226">
        <v>46008</v>
      </c>
      <c r="B23" s="227" t="s">
        <v>175</v>
      </c>
      <c r="C23" s="227" t="s">
        <v>177</v>
      </c>
      <c r="D23" s="228">
        <v>750</v>
      </c>
      <c r="E23" s="231">
        <v>1003.1</v>
      </c>
      <c r="F23" s="231">
        <v>1001.1</v>
      </c>
      <c r="G23" s="228">
        <v>2</v>
      </c>
      <c r="H23" s="229">
        <v>2E-3</v>
      </c>
      <c r="I23" s="228">
        <v>999.6</v>
      </c>
      <c r="J23" s="228">
        <v>998.4</v>
      </c>
      <c r="K23" s="228">
        <v>1.2</v>
      </c>
      <c r="L23" s="229">
        <v>1.1999999999999999E-3</v>
      </c>
      <c r="M23" s="231">
        <v>1003.1</v>
      </c>
      <c r="N23" s="231">
        <v>1001.1</v>
      </c>
      <c r="O23" s="228">
        <v>2</v>
      </c>
      <c r="P23" s="229">
        <v>2E-3</v>
      </c>
      <c r="Q23" s="231">
        <v>1009</v>
      </c>
      <c r="R23" s="231">
        <v>1007</v>
      </c>
      <c r="S23" s="228">
        <v>2</v>
      </c>
      <c r="T23" s="229">
        <v>2E-3</v>
      </c>
      <c r="U23" s="231">
        <v>1014.6</v>
      </c>
      <c r="V23" s="231">
        <v>1012.3</v>
      </c>
      <c r="W23" s="228">
        <v>2.2999999999999998</v>
      </c>
      <c r="X23" s="229">
        <v>2.3E-3</v>
      </c>
      <c r="Y23" s="228">
        <v>3.5</v>
      </c>
      <c r="Z23" s="228">
        <v>2.7</v>
      </c>
      <c r="AA23" s="228">
        <v>0.8</v>
      </c>
      <c r="AB23" s="229">
        <v>3.5000000000000001E-3</v>
      </c>
      <c r="AC23" s="228">
        <v>3.5</v>
      </c>
      <c r="AD23" s="228">
        <v>2.7</v>
      </c>
      <c r="AE23" s="228">
        <v>0.8</v>
      </c>
      <c r="AF23" s="229">
        <v>3.5000000000000001E-3</v>
      </c>
      <c r="AG23" s="228">
        <v>9.4</v>
      </c>
      <c r="AH23" s="228">
        <v>8.6</v>
      </c>
      <c r="AI23" s="228">
        <v>0.8</v>
      </c>
      <c r="AJ23" s="229">
        <v>9.4000000000000004E-3</v>
      </c>
      <c r="AK23" s="228">
        <v>15</v>
      </c>
      <c r="AL23" s="228">
        <v>13.9</v>
      </c>
      <c r="AM23" s="228">
        <v>1.1000000000000001</v>
      </c>
      <c r="AN23" s="229">
        <v>1.4999999999999999E-2</v>
      </c>
      <c r="AO23" s="231">
        <v>1004.68</v>
      </c>
      <c r="AP23" s="231">
        <v>1008.98</v>
      </c>
      <c r="AQ23" s="228">
        <v>0</v>
      </c>
      <c r="AR23" s="230">
        <v>9633750</v>
      </c>
      <c r="AS23" s="230">
        <v>8215500</v>
      </c>
      <c r="AT23" s="230">
        <v>1418250</v>
      </c>
      <c r="AU23" s="229">
        <v>0.1726</v>
      </c>
      <c r="AV23" s="230">
        <v>6960750</v>
      </c>
      <c r="AW23" s="230">
        <v>5974500</v>
      </c>
      <c r="AX23" s="230">
        <v>986250</v>
      </c>
      <c r="AY23" s="229">
        <v>0.1651</v>
      </c>
      <c r="AZ23" s="230">
        <v>2631000</v>
      </c>
      <c r="BA23" s="230">
        <v>2175750</v>
      </c>
      <c r="BB23" s="230">
        <v>455250</v>
      </c>
      <c r="BC23" s="229">
        <v>0.2092</v>
      </c>
      <c r="BD23" s="230">
        <v>42000</v>
      </c>
      <c r="BE23" s="230">
        <v>65250</v>
      </c>
      <c r="BF23" s="230">
        <v>-23250</v>
      </c>
      <c r="BG23" s="229">
        <v>-0.35630000000000001</v>
      </c>
      <c r="BH23" s="230">
        <v>25860750</v>
      </c>
      <c r="BI23" s="230">
        <v>20904750</v>
      </c>
      <c r="BJ23" s="230">
        <v>4956000</v>
      </c>
      <c r="BK23" s="229">
        <v>0.23710000000000001</v>
      </c>
      <c r="BL23" s="230">
        <v>12162750</v>
      </c>
      <c r="BM23" s="230">
        <v>9556500</v>
      </c>
      <c r="BN23" s="230">
        <v>2606250</v>
      </c>
      <c r="BO23" s="229">
        <v>0.2727</v>
      </c>
      <c r="BP23" s="230">
        <v>47657250</v>
      </c>
      <c r="BQ23" s="230">
        <v>38676750</v>
      </c>
      <c r="BR23" s="230">
        <v>8980500</v>
      </c>
      <c r="BS23" s="229">
        <v>0.23219999999999999</v>
      </c>
      <c r="BT23" s="230">
        <v>4883036</v>
      </c>
      <c r="BU23" s="230">
        <v>4871125</v>
      </c>
      <c r="BV23" s="230">
        <v>11911</v>
      </c>
      <c r="BW23" s="229">
        <v>2.3999999999999998E-3</v>
      </c>
      <c r="BX23" s="230">
        <v>88182000</v>
      </c>
      <c r="BY23" s="230">
        <v>88746750</v>
      </c>
      <c r="BZ23" s="230">
        <v>-564750</v>
      </c>
      <c r="CA23" s="229">
        <v>-6.4000000000000003E-3</v>
      </c>
      <c r="CB23" s="230">
        <v>77315250</v>
      </c>
      <c r="CC23" s="230">
        <v>80023500</v>
      </c>
      <c r="CD23" s="230">
        <v>-2708250</v>
      </c>
      <c r="CE23" s="229">
        <v>-3.3799999999999997E-2</v>
      </c>
      <c r="CF23" s="230">
        <v>10260000</v>
      </c>
      <c r="CG23" s="230">
        <v>8124000</v>
      </c>
      <c r="CH23" s="230">
        <v>2136000</v>
      </c>
      <c r="CI23" s="229">
        <v>0.26290000000000002</v>
      </c>
      <c r="CJ23" s="230">
        <v>606750</v>
      </c>
      <c r="CK23" s="230">
        <v>599250</v>
      </c>
      <c r="CL23" s="230">
        <v>7500</v>
      </c>
      <c r="CM23" s="229">
        <v>1.2500000000000001E-2</v>
      </c>
      <c r="CN23" s="230">
        <v>32435250</v>
      </c>
      <c r="CO23" s="230">
        <v>32183250</v>
      </c>
      <c r="CP23" s="230">
        <v>252000</v>
      </c>
      <c r="CQ23" s="229">
        <v>7.7999999999999996E-3</v>
      </c>
      <c r="CR23" s="230">
        <v>19207500</v>
      </c>
      <c r="CS23" s="230">
        <v>18715500</v>
      </c>
      <c r="CT23" s="230">
        <v>492000</v>
      </c>
      <c r="CU23" s="229">
        <v>2.63E-2</v>
      </c>
      <c r="CV23" s="230">
        <v>139824750</v>
      </c>
      <c r="CW23" s="230">
        <v>139645500</v>
      </c>
      <c r="CX23" s="230">
        <v>179250</v>
      </c>
      <c r="CY23" s="229">
        <v>1.2999999999999999E-3</v>
      </c>
      <c r="CZ23" s="228">
        <v>21.82</v>
      </c>
      <c r="DA23" s="228">
        <v>22.27</v>
      </c>
      <c r="DB23" s="228">
        <v>-0.45</v>
      </c>
      <c r="DC23" s="228">
        <v>-0.45</v>
      </c>
      <c r="DD23" s="228">
        <v>31.6</v>
      </c>
      <c r="DE23" s="228">
        <v>31.68</v>
      </c>
      <c r="DF23" s="228">
        <v>-9.7799999999999994</v>
      </c>
      <c r="DG23" s="228">
        <v>-0.08</v>
      </c>
      <c r="DH23" s="228">
        <v>22.41</v>
      </c>
      <c r="DI23" s="228">
        <v>22.98</v>
      </c>
      <c r="DJ23" s="228">
        <v>-0.56999999999999995</v>
      </c>
      <c r="DK23" s="228">
        <v>-0.56999999999999995</v>
      </c>
      <c r="DL23" s="228">
        <v>20.55</v>
      </c>
      <c r="DM23" s="228">
        <v>20.73</v>
      </c>
      <c r="DN23" s="228">
        <v>-0.18</v>
      </c>
      <c r="DO23" s="228">
        <v>-0.18</v>
      </c>
      <c r="DP23" s="228">
        <v>0.59</v>
      </c>
      <c r="DQ23" s="228">
        <v>0.57999999999999996</v>
      </c>
      <c r="DR23" s="228">
        <v>0.01</v>
      </c>
      <c r="DS23" s="229">
        <v>1.72E-2</v>
      </c>
      <c r="DT23" s="231">
        <v>1020</v>
      </c>
      <c r="DU23" s="231">
        <v>1000</v>
      </c>
      <c r="DV23" s="228">
        <v>0.47</v>
      </c>
      <c r="DW23" s="228">
        <v>0.46</v>
      </c>
      <c r="DX23" s="228">
        <v>0.01</v>
      </c>
      <c r="DY23" s="229">
        <v>2.1700000000000001E-2</v>
      </c>
      <c r="DZ23" s="229">
        <v>0.1232</v>
      </c>
      <c r="EA23" s="230">
        <v>8723250</v>
      </c>
      <c r="EB23" s="229">
        <v>5.8999999999999999E-3</v>
      </c>
      <c r="EC23" s="229">
        <v>0.1232</v>
      </c>
      <c r="ED23" s="228">
        <v>4.3</v>
      </c>
      <c r="EE23" s="229">
        <v>4.3E-3</v>
      </c>
      <c r="EF23" s="230">
        <v>3045407</v>
      </c>
      <c r="EG23" s="230">
        <v>3278540</v>
      </c>
      <c r="EH23" s="229">
        <v>-7.1099999999999997E-2</v>
      </c>
      <c r="EI23" s="229">
        <v>0.62370000000000003</v>
      </c>
      <c r="EJ23" s="231">
        <v>270440.06</v>
      </c>
      <c r="EK23" s="231">
        <v>121395.43</v>
      </c>
      <c r="EL23" s="231">
        <v>96905.5</v>
      </c>
      <c r="EM23" s="231">
        <v>8941</v>
      </c>
      <c r="EN23" s="231">
        <v>488740.99</v>
      </c>
      <c r="EO23" s="231">
        <v>398669.52</v>
      </c>
      <c r="EP23" s="231">
        <v>90071.47</v>
      </c>
      <c r="EQ23" s="229">
        <v>0.22589999999999999</v>
      </c>
      <c r="ER23" s="231">
        <v>344015</v>
      </c>
      <c r="ES23" s="231">
        <v>191075</v>
      </c>
      <c r="ET23" s="231">
        <v>885229</v>
      </c>
      <c r="EU23" s="231">
        <v>281116345</v>
      </c>
      <c r="EV23" s="231">
        <v>1420318</v>
      </c>
      <c r="EW23" s="231">
        <v>1417209</v>
      </c>
      <c r="EX23" s="231">
        <v>3109</v>
      </c>
      <c r="EY23" s="229">
        <v>2.2000000000000001E-3</v>
      </c>
      <c r="EZ23" s="229">
        <v>0.49740000000000001</v>
      </c>
      <c r="FA23" s="227" t="s">
        <v>556</v>
      </c>
      <c r="FB23" s="161">
        <f t="shared" si="0"/>
        <v>10866750</v>
      </c>
    </row>
    <row r="24" spans="1:158" ht="17.25" hidden="1" thickBot="1" x14ac:dyDescent="0.3">
      <c r="A24" s="226">
        <v>46008</v>
      </c>
      <c r="B24" s="227" t="s">
        <v>172</v>
      </c>
      <c r="C24" s="227" t="s">
        <v>179</v>
      </c>
      <c r="D24" s="228">
        <v>3600</v>
      </c>
      <c r="E24" s="228">
        <v>148.63</v>
      </c>
      <c r="F24" s="228">
        <v>149.84</v>
      </c>
      <c r="G24" s="228">
        <v>-1.21</v>
      </c>
      <c r="H24" s="229">
        <v>-8.0999999999999996E-3</v>
      </c>
      <c r="I24" s="228">
        <v>147.84</v>
      </c>
      <c r="J24" s="228">
        <v>149.49</v>
      </c>
      <c r="K24" s="228">
        <v>-1.65</v>
      </c>
      <c r="L24" s="229">
        <v>-1.0999999999999999E-2</v>
      </c>
      <c r="M24" s="228">
        <v>148.63</v>
      </c>
      <c r="N24" s="228">
        <v>149.84</v>
      </c>
      <c r="O24" s="228">
        <v>-1.21</v>
      </c>
      <c r="P24" s="229">
        <v>-8.0999999999999996E-3</v>
      </c>
      <c r="Q24" s="228">
        <v>149.91999999999999</v>
      </c>
      <c r="R24" s="228">
        <v>150.05000000000001</v>
      </c>
      <c r="S24" s="228">
        <v>-0.13</v>
      </c>
      <c r="T24" s="229">
        <v>-8.9999999999999998E-4</v>
      </c>
      <c r="U24" s="228">
        <v>149.30000000000001</v>
      </c>
      <c r="V24" s="228">
        <v>153.65</v>
      </c>
      <c r="W24" s="228">
        <v>-4.3499999999999996</v>
      </c>
      <c r="X24" s="229">
        <v>-2.8299999999999999E-2</v>
      </c>
      <c r="Y24" s="228">
        <v>0.79</v>
      </c>
      <c r="Z24" s="228">
        <v>0.35</v>
      </c>
      <c r="AA24" s="228">
        <v>0.44</v>
      </c>
      <c r="AB24" s="229">
        <v>5.3E-3</v>
      </c>
      <c r="AC24" s="228">
        <v>0.79</v>
      </c>
      <c r="AD24" s="228">
        <v>0.35</v>
      </c>
      <c r="AE24" s="228">
        <v>0.44</v>
      </c>
      <c r="AF24" s="229">
        <v>5.3E-3</v>
      </c>
      <c r="AG24" s="228">
        <v>2.08</v>
      </c>
      <c r="AH24" s="228">
        <v>0.56000000000000005</v>
      </c>
      <c r="AI24" s="228">
        <v>1.52</v>
      </c>
      <c r="AJ24" s="229">
        <v>1.41E-2</v>
      </c>
      <c r="AK24" s="228">
        <v>1.46</v>
      </c>
      <c r="AL24" s="228">
        <v>4.16</v>
      </c>
      <c r="AM24" s="228">
        <v>-2.7</v>
      </c>
      <c r="AN24" s="229">
        <v>9.9000000000000008E-3</v>
      </c>
      <c r="AO24" s="228">
        <v>149.13</v>
      </c>
      <c r="AP24" s="228">
        <v>150.22</v>
      </c>
      <c r="AQ24" s="228">
        <v>0</v>
      </c>
      <c r="AR24" s="230">
        <v>331200</v>
      </c>
      <c r="AS24" s="230">
        <v>622800</v>
      </c>
      <c r="AT24" s="230">
        <v>-291600</v>
      </c>
      <c r="AU24" s="229">
        <v>-0.46820000000000001</v>
      </c>
      <c r="AV24" s="230">
        <v>309600</v>
      </c>
      <c r="AW24" s="230">
        <v>579600</v>
      </c>
      <c r="AX24" s="230">
        <v>-270000</v>
      </c>
      <c r="AY24" s="229">
        <v>-0.46579999999999999</v>
      </c>
      <c r="AZ24" s="230">
        <v>18000</v>
      </c>
      <c r="BA24" s="230">
        <v>39600</v>
      </c>
      <c r="BB24" s="230">
        <v>-21600</v>
      </c>
      <c r="BC24" s="229">
        <v>-0.54549999999999998</v>
      </c>
      <c r="BD24" s="230">
        <v>3600</v>
      </c>
      <c r="BE24" s="230">
        <v>3600</v>
      </c>
      <c r="BF24" s="228">
        <v>0</v>
      </c>
      <c r="BG24" s="229">
        <v>0</v>
      </c>
      <c r="BH24" s="230">
        <v>1688400</v>
      </c>
      <c r="BI24" s="230">
        <v>478800</v>
      </c>
      <c r="BJ24" s="230">
        <v>1209600</v>
      </c>
      <c r="BK24" s="229">
        <v>2.5263</v>
      </c>
      <c r="BL24" s="230">
        <v>277200</v>
      </c>
      <c r="BM24" s="230">
        <v>154800</v>
      </c>
      <c r="BN24" s="230">
        <v>122400</v>
      </c>
      <c r="BO24" s="229">
        <v>0.79069999999999996</v>
      </c>
      <c r="BP24" s="230">
        <v>2296800</v>
      </c>
      <c r="BQ24" s="230">
        <v>1256400</v>
      </c>
      <c r="BR24" s="230">
        <v>1040400</v>
      </c>
      <c r="BS24" s="229">
        <v>0.82809999999999995</v>
      </c>
      <c r="BT24" s="230">
        <v>4754672</v>
      </c>
      <c r="BU24" s="230">
        <v>4513221</v>
      </c>
      <c r="BV24" s="230">
        <v>241451</v>
      </c>
      <c r="BW24" s="229">
        <v>5.3499999999999999E-2</v>
      </c>
      <c r="BX24" s="230">
        <v>113292000</v>
      </c>
      <c r="BY24" s="230">
        <v>113536800</v>
      </c>
      <c r="BZ24" s="230">
        <v>-244800</v>
      </c>
      <c r="CA24" s="229">
        <v>-2.2000000000000001E-3</v>
      </c>
      <c r="CB24" s="230">
        <v>106218000</v>
      </c>
      <c r="CC24" s="230">
        <v>106444800</v>
      </c>
      <c r="CD24" s="230">
        <v>-226800</v>
      </c>
      <c r="CE24" s="229">
        <v>-2.0999999999999999E-3</v>
      </c>
      <c r="CF24" s="230">
        <v>6361200</v>
      </c>
      <c r="CG24" s="230">
        <v>6379200</v>
      </c>
      <c r="CH24" s="230">
        <v>-18000</v>
      </c>
      <c r="CI24" s="229">
        <v>-2.8E-3</v>
      </c>
      <c r="CJ24" s="230">
        <v>712800</v>
      </c>
      <c r="CK24" s="230">
        <v>712800</v>
      </c>
      <c r="CL24" s="228">
        <v>0</v>
      </c>
      <c r="CM24" s="229">
        <v>0</v>
      </c>
      <c r="CN24" s="230">
        <v>41889600</v>
      </c>
      <c r="CO24" s="230">
        <v>42004800</v>
      </c>
      <c r="CP24" s="230">
        <v>-115200</v>
      </c>
      <c r="CQ24" s="229">
        <v>-2.7000000000000001E-3</v>
      </c>
      <c r="CR24" s="230">
        <v>28242000</v>
      </c>
      <c r="CS24" s="230">
        <v>28292400</v>
      </c>
      <c r="CT24" s="230">
        <v>-50400</v>
      </c>
      <c r="CU24" s="229">
        <v>-1.8E-3</v>
      </c>
      <c r="CV24" s="230">
        <v>183423600</v>
      </c>
      <c r="CW24" s="230">
        <v>183834000</v>
      </c>
      <c r="CX24" s="230">
        <v>-410400</v>
      </c>
      <c r="CY24" s="229">
        <v>-2.2000000000000001E-3</v>
      </c>
      <c r="CZ24" s="228">
        <v>34.520000000000003</v>
      </c>
      <c r="DA24" s="228">
        <v>30.51</v>
      </c>
      <c r="DB24" s="228">
        <v>4.01</v>
      </c>
      <c r="DC24" s="228">
        <v>4.01</v>
      </c>
      <c r="DD24" s="228">
        <v>42.12</v>
      </c>
      <c r="DE24" s="228">
        <v>42.22</v>
      </c>
      <c r="DF24" s="228">
        <v>-7.6</v>
      </c>
      <c r="DG24" s="228">
        <v>-0.1</v>
      </c>
      <c r="DH24" s="228">
        <v>33.28</v>
      </c>
      <c r="DI24" s="228">
        <v>29.04</v>
      </c>
      <c r="DJ24" s="228">
        <v>4.24</v>
      </c>
      <c r="DK24" s="228">
        <v>4.24</v>
      </c>
      <c r="DL24" s="228">
        <v>42.1</v>
      </c>
      <c r="DM24" s="228">
        <v>35.049999999999997</v>
      </c>
      <c r="DN24" s="228">
        <v>7.05</v>
      </c>
      <c r="DO24" s="228">
        <v>7.05</v>
      </c>
      <c r="DP24" s="228">
        <v>0.67</v>
      </c>
      <c r="DQ24" s="228">
        <v>0.67</v>
      </c>
      <c r="DR24" s="228">
        <v>0</v>
      </c>
      <c r="DS24" s="229">
        <v>0</v>
      </c>
      <c r="DT24" s="228">
        <v>160</v>
      </c>
      <c r="DU24" s="228">
        <v>150</v>
      </c>
      <c r="DV24" s="228">
        <v>0.16</v>
      </c>
      <c r="DW24" s="228">
        <v>0.32</v>
      </c>
      <c r="DX24" s="228">
        <v>-0.16</v>
      </c>
      <c r="DY24" s="229">
        <v>-0.5</v>
      </c>
      <c r="DZ24" s="229">
        <v>6.2399999999999997E-2</v>
      </c>
      <c r="EA24" s="230">
        <v>7092000</v>
      </c>
      <c r="EB24" s="229">
        <v>8.6999999999999994E-3</v>
      </c>
      <c r="EC24" s="229">
        <v>6.2399999999999997E-2</v>
      </c>
      <c r="ED24" s="228">
        <v>1.0900000000000001</v>
      </c>
      <c r="EE24" s="229">
        <v>7.3000000000000001E-3</v>
      </c>
      <c r="EF24" s="230">
        <v>2193197</v>
      </c>
      <c r="EG24" s="230">
        <v>2187538</v>
      </c>
      <c r="EH24" s="229">
        <v>2.5999999999999999E-3</v>
      </c>
      <c r="EI24" s="229">
        <v>0.46129999999999999</v>
      </c>
      <c r="EJ24" s="231">
        <v>2742.43</v>
      </c>
      <c r="EK24" s="228">
        <v>381.29</v>
      </c>
      <c r="EL24" s="228">
        <v>494.12</v>
      </c>
      <c r="EM24" s="228">
        <v>608</v>
      </c>
      <c r="EN24" s="231">
        <v>3617.84</v>
      </c>
      <c r="EO24" s="231">
        <v>1934.01</v>
      </c>
      <c r="EP24" s="231">
        <v>1683.83</v>
      </c>
      <c r="EQ24" s="229">
        <v>0.87060000000000004</v>
      </c>
      <c r="ER24" s="231">
        <v>67107</v>
      </c>
      <c r="ES24" s="231">
        <v>42846</v>
      </c>
      <c r="ET24" s="231">
        <v>168473</v>
      </c>
      <c r="EU24" s="231">
        <v>142752962</v>
      </c>
      <c r="EV24" s="231">
        <v>278425</v>
      </c>
      <c r="EW24" s="231">
        <v>280376</v>
      </c>
      <c r="EX24" s="231">
        <v>-1951</v>
      </c>
      <c r="EY24" s="229">
        <v>-7.0000000000000001E-3</v>
      </c>
      <c r="EZ24" s="229">
        <v>1.2848999999999999</v>
      </c>
      <c r="FA24" s="227" t="s">
        <v>568</v>
      </c>
      <c r="FB24" s="161">
        <f t="shared" si="0"/>
        <v>7074000</v>
      </c>
    </row>
    <row r="25" spans="1:158" ht="17.25" hidden="1" thickBot="1" x14ac:dyDescent="0.3">
      <c r="A25" s="226">
        <v>46008</v>
      </c>
      <c r="B25" s="227" t="s">
        <v>172</v>
      </c>
      <c r="C25" s="227" t="s">
        <v>180</v>
      </c>
      <c r="D25" s="228">
        <v>2925</v>
      </c>
      <c r="E25" s="228">
        <v>288.14999999999998</v>
      </c>
      <c r="F25" s="228">
        <v>283.39999999999998</v>
      </c>
      <c r="G25" s="228">
        <v>4.75</v>
      </c>
      <c r="H25" s="229">
        <v>1.6799999999999999E-2</v>
      </c>
      <c r="I25" s="228">
        <v>287.60000000000002</v>
      </c>
      <c r="J25" s="228">
        <v>282.85000000000002</v>
      </c>
      <c r="K25" s="228">
        <v>4.75</v>
      </c>
      <c r="L25" s="229">
        <v>1.6799999999999999E-2</v>
      </c>
      <c r="M25" s="228">
        <v>288.14999999999998</v>
      </c>
      <c r="N25" s="228">
        <v>283.39999999999998</v>
      </c>
      <c r="O25" s="228">
        <v>4.75</v>
      </c>
      <c r="P25" s="229">
        <v>1.6799999999999999E-2</v>
      </c>
      <c r="Q25" s="228">
        <v>289.85000000000002</v>
      </c>
      <c r="R25" s="228">
        <v>285.25</v>
      </c>
      <c r="S25" s="228">
        <v>4.5999999999999996</v>
      </c>
      <c r="T25" s="229">
        <v>1.61E-2</v>
      </c>
      <c r="U25" s="228">
        <v>291.2</v>
      </c>
      <c r="V25" s="228">
        <v>287.14999999999998</v>
      </c>
      <c r="W25" s="228">
        <v>4.05</v>
      </c>
      <c r="X25" s="229">
        <v>1.41E-2</v>
      </c>
      <c r="Y25" s="228">
        <v>0.55000000000000004</v>
      </c>
      <c r="Z25" s="228">
        <v>0.55000000000000004</v>
      </c>
      <c r="AA25" s="228">
        <v>0</v>
      </c>
      <c r="AB25" s="229">
        <v>1.9E-3</v>
      </c>
      <c r="AC25" s="228">
        <v>0.55000000000000004</v>
      </c>
      <c r="AD25" s="228">
        <v>0.55000000000000004</v>
      </c>
      <c r="AE25" s="228">
        <v>0</v>
      </c>
      <c r="AF25" s="229">
        <v>1.9E-3</v>
      </c>
      <c r="AG25" s="228">
        <v>2.25</v>
      </c>
      <c r="AH25" s="228">
        <v>2.4</v>
      </c>
      <c r="AI25" s="228">
        <v>-0.15</v>
      </c>
      <c r="AJ25" s="229">
        <v>7.7999999999999996E-3</v>
      </c>
      <c r="AK25" s="228">
        <v>3.6</v>
      </c>
      <c r="AL25" s="228">
        <v>4.3</v>
      </c>
      <c r="AM25" s="228">
        <v>-0.7</v>
      </c>
      <c r="AN25" s="229">
        <v>1.2500000000000001E-2</v>
      </c>
      <c r="AO25" s="228">
        <v>287.25</v>
      </c>
      <c r="AP25" s="228">
        <v>288.52999999999997</v>
      </c>
      <c r="AQ25" s="228">
        <v>0</v>
      </c>
      <c r="AR25" s="230">
        <v>19334250</v>
      </c>
      <c r="AS25" s="230">
        <v>12908025</v>
      </c>
      <c r="AT25" s="230">
        <v>6426225</v>
      </c>
      <c r="AU25" s="229">
        <v>0.49780000000000002</v>
      </c>
      <c r="AV25" s="230">
        <v>16061175</v>
      </c>
      <c r="AW25" s="230">
        <v>10471500</v>
      </c>
      <c r="AX25" s="230">
        <v>5589675</v>
      </c>
      <c r="AY25" s="229">
        <v>0.53380000000000005</v>
      </c>
      <c r="AZ25" s="230">
        <v>3132675</v>
      </c>
      <c r="BA25" s="230">
        <v>2354625</v>
      </c>
      <c r="BB25" s="230">
        <v>778050</v>
      </c>
      <c r="BC25" s="229">
        <v>0.33040000000000003</v>
      </c>
      <c r="BD25" s="230">
        <v>140400</v>
      </c>
      <c r="BE25" s="230">
        <v>81900</v>
      </c>
      <c r="BF25" s="230">
        <v>58500</v>
      </c>
      <c r="BG25" s="229">
        <v>0.71430000000000005</v>
      </c>
      <c r="BH25" s="230">
        <v>67585050</v>
      </c>
      <c r="BI25" s="230">
        <v>42348150</v>
      </c>
      <c r="BJ25" s="230">
        <v>25236900</v>
      </c>
      <c r="BK25" s="229">
        <v>0.59589999999999999</v>
      </c>
      <c r="BL25" s="230">
        <v>35345700</v>
      </c>
      <c r="BM25" s="230">
        <v>18146700</v>
      </c>
      <c r="BN25" s="230">
        <v>17199000</v>
      </c>
      <c r="BO25" s="229">
        <v>0.94779999999999998</v>
      </c>
      <c r="BP25" s="230">
        <v>122265000</v>
      </c>
      <c r="BQ25" s="230">
        <v>73402875</v>
      </c>
      <c r="BR25" s="230">
        <v>48862125</v>
      </c>
      <c r="BS25" s="229">
        <v>0.66569999999999996</v>
      </c>
      <c r="BT25" s="230">
        <v>18872083</v>
      </c>
      <c r="BU25" s="230">
        <v>5950231</v>
      </c>
      <c r="BV25" s="230">
        <v>12921852</v>
      </c>
      <c r="BW25" s="229">
        <v>2.1717</v>
      </c>
      <c r="BX25" s="230">
        <v>87609600</v>
      </c>
      <c r="BY25" s="230">
        <v>88981425</v>
      </c>
      <c r="BZ25" s="230">
        <v>-1371825</v>
      </c>
      <c r="CA25" s="229">
        <v>-1.54E-2</v>
      </c>
      <c r="CB25" s="230">
        <v>79457625</v>
      </c>
      <c r="CC25" s="230">
        <v>81680625</v>
      </c>
      <c r="CD25" s="230">
        <v>-2223000</v>
      </c>
      <c r="CE25" s="229">
        <v>-2.7199999999999998E-2</v>
      </c>
      <c r="CF25" s="230">
        <v>7520175</v>
      </c>
      <c r="CG25" s="230">
        <v>6683625</v>
      </c>
      <c r="CH25" s="230">
        <v>836550</v>
      </c>
      <c r="CI25" s="229">
        <v>0.12520000000000001</v>
      </c>
      <c r="CJ25" s="230">
        <v>631800</v>
      </c>
      <c r="CK25" s="230">
        <v>617175</v>
      </c>
      <c r="CL25" s="230">
        <v>14625</v>
      </c>
      <c r="CM25" s="229">
        <v>2.3699999999999999E-2</v>
      </c>
      <c r="CN25" s="230">
        <v>50625900</v>
      </c>
      <c r="CO25" s="230">
        <v>53858025</v>
      </c>
      <c r="CP25" s="230">
        <v>-3232125</v>
      </c>
      <c r="CQ25" s="229">
        <v>-0.06</v>
      </c>
      <c r="CR25" s="230">
        <v>40107600</v>
      </c>
      <c r="CS25" s="230">
        <v>39668850</v>
      </c>
      <c r="CT25" s="230">
        <v>438750</v>
      </c>
      <c r="CU25" s="229">
        <v>1.11E-2</v>
      </c>
      <c r="CV25" s="230">
        <v>178343100</v>
      </c>
      <c r="CW25" s="230">
        <v>182508300</v>
      </c>
      <c r="CX25" s="230">
        <v>-4165200</v>
      </c>
      <c r="CY25" s="229">
        <v>-2.2800000000000001E-2</v>
      </c>
      <c r="CZ25" s="228">
        <v>23.26</v>
      </c>
      <c r="DA25" s="228">
        <v>24</v>
      </c>
      <c r="DB25" s="228">
        <v>-0.74</v>
      </c>
      <c r="DC25" s="228">
        <v>-0.74</v>
      </c>
      <c r="DD25" s="228">
        <v>34.03</v>
      </c>
      <c r="DE25" s="228">
        <v>34.04</v>
      </c>
      <c r="DF25" s="228">
        <v>-10.77</v>
      </c>
      <c r="DG25" s="228">
        <v>-0.01</v>
      </c>
      <c r="DH25" s="228">
        <v>23.07</v>
      </c>
      <c r="DI25" s="228">
        <v>24.24</v>
      </c>
      <c r="DJ25" s="228">
        <v>-1.17</v>
      </c>
      <c r="DK25" s="228">
        <v>-1.17</v>
      </c>
      <c r="DL25" s="228">
        <v>23.63</v>
      </c>
      <c r="DM25" s="228">
        <v>23.44</v>
      </c>
      <c r="DN25" s="228">
        <v>0.19</v>
      </c>
      <c r="DO25" s="228">
        <v>0.19</v>
      </c>
      <c r="DP25" s="228">
        <v>0.79</v>
      </c>
      <c r="DQ25" s="228">
        <v>0.74</v>
      </c>
      <c r="DR25" s="228">
        <v>0.05</v>
      </c>
      <c r="DS25" s="229">
        <v>6.7599999999999993E-2</v>
      </c>
      <c r="DT25" s="228">
        <v>300</v>
      </c>
      <c r="DU25" s="228">
        <v>280</v>
      </c>
      <c r="DV25" s="228">
        <v>0.52</v>
      </c>
      <c r="DW25" s="228">
        <v>0.43</v>
      </c>
      <c r="DX25" s="228">
        <v>0.09</v>
      </c>
      <c r="DY25" s="229">
        <v>0.20930000000000001</v>
      </c>
      <c r="DZ25" s="229">
        <v>9.2999999999999999E-2</v>
      </c>
      <c r="EA25" s="230">
        <v>7300800</v>
      </c>
      <c r="EB25" s="229">
        <v>5.8999999999999999E-3</v>
      </c>
      <c r="EC25" s="229">
        <v>9.2999999999999999E-2</v>
      </c>
      <c r="ED25" s="228">
        <v>1.28</v>
      </c>
      <c r="EE25" s="229">
        <v>4.4999999999999997E-3</v>
      </c>
      <c r="EF25" s="230">
        <v>13005809</v>
      </c>
      <c r="EG25" s="230">
        <v>3284523</v>
      </c>
      <c r="EH25" s="229">
        <v>2.9597000000000002</v>
      </c>
      <c r="EI25" s="229">
        <v>0.68920000000000003</v>
      </c>
      <c r="EJ25" s="231">
        <v>200271.91</v>
      </c>
      <c r="EK25" s="231">
        <v>100541.48</v>
      </c>
      <c r="EL25" s="231">
        <v>55582.64</v>
      </c>
      <c r="EM25" s="231">
        <v>4856</v>
      </c>
      <c r="EN25" s="231">
        <v>356396.03</v>
      </c>
      <c r="EO25" s="231">
        <v>212718.3</v>
      </c>
      <c r="EP25" s="231">
        <v>143677.73000000001</v>
      </c>
      <c r="EQ25" s="229">
        <v>0.6754</v>
      </c>
      <c r="ER25" s="231">
        <v>150473</v>
      </c>
      <c r="ES25" s="231">
        <v>113094</v>
      </c>
      <c r="ET25" s="231">
        <v>252594</v>
      </c>
      <c r="EU25" s="231">
        <v>257509827</v>
      </c>
      <c r="EV25" s="231">
        <v>516161</v>
      </c>
      <c r="EW25" s="231">
        <v>524188</v>
      </c>
      <c r="EX25" s="231">
        <v>-8027</v>
      </c>
      <c r="EY25" s="229">
        <v>-1.5299999999999999E-2</v>
      </c>
      <c r="EZ25" s="229">
        <v>0.69259999999999999</v>
      </c>
      <c r="FA25" s="227" t="s">
        <v>556</v>
      </c>
      <c r="FB25" s="161">
        <f t="shared" si="0"/>
        <v>8151975</v>
      </c>
    </row>
    <row r="26" spans="1:158" ht="17.25" hidden="1" thickBot="1" x14ac:dyDescent="0.3">
      <c r="A26" s="226">
        <v>46008</v>
      </c>
      <c r="B26" s="227" t="s">
        <v>172</v>
      </c>
      <c r="C26" s="227" t="s">
        <v>602</v>
      </c>
      <c r="D26" s="228">
        <v>5200</v>
      </c>
      <c r="E26" s="228">
        <v>142.44</v>
      </c>
      <c r="F26" s="228">
        <v>140.01</v>
      </c>
      <c r="G26" s="228">
        <v>2.4300000000000002</v>
      </c>
      <c r="H26" s="229">
        <v>1.7399999999999999E-2</v>
      </c>
      <c r="I26" s="228">
        <v>141.96</v>
      </c>
      <c r="J26" s="228">
        <v>139.38</v>
      </c>
      <c r="K26" s="228">
        <v>2.58</v>
      </c>
      <c r="L26" s="229">
        <v>1.8499999999999999E-2</v>
      </c>
      <c r="M26" s="228">
        <v>142.44</v>
      </c>
      <c r="N26" s="228">
        <v>140.01</v>
      </c>
      <c r="O26" s="228">
        <v>2.4300000000000002</v>
      </c>
      <c r="P26" s="229">
        <v>1.7399999999999999E-2</v>
      </c>
      <c r="Q26" s="228">
        <v>143.27000000000001</v>
      </c>
      <c r="R26" s="228">
        <v>140.91</v>
      </c>
      <c r="S26" s="228">
        <v>2.36</v>
      </c>
      <c r="T26" s="229">
        <v>1.67E-2</v>
      </c>
      <c r="U26" s="228">
        <v>143.9</v>
      </c>
      <c r="V26" s="228">
        <v>141.9</v>
      </c>
      <c r="W26" s="228">
        <v>2</v>
      </c>
      <c r="X26" s="229">
        <v>1.41E-2</v>
      </c>
      <c r="Y26" s="228">
        <v>0.48</v>
      </c>
      <c r="Z26" s="228">
        <v>0.63</v>
      </c>
      <c r="AA26" s="228">
        <v>-0.15</v>
      </c>
      <c r="AB26" s="229">
        <v>3.3999999999999998E-3</v>
      </c>
      <c r="AC26" s="228">
        <v>0.48</v>
      </c>
      <c r="AD26" s="228">
        <v>0.63</v>
      </c>
      <c r="AE26" s="228">
        <v>-0.15</v>
      </c>
      <c r="AF26" s="229">
        <v>3.3999999999999998E-3</v>
      </c>
      <c r="AG26" s="228">
        <v>1.31</v>
      </c>
      <c r="AH26" s="228">
        <v>1.53</v>
      </c>
      <c r="AI26" s="228">
        <v>-0.22</v>
      </c>
      <c r="AJ26" s="229">
        <v>9.1999999999999998E-3</v>
      </c>
      <c r="AK26" s="228">
        <v>1.94</v>
      </c>
      <c r="AL26" s="228">
        <v>2.52</v>
      </c>
      <c r="AM26" s="228">
        <v>-0.57999999999999996</v>
      </c>
      <c r="AN26" s="229">
        <v>1.37E-2</v>
      </c>
      <c r="AO26" s="228">
        <v>142.24</v>
      </c>
      <c r="AP26" s="228">
        <v>143.13999999999999</v>
      </c>
      <c r="AQ26" s="228">
        <v>0</v>
      </c>
      <c r="AR26" s="230">
        <v>11008400</v>
      </c>
      <c r="AS26" s="230">
        <v>6973200</v>
      </c>
      <c r="AT26" s="230">
        <v>4035200</v>
      </c>
      <c r="AU26" s="229">
        <v>0.57869999999999999</v>
      </c>
      <c r="AV26" s="230">
        <v>9422400</v>
      </c>
      <c r="AW26" s="230">
        <v>5907200</v>
      </c>
      <c r="AX26" s="230">
        <v>3515200</v>
      </c>
      <c r="AY26" s="229">
        <v>0.59509999999999996</v>
      </c>
      <c r="AZ26" s="230">
        <v>1482000</v>
      </c>
      <c r="BA26" s="230">
        <v>1014000</v>
      </c>
      <c r="BB26" s="230">
        <v>468000</v>
      </c>
      <c r="BC26" s="229">
        <v>0.46150000000000002</v>
      </c>
      <c r="BD26" s="230">
        <v>104000</v>
      </c>
      <c r="BE26" s="230">
        <v>52000</v>
      </c>
      <c r="BF26" s="230">
        <v>52000</v>
      </c>
      <c r="BG26" s="229">
        <v>1</v>
      </c>
      <c r="BH26" s="230">
        <v>33727200</v>
      </c>
      <c r="BI26" s="230">
        <v>9594000</v>
      </c>
      <c r="BJ26" s="230">
        <v>24133200</v>
      </c>
      <c r="BK26" s="229">
        <v>2.5154000000000001</v>
      </c>
      <c r="BL26" s="230">
        <v>12157600</v>
      </c>
      <c r="BM26" s="230">
        <v>2938000</v>
      </c>
      <c r="BN26" s="230">
        <v>9219600</v>
      </c>
      <c r="BO26" s="229">
        <v>3.1381000000000001</v>
      </c>
      <c r="BP26" s="230">
        <v>56893200</v>
      </c>
      <c r="BQ26" s="230">
        <v>19505200</v>
      </c>
      <c r="BR26" s="230">
        <v>37388000</v>
      </c>
      <c r="BS26" s="229">
        <v>1.9168000000000001</v>
      </c>
      <c r="BT26" s="230">
        <v>6836385</v>
      </c>
      <c r="BU26" s="230">
        <v>5370258</v>
      </c>
      <c r="BV26" s="230">
        <v>1466127</v>
      </c>
      <c r="BW26" s="229">
        <v>0.27300000000000002</v>
      </c>
      <c r="BX26" s="230">
        <v>50185200</v>
      </c>
      <c r="BY26" s="230">
        <v>52098800</v>
      </c>
      <c r="BZ26" s="230">
        <v>-1913600</v>
      </c>
      <c r="CA26" s="229">
        <v>-3.6700000000000003E-2</v>
      </c>
      <c r="CB26" s="230">
        <v>47117200</v>
      </c>
      <c r="CC26" s="230">
        <v>49108800</v>
      </c>
      <c r="CD26" s="230">
        <v>-1991600</v>
      </c>
      <c r="CE26" s="229">
        <v>-4.0599999999999997E-2</v>
      </c>
      <c r="CF26" s="230">
        <v>2761200</v>
      </c>
      <c r="CG26" s="230">
        <v>2698800</v>
      </c>
      <c r="CH26" s="230">
        <v>62400</v>
      </c>
      <c r="CI26" s="229">
        <v>2.3099999999999999E-2</v>
      </c>
      <c r="CJ26" s="230">
        <v>306800</v>
      </c>
      <c r="CK26" s="230">
        <v>291200</v>
      </c>
      <c r="CL26" s="230">
        <v>15600</v>
      </c>
      <c r="CM26" s="229">
        <v>5.3600000000000002E-2</v>
      </c>
      <c r="CN26" s="230">
        <v>27596400</v>
      </c>
      <c r="CO26" s="230">
        <v>25594400</v>
      </c>
      <c r="CP26" s="230">
        <v>2002000</v>
      </c>
      <c r="CQ26" s="229">
        <v>7.8200000000000006E-2</v>
      </c>
      <c r="CR26" s="230">
        <v>19942000</v>
      </c>
      <c r="CS26" s="230">
        <v>18579600</v>
      </c>
      <c r="CT26" s="230">
        <v>1362400</v>
      </c>
      <c r="CU26" s="229">
        <v>7.3300000000000004E-2</v>
      </c>
      <c r="CV26" s="230">
        <v>97723600</v>
      </c>
      <c r="CW26" s="230">
        <v>96272800</v>
      </c>
      <c r="CX26" s="230">
        <v>1450800</v>
      </c>
      <c r="CY26" s="229">
        <v>1.5100000000000001E-2</v>
      </c>
      <c r="CZ26" s="228">
        <v>25.53</v>
      </c>
      <c r="DA26" s="228">
        <v>26.1</v>
      </c>
      <c r="DB26" s="228">
        <v>-0.56999999999999995</v>
      </c>
      <c r="DC26" s="228">
        <v>-0.56999999999999995</v>
      </c>
      <c r="DD26" s="228">
        <v>38.630000000000003</v>
      </c>
      <c r="DE26" s="228">
        <v>38.65</v>
      </c>
      <c r="DF26" s="228">
        <v>-13.1</v>
      </c>
      <c r="DG26" s="228">
        <v>-0.02</v>
      </c>
      <c r="DH26" s="228">
        <v>24.61</v>
      </c>
      <c r="DI26" s="228">
        <v>26.09</v>
      </c>
      <c r="DJ26" s="228">
        <v>-1.48</v>
      </c>
      <c r="DK26" s="228">
        <v>-1.48</v>
      </c>
      <c r="DL26" s="228">
        <v>28.08</v>
      </c>
      <c r="DM26" s="228">
        <v>26.13</v>
      </c>
      <c r="DN26" s="228">
        <v>1.95</v>
      </c>
      <c r="DO26" s="228">
        <v>1.95</v>
      </c>
      <c r="DP26" s="228">
        <v>0.72</v>
      </c>
      <c r="DQ26" s="228">
        <v>0.73</v>
      </c>
      <c r="DR26" s="228">
        <v>-0.01</v>
      </c>
      <c r="DS26" s="229">
        <v>-1.37E-2</v>
      </c>
      <c r="DT26" s="228">
        <v>150</v>
      </c>
      <c r="DU26" s="228">
        <v>140</v>
      </c>
      <c r="DV26" s="228">
        <v>0.36</v>
      </c>
      <c r="DW26" s="228">
        <v>0.31</v>
      </c>
      <c r="DX26" s="228">
        <v>0.05</v>
      </c>
      <c r="DY26" s="229">
        <v>0.1613</v>
      </c>
      <c r="DZ26" s="229">
        <v>6.1100000000000002E-2</v>
      </c>
      <c r="EA26" s="230">
        <v>2990000</v>
      </c>
      <c r="EB26" s="229">
        <v>5.7999999999999996E-3</v>
      </c>
      <c r="EC26" s="229">
        <v>6.1100000000000002E-2</v>
      </c>
      <c r="ED26" s="228">
        <v>0.9</v>
      </c>
      <c r="EE26" s="229">
        <v>6.3E-3</v>
      </c>
      <c r="EF26" s="230">
        <v>2369150</v>
      </c>
      <c r="EG26" s="230">
        <v>2994370</v>
      </c>
      <c r="EH26" s="229">
        <v>-0.20880000000000001</v>
      </c>
      <c r="EI26" s="229">
        <v>0.34660000000000002</v>
      </c>
      <c r="EJ26" s="231">
        <v>49505.279999999999</v>
      </c>
      <c r="EK26" s="231">
        <v>16857.759999999998</v>
      </c>
      <c r="EL26" s="231">
        <v>15673.57</v>
      </c>
      <c r="EM26" s="231">
        <v>1549</v>
      </c>
      <c r="EN26" s="231">
        <v>82036.61</v>
      </c>
      <c r="EO26" s="231">
        <v>28098.93</v>
      </c>
      <c r="EP26" s="231">
        <v>53937.68</v>
      </c>
      <c r="EQ26" s="229">
        <v>1.9196</v>
      </c>
      <c r="ER26" s="231">
        <v>41012</v>
      </c>
      <c r="ES26" s="231">
        <v>27722</v>
      </c>
      <c r="ET26" s="231">
        <v>71511</v>
      </c>
      <c r="EU26" s="231">
        <v>181770921</v>
      </c>
      <c r="EV26" s="231">
        <v>140245</v>
      </c>
      <c r="EW26" s="231">
        <v>136918</v>
      </c>
      <c r="EX26" s="231">
        <v>3327</v>
      </c>
      <c r="EY26" s="229">
        <v>2.4299999999999999E-2</v>
      </c>
      <c r="EZ26" s="229">
        <v>0.53759999999999997</v>
      </c>
      <c r="FA26" s="227" t="s">
        <v>556</v>
      </c>
      <c r="FB26" s="161">
        <f t="shared" si="0"/>
        <v>3068000</v>
      </c>
    </row>
    <row r="27" spans="1:158" ht="17.25" hidden="1" thickBot="1" x14ac:dyDescent="0.3">
      <c r="A27" s="226">
        <v>46008</v>
      </c>
      <c r="B27" s="227" t="s">
        <v>181</v>
      </c>
      <c r="C27" s="227" t="s">
        <v>182</v>
      </c>
      <c r="D27" s="228">
        <v>35</v>
      </c>
      <c r="E27" s="231">
        <v>59146.8</v>
      </c>
      <c r="F27" s="231">
        <v>59287.8</v>
      </c>
      <c r="G27" s="228">
        <v>-141</v>
      </c>
      <c r="H27" s="229">
        <v>-2.3999999999999998E-3</v>
      </c>
      <c r="I27" s="231">
        <v>58926.75</v>
      </c>
      <c r="J27" s="231">
        <v>59034.6</v>
      </c>
      <c r="K27" s="228">
        <v>-107.85</v>
      </c>
      <c r="L27" s="229">
        <v>-1.8E-3</v>
      </c>
      <c r="M27" s="231">
        <v>59146.8</v>
      </c>
      <c r="N27" s="231">
        <v>59287.8</v>
      </c>
      <c r="O27" s="228">
        <v>-141</v>
      </c>
      <c r="P27" s="229">
        <v>-2.3999999999999998E-3</v>
      </c>
      <c r="Q27" s="231">
        <v>59496.2</v>
      </c>
      <c r="R27" s="231">
        <v>59619.199999999997</v>
      </c>
      <c r="S27" s="228">
        <v>-123</v>
      </c>
      <c r="T27" s="229">
        <v>-2.0999999999999999E-3</v>
      </c>
      <c r="U27" s="231">
        <v>59864</v>
      </c>
      <c r="V27" s="231">
        <v>59982.2</v>
      </c>
      <c r="W27" s="228">
        <v>-118.2</v>
      </c>
      <c r="X27" s="229">
        <v>-2E-3</v>
      </c>
      <c r="Y27" s="228">
        <v>220.05</v>
      </c>
      <c r="Z27" s="228">
        <v>253.2</v>
      </c>
      <c r="AA27" s="228">
        <v>-33.15</v>
      </c>
      <c r="AB27" s="229">
        <v>3.7000000000000002E-3</v>
      </c>
      <c r="AC27" s="228">
        <v>220.05</v>
      </c>
      <c r="AD27" s="228">
        <v>253.2</v>
      </c>
      <c r="AE27" s="228">
        <v>-33.15</v>
      </c>
      <c r="AF27" s="229">
        <v>3.7000000000000002E-3</v>
      </c>
      <c r="AG27" s="228">
        <v>569.45000000000005</v>
      </c>
      <c r="AH27" s="228">
        <v>584.6</v>
      </c>
      <c r="AI27" s="228">
        <v>-15.15</v>
      </c>
      <c r="AJ27" s="229">
        <v>9.7000000000000003E-3</v>
      </c>
      <c r="AK27" s="228">
        <v>937.25</v>
      </c>
      <c r="AL27" s="228">
        <v>947.6</v>
      </c>
      <c r="AM27" s="228">
        <v>-10.35</v>
      </c>
      <c r="AN27" s="229">
        <v>1.5900000000000001E-2</v>
      </c>
      <c r="AO27" s="231">
        <v>59152.94</v>
      </c>
      <c r="AP27" s="231">
        <v>59485.82</v>
      </c>
      <c r="AQ27" s="228">
        <v>0</v>
      </c>
      <c r="AR27" s="230">
        <v>769020</v>
      </c>
      <c r="AS27" s="230">
        <v>945455</v>
      </c>
      <c r="AT27" s="230">
        <v>-176435</v>
      </c>
      <c r="AU27" s="229">
        <v>-0.18659999999999999</v>
      </c>
      <c r="AV27" s="230">
        <v>644385</v>
      </c>
      <c r="AW27" s="230">
        <v>867055</v>
      </c>
      <c r="AX27" s="230">
        <v>-222670</v>
      </c>
      <c r="AY27" s="229">
        <v>-0.25679999999999997</v>
      </c>
      <c r="AZ27" s="230">
        <v>105140</v>
      </c>
      <c r="BA27" s="230">
        <v>60165</v>
      </c>
      <c r="BB27" s="230">
        <v>44975</v>
      </c>
      <c r="BC27" s="229">
        <v>0.74750000000000005</v>
      </c>
      <c r="BD27" s="230">
        <v>19495</v>
      </c>
      <c r="BE27" s="230">
        <v>18235</v>
      </c>
      <c r="BF27" s="230">
        <v>1260</v>
      </c>
      <c r="BG27" s="229">
        <v>6.9099999999999995E-2</v>
      </c>
      <c r="BH27" s="230">
        <v>49637910</v>
      </c>
      <c r="BI27" s="230">
        <v>45734675</v>
      </c>
      <c r="BJ27" s="230">
        <v>3903235</v>
      </c>
      <c r="BK27" s="229">
        <v>8.5300000000000001E-2</v>
      </c>
      <c r="BL27" s="230">
        <v>47765655</v>
      </c>
      <c r="BM27" s="230">
        <v>43287930</v>
      </c>
      <c r="BN27" s="230">
        <v>4477725</v>
      </c>
      <c r="BO27" s="229">
        <v>0.10340000000000001</v>
      </c>
      <c r="BP27" s="230">
        <v>98172585</v>
      </c>
      <c r="BQ27" s="230">
        <v>89968060</v>
      </c>
      <c r="BR27" s="230">
        <v>8204525</v>
      </c>
      <c r="BS27" s="229">
        <v>9.1200000000000003E-2</v>
      </c>
      <c r="BT27" s="228">
        <v>0</v>
      </c>
      <c r="BU27" s="228">
        <v>0</v>
      </c>
      <c r="BV27" s="228">
        <v>0</v>
      </c>
      <c r="BW27" s="229">
        <v>0</v>
      </c>
      <c r="BX27" s="230">
        <v>2096460</v>
      </c>
      <c r="BY27" s="230">
        <v>2106125</v>
      </c>
      <c r="BZ27" s="230">
        <v>-9665</v>
      </c>
      <c r="CA27" s="229">
        <v>-4.5999999999999999E-3</v>
      </c>
      <c r="CB27" s="230">
        <v>1844640</v>
      </c>
      <c r="CC27" s="230">
        <v>1874075</v>
      </c>
      <c r="CD27" s="230">
        <v>-29435</v>
      </c>
      <c r="CE27" s="229">
        <v>-1.5699999999999999E-2</v>
      </c>
      <c r="CF27" s="230">
        <v>206010</v>
      </c>
      <c r="CG27" s="230">
        <v>189000</v>
      </c>
      <c r="CH27" s="230">
        <v>17010</v>
      </c>
      <c r="CI27" s="229">
        <v>0.09</v>
      </c>
      <c r="CJ27" s="230">
        <v>45810</v>
      </c>
      <c r="CK27" s="230">
        <v>43050</v>
      </c>
      <c r="CL27" s="230">
        <v>2760</v>
      </c>
      <c r="CM27" s="229">
        <v>6.4100000000000004E-2</v>
      </c>
      <c r="CN27" s="230">
        <v>22702860</v>
      </c>
      <c r="CO27" s="230">
        <v>21887450</v>
      </c>
      <c r="CP27" s="230">
        <v>815410</v>
      </c>
      <c r="CQ27" s="229">
        <v>3.73E-2</v>
      </c>
      <c r="CR27" s="230">
        <v>17047205</v>
      </c>
      <c r="CS27" s="230">
        <v>16900585</v>
      </c>
      <c r="CT27" s="230">
        <v>146620</v>
      </c>
      <c r="CU27" s="229">
        <v>8.6999999999999994E-3</v>
      </c>
      <c r="CV27" s="230">
        <v>41846525</v>
      </c>
      <c r="CW27" s="230">
        <v>40894160</v>
      </c>
      <c r="CX27" s="230">
        <v>952365</v>
      </c>
      <c r="CY27" s="229">
        <v>2.3300000000000001E-2</v>
      </c>
      <c r="CZ27" s="228">
        <v>10.82</v>
      </c>
      <c r="DA27" s="228">
        <v>11.04</v>
      </c>
      <c r="DB27" s="228">
        <v>-0.22</v>
      </c>
      <c r="DC27" s="228">
        <v>-0.22</v>
      </c>
      <c r="DD27" s="228">
        <v>16.02</v>
      </c>
      <c r="DE27" s="228">
        <v>16.059999999999999</v>
      </c>
      <c r="DF27" s="228">
        <v>-5.2</v>
      </c>
      <c r="DG27" s="228">
        <v>-0.04</v>
      </c>
      <c r="DH27" s="228">
        <v>10.76</v>
      </c>
      <c r="DI27" s="228">
        <v>11.11</v>
      </c>
      <c r="DJ27" s="228">
        <v>-0.35</v>
      </c>
      <c r="DK27" s="228">
        <v>-0.35</v>
      </c>
      <c r="DL27" s="228">
        <v>10.89</v>
      </c>
      <c r="DM27" s="228">
        <v>10.97</v>
      </c>
      <c r="DN27" s="228">
        <v>-0.08</v>
      </c>
      <c r="DO27" s="228">
        <v>-0.08</v>
      </c>
      <c r="DP27" s="228">
        <v>0.75</v>
      </c>
      <c r="DQ27" s="228">
        <v>0.77</v>
      </c>
      <c r="DR27" s="228">
        <v>-0.02</v>
      </c>
      <c r="DS27" s="229">
        <v>-2.5999999999999999E-2</v>
      </c>
      <c r="DT27" s="231">
        <v>59500</v>
      </c>
      <c r="DU27" s="231">
        <v>59500</v>
      </c>
      <c r="DV27" s="228">
        <v>0.96</v>
      </c>
      <c r="DW27" s="228">
        <v>0.95</v>
      </c>
      <c r="DX27" s="228">
        <v>0.01</v>
      </c>
      <c r="DY27" s="229">
        <v>1.0500000000000001E-2</v>
      </c>
      <c r="DZ27" s="229">
        <v>0.1201</v>
      </c>
      <c r="EA27" s="230">
        <v>232050</v>
      </c>
      <c r="EB27" s="229">
        <v>5.8999999999999999E-3</v>
      </c>
      <c r="EC27" s="229">
        <v>0.1201</v>
      </c>
      <c r="ED27" s="228">
        <v>332.88</v>
      </c>
      <c r="EE27" s="229">
        <v>5.5999999999999999E-3</v>
      </c>
      <c r="EF27" s="228">
        <v>0</v>
      </c>
      <c r="EG27" s="228">
        <v>0</v>
      </c>
      <c r="EH27" s="229">
        <v>0</v>
      </c>
      <c r="EI27" s="229">
        <v>0</v>
      </c>
      <c r="EJ27" s="231">
        <v>29819810.550000001</v>
      </c>
      <c r="EK27" s="231">
        <v>27947941.559999999</v>
      </c>
      <c r="EL27" s="231">
        <v>444784.76</v>
      </c>
      <c r="EM27" s="228">
        <v>0</v>
      </c>
      <c r="EN27" s="231">
        <v>58212536.869999997</v>
      </c>
      <c r="EO27" s="231">
        <v>53574482.810000002</v>
      </c>
      <c r="EP27" s="231">
        <v>4638054.0599999996</v>
      </c>
      <c r="EQ27" s="229">
        <v>8.6599999999999996E-2</v>
      </c>
      <c r="ER27" s="231">
        <v>13726010</v>
      </c>
      <c r="ES27" s="231">
        <v>9858697</v>
      </c>
      <c r="ET27" s="231">
        <v>1241037</v>
      </c>
      <c r="EU27" s="228">
        <v>0</v>
      </c>
      <c r="EV27" s="231">
        <v>24825745</v>
      </c>
      <c r="EW27" s="231">
        <v>24275959</v>
      </c>
      <c r="EX27" s="231">
        <v>549786</v>
      </c>
      <c r="EY27" s="229">
        <v>2.2599999999999999E-2</v>
      </c>
      <c r="EZ27" s="229">
        <v>0</v>
      </c>
      <c r="FA27" s="227" t="s">
        <v>568</v>
      </c>
      <c r="FB27" s="161">
        <f t="shared" si="0"/>
        <v>251820</v>
      </c>
    </row>
    <row r="28" spans="1:158" ht="17.25" hidden="1" thickBot="1" x14ac:dyDescent="0.3">
      <c r="A28" s="226">
        <v>46008</v>
      </c>
      <c r="B28" s="227" t="s">
        <v>184</v>
      </c>
      <c r="C28" s="227" t="s">
        <v>672</v>
      </c>
      <c r="D28" s="228">
        <v>325</v>
      </c>
      <c r="E28" s="231">
        <v>1328</v>
      </c>
      <c r="F28" s="231">
        <v>1356</v>
      </c>
      <c r="G28" s="228">
        <v>-28</v>
      </c>
      <c r="H28" s="229">
        <v>-2.06E-2</v>
      </c>
      <c r="I28" s="231">
        <v>1324.3</v>
      </c>
      <c r="J28" s="231">
        <v>1355.6</v>
      </c>
      <c r="K28" s="228">
        <v>-31.3</v>
      </c>
      <c r="L28" s="229">
        <v>-2.3099999999999999E-2</v>
      </c>
      <c r="M28" s="231">
        <v>1328</v>
      </c>
      <c r="N28" s="231">
        <v>1356</v>
      </c>
      <c r="O28" s="228">
        <v>-28</v>
      </c>
      <c r="P28" s="229">
        <v>-2.06E-2</v>
      </c>
      <c r="Q28" s="231">
        <v>1335.6</v>
      </c>
      <c r="R28" s="231">
        <v>1363.3</v>
      </c>
      <c r="S28" s="228">
        <v>-27.7</v>
      </c>
      <c r="T28" s="229">
        <v>-2.0299999999999999E-2</v>
      </c>
      <c r="U28" s="231">
        <v>1338.6</v>
      </c>
      <c r="V28" s="231">
        <v>1367</v>
      </c>
      <c r="W28" s="228">
        <v>-28.4</v>
      </c>
      <c r="X28" s="229">
        <v>-2.0799999999999999E-2</v>
      </c>
      <c r="Y28" s="228">
        <v>3.7</v>
      </c>
      <c r="Z28" s="228">
        <v>0.4</v>
      </c>
      <c r="AA28" s="228">
        <v>3.3</v>
      </c>
      <c r="AB28" s="229">
        <v>2.8E-3</v>
      </c>
      <c r="AC28" s="228">
        <v>3.7</v>
      </c>
      <c r="AD28" s="228">
        <v>0.4</v>
      </c>
      <c r="AE28" s="228">
        <v>3.3</v>
      </c>
      <c r="AF28" s="229">
        <v>2.8E-3</v>
      </c>
      <c r="AG28" s="228">
        <v>11.3</v>
      </c>
      <c r="AH28" s="228">
        <v>7.7</v>
      </c>
      <c r="AI28" s="228">
        <v>3.6</v>
      </c>
      <c r="AJ28" s="229">
        <v>8.5000000000000006E-3</v>
      </c>
      <c r="AK28" s="228">
        <v>14.3</v>
      </c>
      <c r="AL28" s="228">
        <v>11.4</v>
      </c>
      <c r="AM28" s="228">
        <v>2.9</v>
      </c>
      <c r="AN28" s="229">
        <v>1.0800000000000001E-2</v>
      </c>
      <c r="AO28" s="231">
        <v>1338.15</v>
      </c>
      <c r="AP28" s="231">
        <v>1345.46</v>
      </c>
      <c r="AQ28" s="228">
        <v>0</v>
      </c>
      <c r="AR28" s="230">
        <v>1398475</v>
      </c>
      <c r="AS28" s="230">
        <v>1822600</v>
      </c>
      <c r="AT28" s="230">
        <v>-424125</v>
      </c>
      <c r="AU28" s="229">
        <v>-0.23269999999999999</v>
      </c>
      <c r="AV28" s="230">
        <v>1135875</v>
      </c>
      <c r="AW28" s="230">
        <v>1588925</v>
      </c>
      <c r="AX28" s="230">
        <v>-453050</v>
      </c>
      <c r="AY28" s="229">
        <v>-0.28510000000000002</v>
      </c>
      <c r="AZ28" s="230">
        <v>226200</v>
      </c>
      <c r="BA28" s="230">
        <v>209625</v>
      </c>
      <c r="BB28" s="230">
        <v>16575</v>
      </c>
      <c r="BC28" s="229">
        <v>7.9100000000000004E-2</v>
      </c>
      <c r="BD28" s="230">
        <v>36400</v>
      </c>
      <c r="BE28" s="230">
        <v>24050</v>
      </c>
      <c r="BF28" s="230">
        <v>12350</v>
      </c>
      <c r="BG28" s="229">
        <v>0.51349999999999996</v>
      </c>
      <c r="BH28" s="230">
        <v>9880975</v>
      </c>
      <c r="BI28" s="230">
        <v>9568975</v>
      </c>
      <c r="BJ28" s="230">
        <v>312000</v>
      </c>
      <c r="BK28" s="229">
        <v>3.2599999999999997E-2</v>
      </c>
      <c r="BL28" s="230">
        <v>6233175</v>
      </c>
      <c r="BM28" s="230">
        <v>6090175</v>
      </c>
      <c r="BN28" s="230">
        <v>143000</v>
      </c>
      <c r="BO28" s="229">
        <v>2.35E-2</v>
      </c>
      <c r="BP28" s="230">
        <v>17512625</v>
      </c>
      <c r="BQ28" s="230">
        <v>17481750</v>
      </c>
      <c r="BR28" s="230">
        <v>30875</v>
      </c>
      <c r="BS28" s="229">
        <v>1.8E-3</v>
      </c>
      <c r="BT28" s="230">
        <v>1102874</v>
      </c>
      <c r="BU28" s="230">
        <v>1722836</v>
      </c>
      <c r="BV28" s="230">
        <v>-619962</v>
      </c>
      <c r="BW28" s="229">
        <v>-0.35980000000000001</v>
      </c>
      <c r="BX28" s="230">
        <v>4817525</v>
      </c>
      <c r="BY28" s="230">
        <v>4756700</v>
      </c>
      <c r="BZ28" s="230">
        <v>60825</v>
      </c>
      <c r="CA28" s="229">
        <v>1.2800000000000001E-2</v>
      </c>
      <c r="CB28" s="230">
        <v>4166175</v>
      </c>
      <c r="CC28" s="230">
        <v>4183400</v>
      </c>
      <c r="CD28" s="230">
        <v>-17225</v>
      </c>
      <c r="CE28" s="229">
        <v>-4.1000000000000003E-3</v>
      </c>
      <c r="CF28" s="230">
        <v>567000</v>
      </c>
      <c r="CG28" s="230">
        <v>495600</v>
      </c>
      <c r="CH28" s="230">
        <v>71400</v>
      </c>
      <c r="CI28" s="229">
        <v>0.14410000000000001</v>
      </c>
      <c r="CJ28" s="230">
        <v>84350</v>
      </c>
      <c r="CK28" s="230">
        <v>77700</v>
      </c>
      <c r="CL28" s="230">
        <v>6650</v>
      </c>
      <c r="CM28" s="229">
        <v>8.5599999999999996E-2</v>
      </c>
      <c r="CN28" s="230">
        <v>7476700</v>
      </c>
      <c r="CO28" s="230">
        <v>6999200</v>
      </c>
      <c r="CP28" s="230">
        <v>477500</v>
      </c>
      <c r="CQ28" s="229">
        <v>6.8199999999999997E-2</v>
      </c>
      <c r="CR28" s="230">
        <v>2956425</v>
      </c>
      <c r="CS28" s="230">
        <v>2849400</v>
      </c>
      <c r="CT28" s="230">
        <v>107025</v>
      </c>
      <c r="CU28" s="229">
        <v>3.7600000000000001E-2</v>
      </c>
      <c r="CV28" s="230">
        <v>15250650</v>
      </c>
      <c r="CW28" s="230">
        <v>14605300</v>
      </c>
      <c r="CX28" s="230">
        <v>645350</v>
      </c>
      <c r="CY28" s="229">
        <v>4.4200000000000003E-2</v>
      </c>
      <c r="CZ28" s="228">
        <v>32.04</v>
      </c>
      <c r="DA28" s="228">
        <v>34.49</v>
      </c>
      <c r="DB28" s="228">
        <v>-2.4500000000000002</v>
      </c>
      <c r="DC28" s="228">
        <v>-2.4500000000000002</v>
      </c>
      <c r="DD28" s="228">
        <v>51.39</v>
      </c>
      <c r="DE28" s="228">
        <v>51.44</v>
      </c>
      <c r="DF28" s="228">
        <v>-19.350000000000001</v>
      </c>
      <c r="DG28" s="228">
        <v>-0.05</v>
      </c>
      <c r="DH28" s="228">
        <v>33.450000000000003</v>
      </c>
      <c r="DI28" s="228">
        <v>35.590000000000003</v>
      </c>
      <c r="DJ28" s="228">
        <v>-2.14</v>
      </c>
      <c r="DK28" s="228">
        <v>-2.14</v>
      </c>
      <c r="DL28" s="228">
        <v>29.81</v>
      </c>
      <c r="DM28" s="228">
        <v>32.76</v>
      </c>
      <c r="DN28" s="228">
        <v>-2.95</v>
      </c>
      <c r="DO28" s="228">
        <v>-2.95</v>
      </c>
      <c r="DP28" s="228">
        <v>0.4</v>
      </c>
      <c r="DQ28" s="228">
        <v>0.41</v>
      </c>
      <c r="DR28" s="228">
        <v>-0.01</v>
      </c>
      <c r="DS28" s="229">
        <v>-2.4400000000000002E-2</v>
      </c>
      <c r="DT28" s="231">
        <v>1500</v>
      </c>
      <c r="DU28" s="231">
        <v>1340</v>
      </c>
      <c r="DV28" s="228">
        <v>0.63</v>
      </c>
      <c r="DW28" s="228">
        <v>0.64</v>
      </c>
      <c r="DX28" s="228">
        <v>-0.01</v>
      </c>
      <c r="DY28" s="229">
        <v>-1.5599999999999999E-2</v>
      </c>
      <c r="DZ28" s="229">
        <v>0.13519999999999999</v>
      </c>
      <c r="EA28" s="230">
        <v>573300</v>
      </c>
      <c r="EB28" s="229">
        <v>5.7000000000000002E-3</v>
      </c>
      <c r="EC28" s="229">
        <v>0.13519999999999999</v>
      </c>
      <c r="ED28" s="228">
        <v>7.31</v>
      </c>
      <c r="EE28" s="229">
        <v>5.4999999999999997E-3</v>
      </c>
      <c r="EF28" s="230">
        <v>297120</v>
      </c>
      <c r="EG28" s="230">
        <v>733739</v>
      </c>
      <c r="EH28" s="229">
        <v>-0.59509999999999996</v>
      </c>
      <c r="EI28" s="229">
        <v>0.26939999999999997</v>
      </c>
      <c r="EJ28" s="231">
        <v>142662.44</v>
      </c>
      <c r="EK28" s="231">
        <v>84297.03</v>
      </c>
      <c r="EL28" s="231">
        <v>19005.54</v>
      </c>
      <c r="EM28" s="231">
        <v>3763</v>
      </c>
      <c r="EN28" s="231">
        <v>245965.01</v>
      </c>
      <c r="EO28" s="231">
        <v>250193.55</v>
      </c>
      <c r="EP28" s="231">
        <v>-4228.54</v>
      </c>
      <c r="EQ28" s="229">
        <v>-1.6899999999999998E-2</v>
      </c>
      <c r="ER28" s="231">
        <v>112666</v>
      </c>
      <c r="ES28" s="231">
        <v>40790</v>
      </c>
      <c r="ET28" s="231">
        <v>64029</v>
      </c>
      <c r="EU28" s="231">
        <v>13786716</v>
      </c>
      <c r="EV28" s="231">
        <v>217485</v>
      </c>
      <c r="EW28" s="231">
        <v>210720</v>
      </c>
      <c r="EX28" s="231">
        <v>6765</v>
      </c>
      <c r="EY28" s="229">
        <v>3.2099999999999997E-2</v>
      </c>
      <c r="EZ28" s="229">
        <v>1.1062000000000001</v>
      </c>
      <c r="FA28" s="227" t="s">
        <v>567</v>
      </c>
      <c r="FB28" s="161">
        <f t="shared" si="0"/>
        <v>651350</v>
      </c>
    </row>
    <row r="29" spans="1:158" ht="17.25" thickBot="1" x14ac:dyDescent="0.3">
      <c r="A29" s="226">
        <v>46008</v>
      </c>
      <c r="B29" s="227" t="s">
        <v>184</v>
      </c>
      <c r="C29" s="227" t="s">
        <v>185</v>
      </c>
      <c r="D29" s="228">
        <v>1425</v>
      </c>
      <c r="E29" s="228">
        <v>386.85</v>
      </c>
      <c r="F29" s="228">
        <v>388.7</v>
      </c>
      <c r="G29" s="228">
        <v>-1.85</v>
      </c>
      <c r="H29" s="229">
        <v>-4.7999999999999996E-3</v>
      </c>
      <c r="I29" s="228">
        <v>385.6</v>
      </c>
      <c r="J29" s="228">
        <v>388</v>
      </c>
      <c r="K29" s="228">
        <v>-2.4</v>
      </c>
      <c r="L29" s="229">
        <v>-6.1999999999999998E-3</v>
      </c>
      <c r="M29" s="228">
        <v>386.85</v>
      </c>
      <c r="N29" s="228">
        <v>388.7</v>
      </c>
      <c r="O29" s="228">
        <v>-1.85</v>
      </c>
      <c r="P29" s="229">
        <v>-4.7999999999999996E-3</v>
      </c>
      <c r="Q29" s="228">
        <v>389.15</v>
      </c>
      <c r="R29" s="228">
        <v>391.05</v>
      </c>
      <c r="S29" s="228">
        <v>-1.9</v>
      </c>
      <c r="T29" s="229">
        <v>-4.8999999999999998E-3</v>
      </c>
      <c r="U29" s="228">
        <v>391.1</v>
      </c>
      <c r="V29" s="228">
        <v>392.45</v>
      </c>
      <c r="W29" s="228">
        <v>-1.35</v>
      </c>
      <c r="X29" s="229">
        <v>-3.3999999999999998E-3</v>
      </c>
      <c r="Y29" s="228">
        <v>1.25</v>
      </c>
      <c r="Z29" s="228">
        <v>0.7</v>
      </c>
      <c r="AA29" s="228">
        <v>0.55000000000000004</v>
      </c>
      <c r="AB29" s="229">
        <v>3.2000000000000002E-3</v>
      </c>
      <c r="AC29" s="228">
        <v>1.25</v>
      </c>
      <c r="AD29" s="228">
        <v>0.7</v>
      </c>
      <c r="AE29" s="228">
        <v>0.55000000000000004</v>
      </c>
      <c r="AF29" s="229">
        <v>3.2000000000000002E-3</v>
      </c>
      <c r="AG29" s="228">
        <v>3.55</v>
      </c>
      <c r="AH29" s="228">
        <v>3.05</v>
      </c>
      <c r="AI29" s="228">
        <v>0.5</v>
      </c>
      <c r="AJ29" s="229">
        <v>9.1999999999999998E-3</v>
      </c>
      <c r="AK29" s="228">
        <v>5.5</v>
      </c>
      <c r="AL29" s="228">
        <v>4.45</v>
      </c>
      <c r="AM29" s="228">
        <v>1.05</v>
      </c>
      <c r="AN29" s="229">
        <v>1.43E-2</v>
      </c>
      <c r="AO29" s="228">
        <v>386.97</v>
      </c>
      <c r="AP29" s="228">
        <v>389.29</v>
      </c>
      <c r="AQ29" s="228">
        <v>0</v>
      </c>
      <c r="AR29" s="230">
        <v>14264250</v>
      </c>
      <c r="AS29" s="230">
        <v>14480850</v>
      </c>
      <c r="AT29" s="230">
        <v>-216600</v>
      </c>
      <c r="AU29" s="229">
        <v>-1.4999999999999999E-2</v>
      </c>
      <c r="AV29" s="230">
        <v>9533250</v>
      </c>
      <c r="AW29" s="230">
        <v>11162025</v>
      </c>
      <c r="AX29" s="230">
        <v>-1628775</v>
      </c>
      <c r="AY29" s="229">
        <v>-0.1459</v>
      </c>
      <c r="AZ29" s="230">
        <v>4572825</v>
      </c>
      <c r="BA29" s="230">
        <v>2958300</v>
      </c>
      <c r="BB29" s="230">
        <v>1614525</v>
      </c>
      <c r="BC29" s="229">
        <v>0.54579999999999995</v>
      </c>
      <c r="BD29" s="230">
        <v>158175</v>
      </c>
      <c r="BE29" s="230">
        <v>360525</v>
      </c>
      <c r="BF29" s="230">
        <v>-202350</v>
      </c>
      <c r="BG29" s="229">
        <v>-0.56130000000000002</v>
      </c>
      <c r="BH29" s="230">
        <v>65381850</v>
      </c>
      <c r="BI29" s="230">
        <v>69934725</v>
      </c>
      <c r="BJ29" s="230">
        <v>-4552875</v>
      </c>
      <c r="BK29" s="229">
        <v>-6.5100000000000005E-2</v>
      </c>
      <c r="BL29" s="230">
        <v>25765425</v>
      </c>
      <c r="BM29" s="230">
        <v>29980575</v>
      </c>
      <c r="BN29" s="230">
        <v>-4215150</v>
      </c>
      <c r="BO29" s="229">
        <v>-0.1406</v>
      </c>
      <c r="BP29" s="230">
        <v>105411525</v>
      </c>
      <c r="BQ29" s="230">
        <v>114396150</v>
      </c>
      <c r="BR29" s="230">
        <v>-8984625</v>
      </c>
      <c r="BS29" s="229">
        <v>-7.85E-2</v>
      </c>
      <c r="BT29" s="230">
        <v>6814295</v>
      </c>
      <c r="BU29" s="230">
        <v>9038765</v>
      </c>
      <c r="BV29" s="230">
        <v>-2224470</v>
      </c>
      <c r="BW29" s="229">
        <v>-0.24610000000000001</v>
      </c>
      <c r="BX29" s="230">
        <v>122749500</v>
      </c>
      <c r="BY29" s="230">
        <v>121180575</v>
      </c>
      <c r="BZ29" s="230">
        <v>1568925</v>
      </c>
      <c r="CA29" s="229">
        <v>1.29E-2</v>
      </c>
      <c r="CB29" s="230">
        <v>103256925</v>
      </c>
      <c r="CC29" s="230">
        <v>104253000</v>
      </c>
      <c r="CD29" s="230">
        <v>-996075</v>
      </c>
      <c r="CE29" s="229">
        <v>-9.5999999999999992E-3</v>
      </c>
      <c r="CF29" s="230">
        <v>17784000</v>
      </c>
      <c r="CG29" s="230">
        <v>15240375</v>
      </c>
      <c r="CH29" s="230">
        <v>2543625</v>
      </c>
      <c r="CI29" s="229">
        <v>0.16689999999999999</v>
      </c>
      <c r="CJ29" s="230">
        <v>1708575</v>
      </c>
      <c r="CK29" s="230">
        <v>1687200</v>
      </c>
      <c r="CL29" s="230">
        <v>21375</v>
      </c>
      <c r="CM29" s="229">
        <v>1.2699999999999999E-2</v>
      </c>
      <c r="CN29" s="230">
        <v>93129450</v>
      </c>
      <c r="CO29" s="230">
        <v>93680925</v>
      </c>
      <c r="CP29" s="230">
        <v>-551475</v>
      </c>
      <c r="CQ29" s="229">
        <v>-5.8999999999999999E-3</v>
      </c>
      <c r="CR29" s="230">
        <v>42440775</v>
      </c>
      <c r="CS29" s="230">
        <v>42807000</v>
      </c>
      <c r="CT29" s="230">
        <v>-366225</v>
      </c>
      <c r="CU29" s="229">
        <v>-8.6E-3</v>
      </c>
      <c r="CV29" s="230">
        <v>258319725</v>
      </c>
      <c r="CW29" s="230">
        <v>257668500</v>
      </c>
      <c r="CX29" s="230">
        <v>651225</v>
      </c>
      <c r="CY29" s="229">
        <v>2.5000000000000001E-3</v>
      </c>
      <c r="CZ29" s="228">
        <v>24.13</v>
      </c>
      <c r="DA29" s="228">
        <v>25.52</v>
      </c>
      <c r="DB29" s="228">
        <v>-1.39</v>
      </c>
      <c r="DC29" s="228">
        <v>-1.39</v>
      </c>
      <c r="DD29" s="228">
        <v>36.17</v>
      </c>
      <c r="DE29" s="228">
        <v>36.25</v>
      </c>
      <c r="DF29" s="228">
        <v>-12.04</v>
      </c>
      <c r="DG29" s="228">
        <v>-0.08</v>
      </c>
      <c r="DH29" s="228">
        <v>25.08</v>
      </c>
      <c r="DI29" s="228">
        <v>26.63</v>
      </c>
      <c r="DJ29" s="228">
        <v>-1.55</v>
      </c>
      <c r="DK29" s="228">
        <v>-1.55</v>
      </c>
      <c r="DL29" s="228">
        <v>21.72</v>
      </c>
      <c r="DM29" s="228">
        <v>22.93</v>
      </c>
      <c r="DN29" s="228">
        <v>-1.21</v>
      </c>
      <c r="DO29" s="228">
        <v>-1.21</v>
      </c>
      <c r="DP29" s="228">
        <v>0.46</v>
      </c>
      <c r="DQ29" s="228">
        <v>0.46</v>
      </c>
      <c r="DR29" s="228">
        <v>0</v>
      </c>
      <c r="DS29" s="229">
        <v>0</v>
      </c>
      <c r="DT29" s="228">
        <v>420</v>
      </c>
      <c r="DU29" s="228">
        <v>410</v>
      </c>
      <c r="DV29" s="228">
        <v>0.39</v>
      </c>
      <c r="DW29" s="228">
        <v>0.43</v>
      </c>
      <c r="DX29" s="228">
        <v>-0.04</v>
      </c>
      <c r="DY29" s="229">
        <v>-9.2999999999999999E-2</v>
      </c>
      <c r="DZ29" s="229">
        <v>0.1588</v>
      </c>
      <c r="EA29" s="230">
        <v>16927575</v>
      </c>
      <c r="EB29" s="229">
        <v>5.8999999999999999E-3</v>
      </c>
      <c r="EC29" s="229">
        <v>0.1588</v>
      </c>
      <c r="ED29" s="228">
        <v>2.3199999999999998</v>
      </c>
      <c r="EE29" s="229">
        <v>6.0000000000000001E-3</v>
      </c>
      <c r="EF29" s="230">
        <v>4126732</v>
      </c>
      <c r="EG29" s="230">
        <v>4865368</v>
      </c>
      <c r="EH29" s="229">
        <v>-0.15179999999999999</v>
      </c>
      <c r="EI29" s="229">
        <v>0.60560000000000003</v>
      </c>
      <c r="EJ29" s="231">
        <v>268628.47999999998</v>
      </c>
      <c r="EK29" s="231">
        <v>99557.81</v>
      </c>
      <c r="EL29" s="231">
        <v>55311.96</v>
      </c>
      <c r="EM29" s="231">
        <v>8666</v>
      </c>
      <c r="EN29" s="231">
        <v>423498.25</v>
      </c>
      <c r="EO29" s="231">
        <v>462035.84</v>
      </c>
      <c r="EP29" s="231">
        <v>-38537.589999999997</v>
      </c>
      <c r="EQ29" s="229">
        <v>-8.3400000000000002E-2</v>
      </c>
      <c r="ER29" s="231">
        <v>389212</v>
      </c>
      <c r="ES29" s="231">
        <v>167323</v>
      </c>
      <c r="ET29" s="231">
        <v>475338</v>
      </c>
      <c r="EU29" s="231">
        <v>535778534</v>
      </c>
      <c r="EV29" s="231">
        <v>1031874</v>
      </c>
      <c r="EW29" s="231">
        <v>1032244</v>
      </c>
      <c r="EX29" s="228">
        <v>-370</v>
      </c>
      <c r="EY29" s="229">
        <v>-4.0000000000000002E-4</v>
      </c>
      <c r="EZ29" s="229">
        <v>0.48209999999999997</v>
      </c>
      <c r="FA29" s="227" t="s">
        <v>567</v>
      </c>
      <c r="FB29" s="161">
        <f t="shared" si="0"/>
        <v>19492575</v>
      </c>
    </row>
    <row r="30" spans="1:158" ht="17.25" hidden="1" thickBot="1" x14ac:dyDescent="0.3">
      <c r="A30" s="226">
        <v>46008</v>
      </c>
      <c r="B30" s="227" t="s">
        <v>162</v>
      </c>
      <c r="C30" s="227" t="s">
        <v>187</v>
      </c>
      <c r="D30" s="228">
        <v>500</v>
      </c>
      <c r="E30" s="231">
        <v>1417.3</v>
      </c>
      <c r="F30" s="231">
        <v>1419.4</v>
      </c>
      <c r="G30" s="228">
        <v>-2.1</v>
      </c>
      <c r="H30" s="229">
        <v>-1.5E-3</v>
      </c>
      <c r="I30" s="231">
        <v>1413.3</v>
      </c>
      <c r="J30" s="231">
        <v>1417.4</v>
      </c>
      <c r="K30" s="228">
        <v>-4.0999999999999996</v>
      </c>
      <c r="L30" s="229">
        <v>-2.8999999999999998E-3</v>
      </c>
      <c r="M30" s="231">
        <v>1417.3</v>
      </c>
      <c r="N30" s="231">
        <v>1419.4</v>
      </c>
      <c r="O30" s="228">
        <v>-2.1</v>
      </c>
      <c r="P30" s="229">
        <v>-1.5E-3</v>
      </c>
      <c r="Q30" s="231">
        <v>1422.5</v>
      </c>
      <c r="R30" s="231">
        <v>1425.4</v>
      </c>
      <c r="S30" s="228">
        <v>-2.9</v>
      </c>
      <c r="T30" s="229">
        <v>-2E-3</v>
      </c>
      <c r="U30" s="231">
        <v>1422.8</v>
      </c>
      <c r="V30" s="231">
        <v>1426.4</v>
      </c>
      <c r="W30" s="228">
        <v>-3.6</v>
      </c>
      <c r="X30" s="229">
        <v>-2.5000000000000001E-3</v>
      </c>
      <c r="Y30" s="228">
        <v>4</v>
      </c>
      <c r="Z30" s="228">
        <v>2</v>
      </c>
      <c r="AA30" s="228">
        <v>2</v>
      </c>
      <c r="AB30" s="229">
        <v>2.8E-3</v>
      </c>
      <c r="AC30" s="228">
        <v>4</v>
      </c>
      <c r="AD30" s="228">
        <v>2</v>
      </c>
      <c r="AE30" s="228">
        <v>2</v>
      </c>
      <c r="AF30" s="229">
        <v>2.8E-3</v>
      </c>
      <c r="AG30" s="228">
        <v>9.1999999999999993</v>
      </c>
      <c r="AH30" s="228">
        <v>8</v>
      </c>
      <c r="AI30" s="228">
        <v>1.2</v>
      </c>
      <c r="AJ30" s="229">
        <v>6.4999999999999997E-3</v>
      </c>
      <c r="AK30" s="228">
        <v>9.5</v>
      </c>
      <c r="AL30" s="228">
        <v>9</v>
      </c>
      <c r="AM30" s="228">
        <v>0.5</v>
      </c>
      <c r="AN30" s="229">
        <v>6.7000000000000002E-3</v>
      </c>
      <c r="AO30" s="231">
        <v>1415.37</v>
      </c>
      <c r="AP30" s="231">
        <v>1420.9</v>
      </c>
      <c r="AQ30" s="228">
        <v>0</v>
      </c>
      <c r="AR30" s="230">
        <v>1373000</v>
      </c>
      <c r="AS30" s="230">
        <v>1458000</v>
      </c>
      <c r="AT30" s="230">
        <v>-85000</v>
      </c>
      <c r="AU30" s="229">
        <v>-5.8299999999999998E-2</v>
      </c>
      <c r="AV30" s="230">
        <v>1119500</v>
      </c>
      <c r="AW30" s="230">
        <v>1247000</v>
      </c>
      <c r="AX30" s="230">
        <v>-127500</v>
      </c>
      <c r="AY30" s="229">
        <v>-0.1022</v>
      </c>
      <c r="AZ30" s="230">
        <v>247000</v>
      </c>
      <c r="BA30" s="230">
        <v>158000</v>
      </c>
      <c r="BB30" s="230">
        <v>89000</v>
      </c>
      <c r="BC30" s="229">
        <v>0.56330000000000002</v>
      </c>
      <c r="BD30" s="230">
        <v>6500</v>
      </c>
      <c r="BE30" s="230">
        <v>53000</v>
      </c>
      <c r="BF30" s="230">
        <v>-46500</v>
      </c>
      <c r="BG30" s="229">
        <v>-0.87739999999999996</v>
      </c>
      <c r="BH30" s="230">
        <v>3680000</v>
      </c>
      <c r="BI30" s="230">
        <v>5212000</v>
      </c>
      <c r="BJ30" s="230">
        <v>-1532000</v>
      </c>
      <c r="BK30" s="229">
        <v>-0.29389999999999999</v>
      </c>
      <c r="BL30" s="230">
        <v>1607000</v>
      </c>
      <c r="BM30" s="230">
        <v>1884000</v>
      </c>
      <c r="BN30" s="230">
        <v>-277000</v>
      </c>
      <c r="BO30" s="229">
        <v>-0.14699999999999999</v>
      </c>
      <c r="BP30" s="230">
        <v>6660000</v>
      </c>
      <c r="BQ30" s="230">
        <v>8554000</v>
      </c>
      <c r="BR30" s="230">
        <v>-1894000</v>
      </c>
      <c r="BS30" s="229">
        <v>-0.22140000000000001</v>
      </c>
      <c r="BT30" s="230">
        <v>287755</v>
      </c>
      <c r="BU30" s="230">
        <v>431405</v>
      </c>
      <c r="BV30" s="230">
        <v>-143650</v>
      </c>
      <c r="BW30" s="229">
        <v>-0.33300000000000002</v>
      </c>
      <c r="BX30" s="230">
        <v>7913000</v>
      </c>
      <c r="BY30" s="230">
        <v>7767000</v>
      </c>
      <c r="BZ30" s="230">
        <v>146000</v>
      </c>
      <c r="CA30" s="229">
        <v>1.8800000000000001E-2</v>
      </c>
      <c r="CB30" s="230">
        <v>7221500</v>
      </c>
      <c r="CC30" s="230">
        <v>7226000</v>
      </c>
      <c r="CD30" s="230">
        <v>-4500</v>
      </c>
      <c r="CE30" s="229">
        <v>-5.9999999999999995E-4</v>
      </c>
      <c r="CF30" s="230">
        <v>625000</v>
      </c>
      <c r="CG30" s="230">
        <v>475500</v>
      </c>
      <c r="CH30" s="230">
        <v>149500</v>
      </c>
      <c r="CI30" s="229">
        <v>0.31440000000000001</v>
      </c>
      <c r="CJ30" s="230">
        <v>66500</v>
      </c>
      <c r="CK30" s="230">
        <v>65500</v>
      </c>
      <c r="CL30" s="230">
        <v>1000</v>
      </c>
      <c r="CM30" s="229">
        <v>1.5299999999999999E-2</v>
      </c>
      <c r="CN30" s="230">
        <v>3607500</v>
      </c>
      <c r="CO30" s="230">
        <v>3567000</v>
      </c>
      <c r="CP30" s="230">
        <v>40500</v>
      </c>
      <c r="CQ30" s="229">
        <v>1.14E-2</v>
      </c>
      <c r="CR30" s="230">
        <v>2253500</v>
      </c>
      <c r="CS30" s="230">
        <v>2207000</v>
      </c>
      <c r="CT30" s="230">
        <v>46500</v>
      </c>
      <c r="CU30" s="229">
        <v>2.1100000000000001E-2</v>
      </c>
      <c r="CV30" s="230">
        <v>13774000</v>
      </c>
      <c r="CW30" s="230">
        <v>13541000</v>
      </c>
      <c r="CX30" s="230">
        <v>233000</v>
      </c>
      <c r="CY30" s="229">
        <v>1.72E-2</v>
      </c>
      <c r="CZ30" s="228">
        <v>24</v>
      </c>
      <c r="DA30" s="228">
        <v>24.01</v>
      </c>
      <c r="DB30" s="228">
        <v>-0.01</v>
      </c>
      <c r="DC30" s="228">
        <v>-0.01</v>
      </c>
      <c r="DD30" s="228">
        <v>37.15</v>
      </c>
      <c r="DE30" s="228">
        <v>37.24</v>
      </c>
      <c r="DF30" s="228">
        <v>-13.15</v>
      </c>
      <c r="DG30" s="228">
        <v>-0.09</v>
      </c>
      <c r="DH30" s="228">
        <v>23.78</v>
      </c>
      <c r="DI30" s="228">
        <v>23.91</v>
      </c>
      <c r="DJ30" s="228">
        <v>-0.13</v>
      </c>
      <c r="DK30" s="228">
        <v>-0.13</v>
      </c>
      <c r="DL30" s="228">
        <v>24.51</v>
      </c>
      <c r="DM30" s="228">
        <v>24.31</v>
      </c>
      <c r="DN30" s="228">
        <v>0.2</v>
      </c>
      <c r="DO30" s="228">
        <v>0.2</v>
      </c>
      <c r="DP30" s="228">
        <v>0.62</v>
      </c>
      <c r="DQ30" s="228">
        <v>0.62</v>
      </c>
      <c r="DR30" s="228">
        <v>0</v>
      </c>
      <c r="DS30" s="229">
        <v>0</v>
      </c>
      <c r="DT30" s="231">
        <v>1400</v>
      </c>
      <c r="DU30" s="231">
        <v>1400</v>
      </c>
      <c r="DV30" s="228">
        <v>0.44</v>
      </c>
      <c r="DW30" s="228">
        <v>0.36</v>
      </c>
      <c r="DX30" s="228">
        <v>0.08</v>
      </c>
      <c r="DY30" s="229">
        <v>0.22220000000000001</v>
      </c>
      <c r="DZ30" s="229">
        <v>8.7400000000000005E-2</v>
      </c>
      <c r="EA30" s="230">
        <v>541000</v>
      </c>
      <c r="EB30" s="229">
        <v>3.7000000000000002E-3</v>
      </c>
      <c r="EC30" s="229">
        <v>8.7400000000000005E-2</v>
      </c>
      <c r="ED30" s="228">
        <v>5.53</v>
      </c>
      <c r="EE30" s="229">
        <v>3.8999999999999998E-3</v>
      </c>
      <c r="EF30" s="230">
        <v>101321</v>
      </c>
      <c r="EG30" s="230">
        <v>195527</v>
      </c>
      <c r="EH30" s="229">
        <v>-0.48180000000000001</v>
      </c>
      <c r="EI30" s="229">
        <v>0.35210000000000002</v>
      </c>
      <c r="EJ30" s="231">
        <v>53606.26</v>
      </c>
      <c r="EK30" s="231">
        <v>22254.71</v>
      </c>
      <c r="EL30" s="231">
        <v>19447.259999999998</v>
      </c>
      <c r="EM30" s="231">
        <v>2952</v>
      </c>
      <c r="EN30" s="231">
        <v>95308.23</v>
      </c>
      <c r="EO30" s="231">
        <v>123121.66</v>
      </c>
      <c r="EP30" s="231">
        <v>-27813.43</v>
      </c>
      <c r="EQ30" s="229">
        <v>-0.22589999999999999</v>
      </c>
      <c r="ER30" s="231">
        <v>52813</v>
      </c>
      <c r="ES30" s="231">
        <v>30615</v>
      </c>
      <c r="ET30" s="231">
        <v>112187</v>
      </c>
      <c r="EU30" s="231">
        <v>35155737</v>
      </c>
      <c r="EV30" s="231">
        <v>195616</v>
      </c>
      <c r="EW30" s="231">
        <v>192503</v>
      </c>
      <c r="EX30" s="231">
        <v>3113</v>
      </c>
      <c r="EY30" s="229">
        <v>1.6199999999999999E-2</v>
      </c>
      <c r="EZ30" s="229">
        <v>0.39179999999999998</v>
      </c>
      <c r="FA30" s="227" t="s">
        <v>567</v>
      </c>
      <c r="FB30" s="161">
        <f t="shared" si="0"/>
        <v>691500</v>
      </c>
    </row>
    <row r="31" spans="1:158" ht="17.25" hidden="1" thickBot="1" x14ac:dyDescent="0.3">
      <c r="A31" s="226">
        <v>46008</v>
      </c>
      <c r="B31" s="227" t="s">
        <v>188</v>
      </c>
      <c r="C31" s="227" t="s">
        <v>189</v>
      </c>
      <c r="D31" s="228">
        <v>475</v>
      </c>
      <c r="E31" s="231">
        <v>2109.1</v>
      </c>
      <c r="F31" s="231">
        <v>2105</v>
      </c>
      <c r="G31" s="228">
        <v>4.0999999999999996</v>
      </c>
      <c r="H31" s="229">
        <v>1.9E-3</v>
      </c>
      <c r="I31" s="231">
        <v>2108</v>
      </c>
      <c r="J31" s="231">
        <v>2102</v>
      </c>
      <c r="K31" s="228">
        <v>6</v>
      </c>
      <c r="L31" s="229">
        <v>2.8999999999999998E-3</v>
      </c>
      <c r="M31" s="231">
        <v>2109.1</v>
      </c>
      <c r="N31" s="231">
        <v>2105</v>
      </c>
      <c r="O31" s="228">
        <v>4.0999999999999996</v>
      </c>
      <c r="P31" s="229">
        <v>1.9E-3</v>
      </c>
      <c r="Q31" s="231">
        <v>2122.5</v>
      </c>
      <c r="R31" s="231">
        <v>2117.9</v>
      </c>
      <c r="S31" s="228">
        <v>4.5999999999999996</v>
      </c>
      <c r="T31" s="229">
        <v>2.2000000000000001E-3</v>
      </c>
      <c r="U31" s="231">
        <v>2135</v>
      </c>
      <c r="V31" s="231">
        <v>2130.3000000000002</v>
      </c>
      <c r="W31" s="228">
        <v>4.7</v>
      </c>
      <c r="X31" s="229">
        <v>2.2000000000000001E-3</v>
      </c>
      <c r="Y31" s="228">
        <v>1.1000000000000001</v>
      </c>
      <c r="Z31" s="228">
        <v>3</v>
      </c>
      <c r="AA31" s="228">
        <v>-1.9</v>
      </c>
      <c r="AB31" s="229">
        <v>5.0000000000000001E-4</v>
      </c>
      <c r="AC31" s="228">
        <v>1.1000000000000001</v>
      </c>
      <c r="AD31" s="228">
        <v>3</v>
      </c>
      <c r="AE31" s="228">
        <v>-1.9</v>
      </c>
      <c r="AF31" s="229">
        <v>5.0000000000000001E-4</v>
      </c>
      <c r="AG31" s="228">
        <v>14.5</v>
      </c>
      <c r="AH31" s="228">
        <v>15.9</v>
      </c>
      <c r="AI31" s="228">
        <v>-1.4</v>
      </c>
      <c r="AJ31" s="229">
        <v>6.8999999999999999E-3</v>
      </c>
      <c r="AK31" s="228">
        <v>27</v>
      </c>
      <c r="AL31" s="228">
        <v>28.3</v>
      </c>
      <c r="AM31" s="228">
        <v>-1.3</v>
      </c>
      <c r="AN31" s="229">
        <v>1.2800000000000001E-2</v>
      </c>
      <c r="AO31" s="231">
        <v>2107.4499999999998</v>
      </c>
      <c r="AP31" s="231">
        <v>2119.4</v>
      </c>
      <c r="AQ31" s="228">
        <v>0</v>
      </c>
      <c r="AR31" s="230">
        <v>4034650</v>
      </c>
      <c r="AS31" s="230">
        <v>5532325</v>
      </c>
      <c r="AT31" s="230">
        <v>-1497675</v>
      </c>
      <c r="AU31" s="229">
        <v>-0.2707</v>
      </c>
      <c r="AV31" s="230">
        <v>3455150</v>
      </c>
      <c r="AW31" s="230">
        <v>5080600</v>
      </c>
      <c r="AX31" s="230">
        <v>-1625450</v>
      </c>
      <c r="AY31" s="229">
        <v>-0.31990000000000002</v>
      </c>
      <c r="AZ31" s="230">
        <v>574275</v>
      </c>
      <c r="BA31" s="230">
        <v>426550</v>
      </c>
      <c r="BB31" s="230">
        <v>147725</v>
      </c>
      <c r="BC31" s="229">
        <v>0.3463</v>
      </c>
      <c r="BD31" s="230">
        <v>5225</v>
      </c>
      <c r="BE31" s="230">
        <v>25175</v>
      </c>
      <c r="BF31" s="230">
        <v>-19950</v>
      </c>
      <c r="BG31" s="229">
        <v>-0.79249999999999998</v>
      </c>
      <c r="BH31" s="230">
        <v>21973500</v>
      </c>
      <c r="BI31" s="230">
        <v>41994275</v>
      </c>
      <c r="BJ31" s="230">
        <v>-20020775</v>
      </c>
      <c r="BK31" s="229">
        <v>-0.4768</v>
      </c>
      <c r="BL31" s="230">
        <v>11213800</v>
      </c>
      <c r="BM31" s="230">
        <v>18139300</v>
      </c>
      <c r="BN31" s="230">
        <v>-6925500</v>
      </c>
      <c r="BO31" s="229">
        <v>-0.38179999999999997</v>
      </c>
      <c r="BP31" s="230">
        <v>37221950</v>
      </c>
      <c r="BQ31" s="230">
        <v>65665900</v>
      </c>
      <c r="BR31" s="230">
        <v>-28443950</v>
      </c>
      <c r="BS31" s="229">
        <v>-0.43319999999999997</v>
      </c>
      <c r="BT31" s="230">
        <v>6493502</v>
      </c>
      <c r="BU31" s="230">
        <v>5840896</v>
      </c>
      <c r="BV31" s="230">
        <v>652606</v>
      </c>
      <c r="BW31" s="229">
        <v>0.11169999999999999</v>
      </c>
      <c r="BX31" s="230">
        <v>46579450</v>
      </c>
      <c r="BY31" s="230">
        <v>47441100</v>
      </c>
      <c r="BZ31" s="230">
        <v>-861650</v>
      </c>
      <c r="CA31" s="229">
        <v>-1.8200000000000001E-2</v>
      </c>
      <c r="CB31" s="230">
        <v>41700725</v>
      </c>
      <c r="CC31" s="230">
        <v>42925275</v>
      </c>
      <c r="CD31" s="230">
        <v>-1224550</v>
      </c>
      <c r="CE31" s="229">
        <v>-2.8500000000000001E-2</v>
      </c>
      <c r="CF31" s="230">
        <v>4583750</v>
      </c>
      <c r="CG31" s="230">
        <v>4222750</v>
      </c>
      <c r="CH31" s="230">
        <v>361000</v>
      </c>
      <c r="CI31" s="229">
        <v>8.5500000000000007E-2</v>
      </c>
      <c r="CJ31" s="230">
        <v>294975</v>
      </c>
      <c r="CK31" s="230">
        <v>293075</v>
      </c>
      <c r="CL31" s="230">
        <v>1900</v>
      </c>
      <c r="CM31" s="229">
        <v>6.4999999999999997E-3</v>
      </c>
      <c r="CN31" s="230">
        <v>19246050</v>
      </c>
      <c r="CO31" s="230">
        <v>19723425</v>
      </c>
      <c r="CP31" s="230">
        <v>-477375</v>
      </c>
      <c r="CQ31" s="229">
        <v>-2.4199999999999999E-2</v>
      </c>
      <c r="CR31" s="230">
        <v>9595000</v>
      </c>
      <c r="CS31" s="230">
        <v>9677175</v>
      </c>
      <c r="CT31" s="230">
        <v>-82175</v>
      </c>
      <c r="CU31" s="229">
        <v>-8.5000000000000006E-3</v>
      </c>
      <c r="CV31" s="230">
        <v>75420500</v>
      </c>
      <c r="CW31" s="230">
        <v>76841700</v>
      </c>
      <c r="CX31" s="230">
        <v>-1421200</v>
      </c>
      <c r="CY31" s="229">
        <v>-1.8499999999999999E-2</v>
      </c>
      <c r="CZ31" s="228">
        <v>16.13</v>
      </c>
      <c r="DA31" s="228">
        <v>16.45</v>
      </c>
      <c r="DB31" s="228">
        <v>-0.32</v>
      </c>
      <c r="DC31" s="228">
        <v>-0.32</v>
      </c>
      <c r="DD31" s="228">
        <v>24.59</v>
      </c>
      <c r="DE31" s="228">
        <v>24.65</v>
      </c>
      <c r="DF31" s="228">
        <v>-8.4600000000000009</v>
      </c>
      <c r="DG31" s="228">
        <v>-0.06</v>
      </c>
      <c r="DH31" s="228">
        <v>15.98</v>
      </c>
      <c r="DI31" s="228">
        <v>16.32</v>
      </c>
      <c r="DJ31" s="228">
        <v>-0.34</v>
      </c>
      <c r="DK31" s="228">
        <v>-0.34</v>
      </c>
      <c r="DL31" s="228">
        <v>16.41</v>
      </c>
      <c r="DM31" s="228">
        <v>16.760000000000002</v>
      </c>
      <c r="DN31" s="228">
        <v>-0.35</v>
      </c>
      <c r="DO31" s="228">
        <v>-0.35</v>
      </c>
      <c r="DP31" s="228">
        <v>0.5</v>
      </c>
      <c r="DQ31" s="228">
        <v>0.49</v>
      </c>
      <c r="DR31" s="228">
        <v>0.01</v>
      </c>
      <c r="DS31" s="229">
        <v>2.0400000000000001E-2</v>
      </c>
      <c r="DT31" s="231">
        <v>2200</v>
      </c>
      <c r="DU31" s="231">
        <v>2000</v>
      </c>
      <c r="DV31" s="228">
        <v>0.51</v>
      </c>
      <c r="DW31" s="228">
        <v>0.43</v>
      </c>
      <c r="DX31" s="228">
        <v>0.08</v>
      </c>
      <c r="DY31" s="229">
        <v>0.186</v>
      </c>
      <c r="DZ31" s="229">
        <v>0.1047</v>
      </c>
      <c r="EA31" s="230">
        <v>4515825</v>
      </c>
      <c r="EB31" s="229">
        <v>6.4000000000000003E-3</v>
      </c>
      <c r="EC31" s="229">
        <v>0.1047</v>
      </c>
      <c r="ED31" s="228">
        <v>11.95</v>
      </c>
      <c r="EE31" s="229">
        <v>5.7000000000000002E-3</v>
      </c>
      <c r="EF31" s="230">
        <v>4295437</v>
      </c>
      <c r="EG31" s="230">
        <v>3143938</v>
      </c>
      <c r="EH31" s="229">
        <v>0.36630000000000001</v>
      </c>
      <c r="EI31" s="229">
        <v>0.66149999999999998</v>
      </c>
      <c r="EJ31" s="231">
        <v>474167.57</v>
      </c>
      <c r="EK31" s="231">
        <v>233111.83</v>
      </c>
      <c r="EL31" s="231">
        <v>85098.16</v>
      </c>
      <c r="EM31" s="231">
        <v>9383</v>
      </c>
      <c r="EN31" s="231">
        <v>792377.56</v>
      </c>
      <c r="EO31" s="231">
        <v>1396381.25</v>
      </c>
      <c r="EP31" s="231">
        <v>-604003.68999999994</v>
      </c>
      <c r="EQ31" s="229">
        <v>-0.4325</v>
      </c>
      <c r="ER31" s="231">
        <v>417298</v>
      </c>
      <c r="ES31" s="231">
        <v>196685</v>
      </c>
      <c r="ET31" s="231">
        <v>983098</v>
      </c>
      <c r="EU31" s="231">
        <v>314058656</v>
      </c>
      <c r="EV31" s="231">
        <v>1597081</v>
      </c>
      <c r="EW31" s="231">
        <v>1625316</v>
      </c>
      <c r="EX31" s="231">
        <v>-28235</v>
      </c>
      <c r="EY31" s="229">
        <v>-1.7399999999999999E-2</v>
      </c>
      <c r="EZ31" s="229">
        <v>0.24010000000000001</v>
      </c>
      <c r="FA31" s="227" t="s">
        <v>556</v>
      </c>
      <c r="FB31" s="161">
        <f t="shared" si="0"/>
        <v>4878725</v>
      </c>
    </row>
    <row r="32" spans="1:158" ht="17.25" hidden="1" thickBot="1" x14ac:dyDescent="0.3">
      <c r="A32" s="226">
        <v>46008</v>
      </c>
      <c r="B32" s="227" t="s">
        <v>184</v>
      </c>
      <c r="C32" s="227" t="s">
        <v>190</v>
      </c>
      <c r="D32" s="228">
        <v>2625</v>
      </c>
      <c r="E32" s="228">
        <v>278.75</v>
      </c>
      <c r="F32" s="228">
        <v>280.14999999999998</v>
      </c>
      <c r="G32" s="228">
        <v>-1.4</v>
      </c>
      <c r="H32" s="229">
        <v>-5.0000000000000001E-3</v>
      </c>
      <c r="I32" s="228">
        <v>277.85000000000002</v>
      </c>
      <c r="J32" s="228">
        <v>279.35000000000002</v>
      </c>
      <c r="K32" s="228">
        <v>-1.5</v>
      </c>
      <c r="L32" s="229">
        <v>-5.4000000000000003E-3</v>
      </c>
      <c r="M32" s="228">
        <v>278.75</v>
      </c>
      <c r="N32" s="228">
        <v>280.14999999999998</v>
      </c>
      <c r="O32" s="228">
        <v>-1.4</v>
      </c>
      <c r="P32" s="229">
        <v>-5.0000000000000001E-3</v>
      </c>
      <c r="Q32" s="228">
        <v>280.55</v>
      </c>
      <c r="R32" s="228">
        <v>281.95</v>
      </c>
      <c r="S32" s="228">
        <v>-1.4</v>
      </c>
      <c r="T32" s="229">
        <v>-5.0000000000000001E-3</v>
      </c>
      <c r="U32" s="228">
        <v>280.64999999999998</v>
      </c>
      <c r="V32" s="228">
        <v>283.60000000000002</v>
      </c>
      <c r="W32" s="228">
        <v>-2.95</v>
      </c>
      <c r="X32" s="229">
        <v>-1.04E-2</v>
      </c>
      <c r="Y32" s="228">
        <v>0.9</v>
      </c>
      <c r="Z32" s="228">
        <v>0.8</v>
      </c>
      <c r="AA32" s="228">
        <v>0.1</v>
      </c>
      <c r="AB32" s="229">
        <v>3.2000000000000002E-3</v>
      </c>
      <c r="AC32" s="228">
        <v>0.9</v>
      </c>
      <c r="AD32" s="228">
        <v>0.8</v>
      </c>
      <c r="AE32" s="228">
        <v>0.1</v>
      </c>
      <c r="AF32" s="229">
        <v>3.2000000000000002E-3</v>
      </c>
      <c r="AG32" s="228">
        <v>2.7</v>
      </c>
      <c r="AH32" s="228">
        <v>2.6</v>
      </c>
      <c r="AI32" s="228">
        <v>0.1</v>
      </c>
      <c r="AJ32" s="229">
        <v>9.7000000000000003E-3</v>
      </c>
      <c r="AK32" s="228">
        <v>2.8</v>
      </c>
      <c r="AL32" s="228">
        <v>4.25</v>
      </c>
      <c r="AM32" s="228">
        <v>-1.45</v>
      </c>
      <c r="AN32" s="229">
        <v>1.01E-2</v>
      </c>
      <c r="AO32" s="228">
        <v>278.24</v>
      </c>
      <c r="AP32" s="228">
        <v>280.10000000000002</v>
      </c>
      <c r="AQ32" s="228">
        <v>0</v>
      </c>
      <c r="AR32" s="230">
        <v>7980000</v>
      </c>
      <c r="AS32" s="230">
        <v>12828375</v>
      </c>
      <c r="AT32" s="230">
        <v>-4848375</v>
      </c>
      <c r="AU32" s="229">
        <v>-0.37790000000000001</v>
      </c>
      <c r="AV32" s="230">
        <v>6974625</v>
      </c>
      <c r="AW32" s="230">
        <v>10463250</v>
      </c>
      <c r="AX32" s="230">
        <v>-3488625</v>
      </c>
      <c r="AY32" s="229">
        <v>-0.33339999999999997</v>
      </c>
      <c r="AZ32" s="230">
        <v>950250</v>
      </c>
      <c r="BA32" s="230">
        <v>1632750</v>
      </c>
      <c r="BB32" s="230">
        <v>-682500</v>
      </c>
      <c r="BC32" s="229">
        <v>-0.41799999999999998</v>
      </c>
      <c r="BD32" s="230">
        <v>55125</v>
      </c>
      <c r="BE32" s="230">
        <v>732375</v>
      </c>
      <c r="BF32" s="230">
        <v>-677250</v>
      </c>
      <c r="BG32" s="229">
        <v>-0.92469999999999997</v>
      </c>
      <c r="BH32" s="230">
        <v>39921000</v>
      </c>
      <c r="BI32" s="230">
        <v>46113375</v>
      </c>
      <c r="BJ32" s="230">
        <v>-6192375</v>
      </c>
      <c r="BK32" s="229">
        <v>-0.1343</v>
      </c>
      <c r="BL32" s="230">
        <v>12804750</v>
      </c>
      <c r="BM32" s="230">
        <v>21724500</v>
      </c>
      <c r="BN32" s="230">
        <v>-8919750</v>
      </c>
      <c r="BO32" s="229">
        <v>-0.41060000000000002</v>
      </c>
      <c r="BP32" s="230">
        <v>60705750</v>
      </c>
      <c r="BQ32" s="230">
        <v>80666250</v>
      </c>
      <c r="BR32" s="230">
        <v>-19960500</v>
      </c>
      <c r="BS32" s="229">
        <v>-0.24740000000000001</v>
      </c>
      <c r="BT32" s="230">
        <v>3358254</v>
      </c>
      <c r="BU32" s="230">
        <v>5451253</v>
      </c>
      <c r="BV32" s="230">
        <v>-2092999</v>
      </c>
      <c r="BW32" s="229">
        <v>-0.38390000000000002</v>
      </c>
      <c r="BX32" s="230">
        <v>63619500</v>
      </c>
      <c r="BY32" s="230">
        <v>64034250</v>
      </c>
      <c r="BZ32" s="230">
        <v>-414750</v>
      </c>
      <c r="CA32" s="229">
        <v>-6.4999999999999997E-3</v>
      </c>
      <c r="CB32" s="230">
        <v>59503500</v>
      </c>
      <c r="CC32" s="230">
        <v>60165000</v>
      </c>
      <c r="CD32" s="230">
        <v>-661500</v>
      </c>
      <c r="CE32" s="229">
        <v>-1.0999999999999999E-2</v>
      </c>
      <c r="CF32" s="230">
        <v>3596250</v>
      </c>
      <c r="CG32" s="230">
        <v>3357375</v>
      </c>
      <c r="CH32" s="230">
        <v>238875</v>
      </c>
      <c r="CI32" s="229">
        <v>7.1099999999999997E-2</v>
      </c>
      <c r="CJ32" s="230">
        <v>519750</v>
      </c>
      <c r="CK32" s="230">
        <v>511875</v>
      </c>
      <c r="CL32" s="230">
        <v>7875</v>
      </c>
      <c r="CM32" s="229">
        <v>1.54E-2</v>
      </c>
      <c r="CN32" s="230">
        <v>52179750</v>
      </c>
      <c r="CO32" s="230">
        <v>49906500</v>
      </c>
      <c r="CP32" s="230">
        <v>2273250</v>
      </c>
      <c r="CQ32" s="229">
        <v>4.5600000000000002E-2</v>
      </c>
      <c r="CR32" s="230">
        <v>24898125</v>
      </c>
      <c r="CS32" s="230">
        <v>24869250</v>
      </c>
      <c r="CT32" s="230">
        <v>28875</v>
      </c>
      <c r="CU32" s="229">
        <v>1.1999999999999999E-3</v>
      </c>
      <c r="CV32" s="230">
        <v>140697375</v>
      </c>
      <c r="CW32" s="230">
        <v>138810000</v>
      </c>
      <c r="CX32" s="230">
        <v>1887375</v>
      </c>
      <c r="CY32" s="229">
        <v>1.3599999999999999E-2</v>
      </c>
      <c r="CZ32" s="228">
        <v>28.95</v>
      </c>
      <c r="DA32" s="228">
        <v>28.66</v>
      </c>
      <c r="DB32" s="228">
        <v>0.28999999999999998</v>
      </c>
      <c r="DC32" s="228">
        <v>0.28999999999999998</v>
      </c>
      <c r="DD32" s="228">
        <v>44.34</v>
      </c>
      <c r="DE32" s="228">
        <v>44.44</v>
      </c>
      <c r="DF32" s="228">
        <v>-15.39</v>
      </c>
      <c r="DG32" s="228">
        <v>-0.1</v>
      </c>
      <c r="DH32" s="228">
        <v>29.41</v>
      </c>
      <c r="DI32" s="228">
        <v>29.32</v>
      </c>
      <c r="DJ32" s="228">
        <v>0.09</v>
      </c>
      <c r="DK32" s="228">
        <v>0.09</v>
      </c>
      <c r="DL32" s="228">
        <v>27.51</v>
      </c>
      <c r="DM32" s="228">
        <v>27.26</v>
      </c>
      <c r="DN32" s="228">
        <v>0.25</v>
      </c>
      <c r="DO32" s="228">
        <v>0.25</v>
      </c>
      <c r="DP32" s="228">
        <v>0.48</v>
      </c>
      <c r="DQ32" s="228">
        <v>0.5</v>
      </c>
      <c r="DR32" s="228">
        <v>-0.02</v>
      </c>
      <c r="DS32" s="229">
        <v>-0.04</v>
      </c>
      <c r="DT32" s="228">
        <v>300</v>
      </c>
      <c r="DU32" s="228">
        <v>270</v>
      </c>
      <c r="DV32" s="228">
        <v>0.32</v>
      </c>
      <c r="DW32" s="228">
        <v>0.47</v>
      </c>
      <c r="DX32" s="228">
        <v>-0.15</v>
      </c>
      <c r="DY32" s="229">
        <v>-0.31909999999999999</v>
      </c>
      <c r="DZ32" s="229">
        <v>6.4699999999999994E-2</v>
      </c>
      <c r="EA32" s="230">
        <v>3869250</v>
      </c>
      <c r="EB32" s="229">
        <v>6.4999999999999997E-3</v>
      </c>
      <c r="EC32" s="229">
        <v>6.4699999999999994E-2</v>
      </c>
      <c r="ED32" s="228">
        <v>1.86</v>
      </c>
      <c r="EE32" s="229">
        <v>6.7000000000000002E-3</v>
      </c>
      <c r="EF32" s="230">
        <v>846697</v>
      </c>
      <c r="EG32" s="230">
        <v>2034533</v>
      </c>
      <c r="EH32" s="229">
        <v>-0.58379999999999999</v>
      </c>
      <c r="EI32" s="229">
        <v>0.25209999999999999</v>
      </c>
      <c r="EJ32" s="231">
        <v>116863.23</v>
      </c>
      <c r="EK32" s="231">
        <v>35484.449999999997</v>
      </c>
      <c r="EL32" s="231">
        <v>22223.4</v>
      </c>
      <c r="EM32" s="231">
        <v>5210</v>
      </c>
      <c r="EN32" s="231">
        <v>174571.08</v>
      </c>
      <c r="EO32" s="231">
        <v>232419.08</v>
      </c>
      <c r="EP32" s="231">
        <v>-57848</v>
      </c>
      <c r="EQ32" s="229">
        <v>-0.24890000000000001</v>
      </c>
      <c r="ER32" s="231">
        <v>154326</v>
      </c>
      <c r="ES32" s="231">
        <v>67663</v>
      </c>
      <c r="ET32" s="231">
        <v>177414</v>
      </c>
      <c r="EU32" s="231">
        <v>169029877</v>
      </c>
      <c r="EV32" s="231">
        <v>399403</v>
      </c>
      <c r="EW32" s="231">
        <v>395129</v>
      </c>
      <c r="EX32" s="231">
        <v>4274</v>
      </c>
      <c r="EY32" s="229">
        <v>1.0800000000000001E-2</v>
      </c>
      <c r="EZ32" s="229">
        <v>0.83240000000000003</v>
      </c>
      <c r="FA32" s="227" t="s">
        <v>568</v>
      </c>
      <c r="FB32" s="161">
        <f t="shared" si="0"/>
        <v>4116000</v>
      </c>
    </row>
    <row r="33" spans="1:158" ht="17.25" hidden="1" thickBot="1" x14ac:dyDescent="0.3">
      <c r="A33" s="226">
        <v>46008</v>
      </c>
      <c r="B33" s="227" t="s">
        <v>170</v>
      </c>
      <c r="C33" s="227" t="s">
        <v>191</v>
      </c>
      <c r="D33" s="228">
        <v>2500</v>
      </c>
      <c r="E33" s="228">
        <v>386.85</v>
      </c>
      <c r="F33" s="228">
        <v>386.4</v>
      </c>
      <c r="G33" s="228">
        <v>0.45</v>
      </c>
      <c r="H33" s="229">
        <v>1.1999999999999999E-3</v>
      </c>
      <c r="I33" s="228">
        <v>386.1</v>
      </c>
      <c r="J33" s="228">
        <v>384.9</v>
      </c>
      <c r="K33" s="228">
        <v>1.2</v>
      </c>
      <c r="L33" s="229">
        <v>3.0999999999999999E-3</v>
      </c>
      <c r="M33" s="228">
        <v>386.85</v>
      </c>
      <c r="N33" s="228">
        <v>386.4</v>
      </c>
      <c r="O33" s="228">
        <v>0.45</v>
      </c>
      <c r="P33" s="229">
        <v>1.1999999999999999E-3</v>
      </c>
      <c r="Q33" s="228">
        <v>389.4</v>
      </c>
      <c r="R33" s="228">
        <v>388.6</v>
      </c>
      <c r="S33" s="228">
        <v>0.8</v>
      </c>
      <c r="T33" s="229">
        <v>2.0999999999999999E-3</v>
      </c>
      <c r="U33" s="228">
        <v>391.5</v>
      </c>
      <c r="V33" s="228">
        <v>390.75</v>
      </c>
      <c r="W33" s="228">
        <v>0.75</v>
      </c>
      <c r="X33" s="229">
        <v>1.9E-3</v>
      </c>
      <c r="Y33" s="228">
        <v>0.75</v>
      </c>
      <c r="Z33" s="228">
        <v>1.5</v>
      </c>
      <c r="AA33" s="228">
        <v>-0.75</v>
      </c>
      <c r="AB33" s="229">
        <v>1.9E-3</v>
      </c>
      <c r="AC33" s="228">
        <v>0.75</v>
      </c>
      <c r="AD33" s="228">
        <v>1.5</v>
      </c>
      <c r="AE33" s="228">
        <v>-0.75</v>
      </c>
      <c r="AF33" s="229">
        <v>1.9E-3</v>
      </c>
      <c r="AG33" s="228">
        <v>3.3</v>
      </c>
      <c r="AH33" s="228">
        <v>3.7</v>
      </c>
      <c r="AI33" s="228">
        <v>-0.4</v>
      </c>
      <c r="AJ33" s="229">
        <v>8.5000000000000006E-3</v>
      </c>
      <c r="AK33" s="228">
        <v>5.4</v>
      </c>
      <c r="AL33" s="228">
        <v>5.85</v>
      </c>
      <c r="AM33" s="228">
        <v>-0.45</v>
      </c>
      <c r="AN33" s="229">
        <v>1.4E-2</v>
      </c>
      <c r="AO33" s="228">
        <v>387.25</v>
      </c>
      <c r="AP33" s="228">
        <v>389.81</v>
      </c>
      <c r="AQ33" s="228">
        <v>0</v>
      </c>
      <c r="AR33" s="230">
        <v>3705000</v>
      </c>
      <c r="AS33" s="230">
        <v>3717500</v>
      </c>
      <c r="AT33" s="230">
        <v>-12500</v>
      </c>
      <c r="AU33" s="229">
        <v>-3.3999999999999998E-3</v>
      </c>
      <c r="AV33" s="230">
        <v>3220000</v>
      </c>
      <c r="AW33" s="230">
        <v>3397500</v>
      </c>
      <c r="AX33" s="230">
        <v>-177500</v>
      </c>
      <c r="AY33" s="229">
        <v>-5.2200000000000003E-2</v>
      </c>
      <c r="AZ33" s="230">
        <v>465000</v>
      </c>
      <c r="BA33" s="230">
        <v>307500</v>
      </c>
      <c r="BB33" s="230">
        <v>157500</v>
      </c>
      <c r="BC33" s="229">
        <v>0.51219999999999999</v>
      </c>
      <c r="BD33" s="230">
        <v>20000</v>
      </c>
      <c r="BE33" s="230">
        <v>12500</v>
      </c>
      <c r="BF33" s="230">
        <v>7500</v>
      </c>
      <c r="BG33" s="229">
        <v>0.6</v>
      </c>
      <c r="BH33" s="230">
        <v>18440000</v>
      </c>
      <c r="BI33" s="230">
        <v>15727500</v>
      </c>
      <c r="BJ33" s="230">
        <v>2712500</v>
      </c>
      <c r="BK33" s="229">
        <v>0.17249999999999999</v>
      </c>
      <c r="BL33" s="230">
        <v>6217500</v>
      </c>
      <c r="BM33" s="230">
        <v>5702500</v>
      </c>
      <c r="BN33" s="230">
        <v>515000</v>
      </c>
      <c r="BO33" s="229">
        <v>9.0300000000000005E-2</v>
      </c>
      <c r="BP33" s="230">
        <v>28362500</v>
      </c>
      <c r="BQ33" s="230">
        <v>25147500</v>
      </c>
      <c r="BR33" s="230">
        <v>3215000</v>
      </c>
      <c r="BS33" s="229">
        <v>0.1278</v>
      </c>
      <c r="BT33" s="230">
        <v>1340360</v>
      </c>
      <c r="BU33" s="230">
        <v>1046538</v>
      </c>
      <c r="BV33" s="230">
        <v>293822</v>
      </c>
      <c r="BW33" s="229">
        <v>0.28079999999999999</v>
      </c>
      <c r="BX33" s="230">
        <v>48540000</v>
      </c>
      <c r="BY33" s="230">
        <v>48632500</v>
      </c>
      <c r="BZ33" s="230">
        <v>-92500</v>
      </c>
      <c r="CA33" s="229">
        <v>-1.9E-3</v>
      </c>
      <c r="CB33" s="230">
        <v>46067500</v>
      </c>
      <c r="CC33" s="230">
        <v>46310000</v>
      </c>
      <c r="CD33" s="230">
        <v>-242500</v>
      </c>
      <c r="CE33" s="229">
        <v>-5.1999999999999998E-3</v>
      </c>
      <c r="CF33" s="230">
        <v>2230000</v>
      </c>
      <c r="CG33" s="230">
        <v>2070000</v>
      </c>
      <c r="CH33" s="230">
        <v>160000</v>
      </c>
      <c r="CI33" s="229">
        <v>7.7299999999999994E-2</v>
      </c>
      <c r="CJ33" s="230">
        <v>242500</v>
      </c>
      <c r="CK33" s="230">
        <v>252500</v>
      </c>
      <c r="CL33" s="230">
        <v>-10000</v>
      </c>
      <c r="CM33" s="229">
        <v>-3.9600000000000003E-2</v>
      </c>
      <c r="CN33" s="230">
        <v>32985000</v>
      </c>
      <c r="CO33" s="230">
        <v>33952500</v>
      </c>
      <c r="CP33" s="230">
        <v>-967500</v>
      </c>
      <c r="CQ33" s="229">
        <v>-2.8500000000000001E-2</v>
      </c>
      <c r="CR33" s="230">
        <v>16707500</v>
      </c>
      <c r="CS33" s="230">
        <v>16900000</v>
      </c>
      <c r="CT33" s="230">
        <v>-192500</v>
      </c>
      <c r="CU33" s="229">
        <v>-1.14E-2</v>
      </c>
      <c r="CV33" s="230">
        <v>98232500</v>
      </c>
      <c r="CW33" s="230">
        <v>99485000</v>
      </c>
      <c r="CX33" s="230">
        <v>-1252500</v>
      </c>
      <c r="CY33" s="229">
        <v>-1.26E-2</v>
      </c>
      <c r="CZ33" s="228">
        <v>25.88</v>
      </c>
      <c r="DA33" s="228">
        <v>26.3</v>
      </c>
      <c r="DB33" s="228">
        <v>-0.42</v>
      </c>
      <c r="DC33" s="228">
        <v>-0.42</v>
      </c>
      <c r="DD33" s="228">
        <v>38.56</v>
      </c>
      <c r="DE33" s="228">
        <v>38.65</v>
      </c>
      <c r="DF33" s="228">
        <v>-12.68</v>
      </c>
      <c r="DG33" s="228">
        <v>-0.09</v>
      </c>
      <c r="DH33" s="228">
        <v>26.3</v>
      </c>
      <c r="DI33" s="228">
        <v>26.67</v>
      </c>
      <c r="DJ33" s="228">
        <v>-0.37</v>
      </c>
      <c r="DK33" s="228">
        <v>-0.37</v>
      </c>
      <c r="DL33" s="228">
        <v>24.62</v>
      </c>
      <c r="DM33" s="228">
        <v>25.27</v>
      </c>
      <c r="DN33" s="228">
        <v>-0.65</v>
      </c>
      <c r="DO33" s="228">
        <v>-0.65</v>
      </c>
      <c r="DP33" s="228">
        <v>0.51</v>
      </c>
      <c r="DQ33" s="228">
        <v>0.5</v>
      </c>
      <c r="DR33" s="228">
        <v>0.01</v>
      </c>
      <c r="DS33" s="229">
        <v>0.02</v>
      </c>
      <c r="DT33" s="228">
        <v>400</v>
      </c>
      <c r="DU33" s="228">
        <v>370</v>
      </c>
      <c r="DV33" s="228">
        <v>0.34</v>
      </c>
      <c r="DW33" s="228">
        <v>0.36</v>
      </c>
      <c r="DX33" s="228">
        <v>-0.02</v>
      </c>
      <c r="DY33" s="229">
        <v>-5.5599999999999997E-2</v>
      </c>
      <c r="DZ33" s="229">
        <v>5.0900000000000001E-2</v>
      </c>
      <c r="EA33" s="230">
        <v>2322500</v>
      </c>
      <c r="EB33" s="229">
        <v>6.6E-3</v>
      </c>
      <c r="EC33" s="229">
        <v>5.0900000000000001E-2</v>
      </c>
      <c r="ED33" s="228">
        <v>2.56</v>
      </c>
      <c r="EE33" s="229">
        <v>6.6E-3</v>
      </c>
      <c r="EF33" s="230">
        <v>635232</v>
      </c>
      <c r="EG33" s="230">
        <v>484997</v>
      </c>
      <c r="EH33" s="229">
        <v>0.30980000000000002</v>
      </c>
      <c r="EI33" s="229">
        <v>0.47389999999999999</v>
      </c>
      <c r="EJ33" s="231">
        <v>74947.899999999994</v>
      </c>
      <c r="EK33" s="231">
        <v>23771.84</v>
      </c>
      <c r="EL33" s="231">
        <v>14360.41</v>
      </c>
      <c r="EM33" s="231">
        <v>2210</v>
      </c>
      <c r="EN33" s="231">
        <v>113080.15</v>
      </c>
      <c r="EO33" s="231">
        <v>100006.85</v>
      </c>
      <c r="EP33" s="231">
        <v>13073.3</v>
      </c>
      <c r="EQ33" s="229">
        <v>0.13070000000000001</v>
      </c>
      <c r="ER33" s="231">
        <v>136308</v>
      </c>
      <c r="ES33" s="231">
        <v>63332</v>
      </c>
      <c r="ET33" s="231">
        <v>187845</v>
      </c>
      <c r="EU33" s="231">
        <v>90981174</v>
      </c>
      <c r="EV33" s="231">
        <v>387485</v>
      </c>
      <c r="EW33" s="231">
        <v>392612</v>
      </c>
      <c r="EX33" s="231">
        <v>-5127</v>
      </c>
      <c r="EY33" s="229">
        <v>-1.3100000000000001E-2</v>
      </c>
      <c r="EZ33" s="229">
        <v>1.0797000000000001</v>
      </c>
      <c r="FA33" s="227" t="s">
        <v>556</v>
      </c>
      <c r="FB33" s="161">
        <f t="shared" si="0"/>
        <v>2472500</v>
      </c>
    </row>
    <row r="34" spans="1:158" ht="17.25" hidden="1" thickBot="1" x14ac:dyDescent="0.3">
      <c r="A34" s="226">
        <v>46008</v>
      </c>
      <c r="B34" s="227" t="s">
        <v>184</v>
      </c>
      <c r="C34" s="227" t="s">
        <v>680</v>
      </c>
      <c r="D34" s="228">
        <v>325</v>
      </c>
      <c r="E34" s="231">
        <v>1825.9</v>
      </c>
      <c r="F34" s="231">
        <v>1822</v>
      </c>
      <c r="G34" s="228">
        <v>3.9</v>
      </c>
      <c r="H34" s="229">
        <v>2.0999999999999999E-3</v>
      </c>
      <c r="I34" s="231">
        <v>1826.8</v>
      </c>
      <c r="J34" s="231">
        <v>1815.6</v>
      </c>
      <c r="K34" s="228">
        <v>11.2</v>
      </c>
      <c r="L34" s="229">
        <v>6.1999999999999998E-3</v>
      </c>
      <c r="M34" s="231">
        <v>1825.9</v>
      </c>
      <c r="N34" s="231">
        <v>1822</v>
      </c>
      <c r="O34" s="228">
        <v>3.9</v>
      </c>
      <c r="P34" s="229">
        <v>2.0999999999999999E-3</v>
      </c>
      <c r="Q34" s="231">
        <v>1830.3</v>
      </c>
      <c r="R34" s="231">
        <v>1827.2</v>
      </c>
      <c r="S34" s="228">
        <v>3.1</v>
      </c>
      <c r="T34" s="229">
        <v>1.6999999999999999E-3</v>
      </c>
      <c r="U34" s="231">
        <v>1745</v>
      </c>
      <c r="V34" s="231">
        <v>1745</v>
      </c>
      <c r="W34" s="228">
        <v>0</v>
      </c>
      <c r="X34" s="229">
        <v>0</v>
      </c>
      <c r="Y34" s="228">
        <v>-0.9</v>
      </c>
      <c r="Z34" s="228">
        <v>6.4</v>
      </c>
      <c r="AA34" s="228">
        <v>-7.3</v>
      </c>
      <c r="AB34" s="229">
        <v>-5.0000000000000001E-4</v>
      </c>
      <c r="AC34" s="228">
        <v>-0.9</v>
      </c>
      <c r="AD34" s="228">
        <v>6.4</v>
      </c>
      <c r="AE34" s="228">
        <v>-7.3</v>
      </c>
      <c r="AF34" s="229">
        <v>-5.0000000000000001E-4</v>
      </c>
      <c r="AG34" s="228">
        <v>3.5</v>
      </c>
      <c r="AH34" s="228">
        <v>11.6</v>
      </c>
      <c r="AI34" s="228">
        <v>-8.1</v>
      </c>
      <c r="AJ34" s="229">
        <v>1.9E-3</v>
      </c>
      <c r="AK34" s="228">
        <v>-81.8</v>
      </c>
      <c r="AL34" s="228">
        <v>-70.599999999999994</v>
      </c>
      <c r="AM34" s="228">
        <v>-11.2</v>
      </c>
      <c r="AN34" s="229">
        <v>-4.48E-2</v>
      </c>
      <c r="AO34" s="231">
        <v>1823.53</v>
      </c>
      <c r="AP34" s="231">
        <v>1826.43</v>
      </c>
      <c r="AQ34" s="228">
        <v>0</v>
      </c>
      <c r="AR34" s="230">
        <v>264875</v>
      </c>
      <c r="AS34" s="230">
        <v>393575</v>
      </c>
      <c r="AT34" s="230">
        <v>-128700</v>
      </c>
      <c r="AU34" s="229">
        <v>-0.32700000000000001</v>
      </c>
      <c r="AV34" s="230">
        <v>235625</v>
      </c>
      <c r="AW34" s="230">
        <v>301275</v>
      </c>
      <c r="AX34" s="230">
        <v>-65650</v>
      </c>
      <c r="AY34" s="229">
        <v>-0.21790000000000001</v>
      </c>
      <c r="AZ34" s="230">
        <v>29250</v>
      </c>
      <c r="BA34" s="230">
        <v>92300</v>
      </c>
      <c r="BB34" s="230">
        <v>-63050</v>
      </c>
      <c r="BC34" s="229">
        <v>-0.68310000000000004</v>
      </c>
      <c r="BD34" s="228">
        <v>0</v>
      </c>
      <c r="BE34" s="228">
        <v>0</v>
      </c>
      <c r="BF34" s="228">
        <v>0</v>
      </c>
      <c r="BG34" s="229">
        <v>0</v>
      </c>
      <c r="BH34" s="230">
        <v>1029925</v>
      </c>
      <c r="BI34" s="230">
        <v>704275</v>
      </c>
      <c r="BJ34" s="230">
        <v>325650</v>
      </c>
      <c r="BK34" s="229">
        <v>0.46239999999999998</v>
      </c>
      <c r="BL34" s="230">
        <v>236275</v>
      </c>
      <c r="BM34" s="230">
        <v>294125</v>
      </c>
      <c r="BN34" s="230">
        <v>-57850</v>
      </c>
      <c r="BO34" s="229">
        <v>-0.19670000000000001</v>
      </c>
      <c r="BP34" s="230">
        <v>1531075</v>
      </c>
      <c r="BQ34" s="230">
        <v>1391975</v>
      </c>
      <c r="BR34" s="230">
        <v>139100</v>
      </c>
      <c r="BS34" s="229">
        <v>9.9900000000000003E-2</v>
      </c>
      <c r="BT34" s="230">
        <v>143765</v>
      </c>
      <c r="BU34" s="230">
        <v>159575</v>
      </c>
      <c r="BV34" s="230">
        <v>-15810</v>
      </c>
      <c r="BW34" s="229">
        <v>-9.9099999999999994E-2</v>
      </c>
      <c r="BX34" s="230">
        <v>2390050</v>
      </c>
      <c r="BY34" s="230">
        <v>2375425</v>
      </c>
      <c r="BZ34" s="230">
        <v>14625</v>
      </c>
      <c r="CA34" s="229">
        <v>6.1999999999999998E-3</v>
      </c>
      <c r="CB34" s="230">
        <v>2199600</v>
      </c>
      <c r="CC34" s="230">
        <v>2187250</v>
      </c>
      <c r="CD34" s="230">
        <v>12350</v>
      </c>
      <c r="CE34" s="229">
        <v>5.5999999999999999E-3</v>
      </c>
      <c r="CF34" s="230">
        <v>188500</v>
      </c>
      <c r="CG34" s="230">
        <v>186225</v>
      </c>
      <c r="CH34" s="230">
        <v>2275</v>
      </c>
      <c r="CI34" s="229">
        <v>1.2200000000000001E-2</v>
      </c>
      <c r="CJ34" s="230">
        <v>1950</v>
      </c>
      <c r="CK34" s="230">
        <v>1950</v>
      </c>
      <c r="CL34" s="228">
        <v>0</v>
      </c>
      <c r="CM34" s="229">
        <v>0</v>
      </c>
      <c r="CN34" s="230">
        <v>743925</v>
      </c>
      <c r="CO34" s="230">
        <v>576225</v>
      </c>
      <c r="CP34" s="230">
        <v>167700</v>
      </c>
      <c r="CQ34" s="229">
        <v>0.29099999999999998</v>
      </c>
      <c r="CR34" s="230">
        <v>520650</v>
      </c>
      <c r="CS34" s="230">
        <v>454675</v>
      </c>
      <c r="CT34" s="230">
        <v>65975</v>
      </c>
      <c r="CU34" s="229">
        <v>0.14510000000000001</v>
      </c>
      <c r="CV34" s="230">
        <v>3654625</v>
      </c>
      <c r="CW34" s="230">
        <v>3406325</v>
      </c>
      <c r="CX34" s="230">
        <v>248300</v>
      </c>
      <c r="CY34" s="229">
        <v>7.2900000000000006E-2</v>
      </c>
      <c r="CZ34" s="228">
        <v>22.15</v>
      </c>
      <c r="DA34" s="228">
        <v>21.41</v>
      </c>
      <c r="DB34" s="228">
        <v>0.74</v>
      </c>
      <c r="DC34" s="228">
        <v>0.74</v>
      </c>
      <c r="DD34" s="228">
        <v>39.869999999999997</v>
      </c>
      <c r="DE34" s="228">
        <v>39.96</v>
      </c>
      <c r="DF34" s="228">
        <v>-17.72</v>
      </c>
      <c r="DG34" s="228">
        <v>-0.09</v>
      </c>
      <c r="DH34" s="228">
        <v>22.26</v>
      </c>
      <c r="DI34" s="228">
        <v>21.7</v>
      </c>
      <c r="DJ34" s="228">
        <v>0.56000000000000005</v>
      </c>
      <c r="DK34" s="228">
        <v>0.56000000000000005</v>
      </c>
      <c r="DL34" s="228">
        <v>21.68</v>
      </c>
      <c r="DM34" s="228">
        <v>20.69</v>
      </c>
      <c r="DN34" s="228">
        <v>0.99</v>
      </c>
      <c r="DO34" s="228">
        <v>0.99</v>
      </c>
      <c r="DP34" s="228">
        <v>0.7</v>
      </c>
      <c r="DQ34" s="228">
        <v>0.79</v>
      </c>
      <c r="DR34" s="228">
        <v>-0.09</v>
      </c>
      <c r="DS34" s="229">
        <v>-0.1139</v>
      </c>
      <c r="DT34" s="231">
        <v>1880</v>
      </c>
      <c r="DU34" s="231">
        <v>1760</v>
      </c>
      <c r="DV34" s="228">
        <v>0.23</v>
      </c>
      <c r="DW34" s="228">
        <v>0.42</v>
      </c>
      <c r="DX34" s="228">
        <v>-0.19</v>
      </c>
      <c r="DY34" s="229">
        <v>-0.45240000000000002</v>
      </c>
      <c r="DZ34" s="229">
        <v>7.9699999999999993E-2</v>
      </c>
      <c r="EA34" s="230">
        <v>188175</v>
      </c>
      <c r="EB34" s="229">
        <v>2.3999999999999998E-3</v>
      </c>
      <c r="EC34" s="229">
        <v>7.9699999999999993E-2</v>
      </c>
      <c r="ED34" s="228">
        <v>2.9</v>
      </c>
      <c r="EE34" s="229">
        <v>1.6000000000000001E-3</v>
      </c>
      <c r="EF34" s="230">
        <v>89257</v>
      </c>
      <c r="EG34" s="230">
        <v>79548</v>
      </c>
      <c r="EH34" s="229">
        <v>0.1221</v>
      </c>
      <c r="EI34" s="229">
        <v>0.62090000000000001</v>
      </c>
      <c r="EJ34" s="231">
        <v>19413.52</v>
      </c>
      <c r="EK34" s="231">
        <v>4177.3</v>
      </c>
      <c r="EL34" s="231">
        <v>4830.93</v>
      </c>
      <c r="EM34" s="231">
        <v>1300</v>
      </c>
      <c r="EN34" s="231">
        <v>28421.75</v>
      </c>
      <c r="EO34" s="231">
        <v>25631.39</v>
      </c>
      <c r="EP34" s="231">
        <v>2790.36</v>
      </c>
      <c r="EQ34" s="229">
        <v>0.1089</v>
      </c>
      <c r="ER34" s="231">
        <v>13879</v>
      </c>
      <c r="ES34" s="231">
        <v>8945</v>
      </c>
      <c r="ET34" s="231">
        <v>43647</v>
      </c>
      <c r="EU34" s="231">
        <v>19584741</v>
      </c>
      <c r="EV34" s="231">
        <v>66471</v>
      </c>
      <c r="EW34" s="231">
        <v>61724</v>
      </c>
      <c r="EX34" s="231">
        <v>4747</v>
      </c>
      <c r="EY34" s="229">
        <v>7.6899999999999996E-2</v>
      </c>
      <c r="EZ34" s="229">
        <v>0.18659999999999999</v>
      </c>
      <c r="FA34" s="227" t="s">
        <v>555</v>
      </c>
      <c r="FB34" s="161">
        <f t="shared" si="0"/>
        <v>190450</v>
      </c>
    </row>
    <row r="35" spans="1:158" ht="17.25" hidden="1" thickBot="1" x14ac:dyDescent="0.3">
      <c r="A35" s="226">
        <v>46008</v>
      </c>
      <c r="B35" s="227" t="s">
        <v>162</v>
      </c>
      <c r="C35" s="227" t="s">
        <v>192</v>
      </c>
      <c r="D35" s="228">
        <v>25</v>
      </c>
      <c r="E35" s="231">
        <v>36045</v>
      </c>
      <c r="F35" s="231">
        <v>36295</v>
      </c>
      <c r="G35" s="228">
        <v>-250</v>
      </c>
      <c r="H35" s="229">
        <v>-6.8999999999999999E-3</v>
      </c>
      <c r="I35" s="231">
        <v>35975</v>
      </c>
      <c r="J35" s="231">
        <v>36230</v>
      </c>
      <c r="K35" s="228">
        <v>-255</v>
      </c>
      <c r="L35" s="229">
        <v>-7.0000000000000001E-3</v>
      </c>
      <c r="M35" s="231">
        <v>36045</v>
      </c>
      <c r="N35" s="231">
        <v>36295</v>
      </c>
      <c r="O35" s="228">
        <v>-250</v>
      </c>
      <c r="P35" s="229">
        <v>-6.8999999999999999E-3</v>
      </c>
      <c r="Q35" s="231">
        <v>36275</v>
      </c>
      <c r="R35" s="231">
        <v>36505</v>
      </c>
      <c r="S35" s="228">
        <v>-230</v>
      </c>
      <c r="T35" s="229">
        <v>-6.3E-3</v>
      </c>
      <c r="U35" s="231">
        <v>36400</v>
      </c>
      <c r="V35" s="231">
        <v>36595</v>
      </c>
      <c r="W35" s="228">
        <v>-195</v>
      </c>
      <c r="X35" s="229">
        <v>-5.3E-3</v>
      </c>
      <c r="Y35" s="228">
        <v>70</v>
      </c>
      <c r="Z35" s="228">
        <v>65</v>
      </c>
      <c r="AA35" s="228">
        <v>5</v>
      </c>
      <c r="AB35" s="229">
        <v>1.9E-3</v>
      </c>
      <c r="AC35" s="228">
        <v>70</v>
      </c>
      <c r="AD35" s="228">
        <v>65</v>
      </c>
      <c r="AE35" s="228">
        <v>5</v>
      </c>
      <c r="AF35" s="229">
        <v>1.9E-3</v>
      </c>
      <c r="AG35" s="228">
        <v>300</v>
      </c>
      <c r="AH35" s="228">
        <v>275</v>
      </c>
      <c r="AI35" s="228">
        <v>25</v>
      </c>
      <c r="AJ35" s="229">
        <v>8.3000000000000001E-3</v>
      </c>
      <c r="AK35" s="228">
        <v>425</v>
      </c>
      <c r="AL35" s="228">
        <v>365</v>
      </c>
      <c r="AM35" s="228">
        <v>60</v>
      </c>
      <c r="AN35" s="229">
        <v>1.18E-2</v>
      </c>
      <c r="AO35" s="231">
        <v>36146.32</v>
      </c>
      <c r="AP35" s="231">
        <v>36367.050000000003</v>
      </c>
      <c r="AQ35" s="228">
        <v>0</v>
      </c>
      <c r="AR35" s="230">
        <v>20825</v>
      </c>
      <c r="AS35" s="230">
        <v>20875</v>
      </c>
      <c r="AT35" s="228">
        <v>-50</v>
      </c>
      <c r="AU35" s="229">
        <v>-2.3999999999999998E-3</v>
      </c>
      <c r="AV35" s="230">
        <v>16375</v>
      </c>
      <c r="AW35" s="230">
        <v>17725</v>
      </c>
      <c r="AX35" s="230">
        <v>-1350</v>
      </c>
      <c r="AY35" s="229">
        <v>-7.6200000000000004E-2</v>
      </c>
      <c r="AZ35" s="230">
        <v>4400</v>
      </c>
      <c r="BA35" s="230">
        <v>3000</v>
      </c>
      <c r="BB35" s="230">
        <v>1400</v>
      </c>
      <c r="BC35" s="229">
        <v>0.4667</v>
      </c>
      <c r="BD35" s="228">
        <v>50</v>
      </c>
      <c r="BE35" s="228">
        <v>150</v>
      </c>
      <c r="BF35" s="228">
        <v>-100</v>
      </c>
      <c r="BG35" s="229">
        <v>-0.66669999999999996</v>
      </c>
      <c r="BH35" s="230">
        <v>140550</v>
      </c>
      <c r="BI35" s="230">
        <v>70500</v>
      </c>
      <c r="BJ35" s="230">
        <v>70050</v>
      </c>
      <c r="BK35" s="229">
        <v>0.99360000000000004</v>
      </c>
      <c r="BL35" s="230">
        <v>21000</v>
      </c>
      <c r="BM35" s="230">
        <v>26925</v>
      </c>
      <c r="BN35" s="230">
        <v>-5925</v>
      </c>
      <c r="BO35" s="229">
        <v>-0.22009999999999999</v>
      </c>
      <c r="BP35" s="230">
        <v>182375</v>
      </c>
      <c r="BQ35" s="230">
        <v>118300</v>
      </c>
      <c r="BR35" s="230">
        <v>64075</v>
      </c>
      <c r="BS35" s="229">
        <v>0.54159999999999997</v>
      </c>
      <c r="BT35" s="230">
        <v>9458</v>
      </c>
      <c r="BU35" s="230">
        <v>11716</v>
      </c>
      <c r="BV35" s="230">
        <v>-2258</v>
      </c>
      <c r="BW35" s="229">
        <v>-0.19270000000000001</v>
      </c>
      <c r="BX35" s="230">
        <v>211875</v>
      </c>
      <c r="BY35" s="230">
        <v>209400</v>
      </c>
      <c r="BZ35" s="230">
        <v>2475</v>
      </c>
      <c r="CA35" s="229">
        <v>1.18E-2</v>
      </c>
      <c r="CB35" s="230">
        <v>201150</v>
      </c>
      <c r="CC35" s="230">
        <v>201600</v>
      </c>
      <c r="CD35" s="228">
        <v>-450</v>
      </c>
      <c r="CE35" s="229">
        <v>-2.2000000000000001E-3</v>
      </c>
      <c r="CF35" s="230">
        <v>10275</v>
      </c>
      <c r="CG35" s="230">
        <v>7375</v>
      </c>
      <c r="CH35" s="230">
        <v>2900</v>
      </c>
      <c r="CI35" s="229">
        <v>0.39319999999999999</v>
      </c>
      <c r="CJ35" s="228">
        <v>450</v>
      </c>
      <c r="CK35" s="228">
        <v>425</v>
      </c>
      <c r="CL35" s="228">
        <v>25</v>
      </c>
      <c r="CM35" s="229">
        <v>5.8799999999999998E-2</v>
      </c>
      <c r="CN35" s="230">
        <v>89125</v>
      </c>
      <c r="CO35" s="230">
        <v>80675</v>
      </c>
      <c r="CP35" s="230">
        <v>8450</v>
      </c>
      <c r="CQ35" s="229">
        <v>0.1047</v>
      </c>
      <c r="CR35" s="230">
        <v>42525</v>
      </c>
      <c r="CS35" s="230">
        <v>42125</v>
      </c>
      <c r="CT35" s="228">
        <v>400</v>
      </c>
      <c r="CU35" s="229">
        <v>9.4999999999999998E-3</v>
      </c>
      <c r="CV35" s="230">
        <v>343525</v>
      </c>
      <c r="CW35" s="230">
        <v>332200</v>
      </c>
      <c r="CX35" s="230">
        <v>11325</v>
      </c>
      <c r="CY35" s="229">
        <v>3.4099999999999998E-2</v>
      </c>
      <c r="CZ35" s="228">
        <v>23.07</v>
      </c>
      <c r="DA35" s="228">
        <v>20.59</v>
      </c>
      <c r="DB35" s="228">
        <v>2.48</v>
      </c>
      <c r="DC35" s="228">
        <v>2.48</v>
      </c>
      <c r="DD35" s="228">
        <v>27.58</v>
      </c>
      <c r="DE35" s="228">
        <v>27.63</v>
      </c>
      <c r="DF35" s="228">
        <v>-4.51</v>
      </c>
      <c r="DG35" s="228">
        <v>-0.05</v>
      </c>
      <c r="DH35" s="228">
        <v>23.65</v>
      </c>
      <c r="DI35" s="228">
        <v>20.97</v>
      </c>
      <c r="DJ35" s="228">
        <v>2.68</v>
      </c>
      <c r="DK35" s="228">
        <v>2.68</v>
      </c>
      <c r="DL35" s="228">
        <v>19.149999999999999</v>
      </c>
      <c r="DM35" s="228">
        <v>19.600000000000001</v>
      </c>
      <c r="DN35" s="228">
        <v>-0.45</v>
      </c>
      <c r="DO35" s="228">
        <v>-0.45</v>
      </c>
      <c r="DP35" s="228">
        <v>0.48</v>
      </c>
      <c r="DQ35" s="228">
        <v>0.52</v>
      </c>
      <c r="DR35" s="228">
        <v>-0.04</v>
      </c>
      <c r="DS35" s="229">
        <v>-7.6899999999999996E-2</v>
      </c>
      <c r="DT35" s="231">
        <v>37000</v>
      </c>
      <c r="DU35" s="231">
        <v>36000</v>
      </c>
      <c r="DV35" s="228">
        <v>0.15</v>
      </c>
      <c r="DW35" s="228">
        <v>0.38</v>
      </c>
      <c r="DX35" s="228">
        <v>-0.23</v>
      </c>
      <c r="DY35" s="229">
        <v>-0.60529999999999995</v>
      </c>
      <c r="DZ35" s="229">
        <v>5.0599999999999999E-2</v>
      </c>
      <c r="EA35" s="230">
        <v>7800</v>
      </c>
      <c r="EB35" s="229">
        <v>6.4000000000000003E-3</v>
      </c>
      <c r="EC35" s="229">
        <v>5.0599999999999999E-2</v>
      </c>
      <c r="ED35" s="228">
        <v>220.73</v>
      </c>
      <c r="EE35" s="229">
        <v>6.1000000000000004E-3</v>
      </c>
      <c r="EF35" s="230">
        <v>4217</v>
      </c>
      <c r="EG35" s="230">
        <v>5185</v>
      </c>
      <c r="EH35" s="229">
        <v>-0.1867</v>
      </c>
      <c r="EI35" s="229">
        <v>0.44590000000000002</v>
      </c>
      <c r="EJ35" s="231">
        <v>54215.08</v>
      </c>
      <c r="EK35" s="231">
        <v>7541.41</v>
      </c>
      <c r="EL35" s="231">
        <v>7537.32</v>
      </c>
      <c r="EM35" s="228">
        <v>869</v>
      </c>
      <c r="EN35" s="231">
        <v>69293.81</v>
      </c>
      <c r="EO35" s="231">
        <v>44062.96</v>
      </c>
      <c r="EP35" s="231">
        <v>25230.85</v>
      </c>
      <c r="EQ35" s="229">
        <v>0.5726</v>
      </c>
      <c r="ER35" s="231">
        <v>33982</v>
      </c>
      <c r="ES35" s="231">
        <v>15170</v>
      </c>
      <c r="ET35" s="231">
        <v>76396</v>
      </c>
      <c r="EU35" s="231">
        <v>982526</v>
      </c>
      <c r="EV35" s="231">
        <v>125548</v>
      </c>
      <c r="EW35" s="231">
        <v>121825</v>
      </c>
      <c r="EX35" s="231">
        <v>3723</v>
      </c>
      <c r="EY35" s="229">
        <v>3.0599999999999999E-2</v>
      </c>
      <c r="EZ35" s="229">
        <v>0.34960000000000002</v>
      </c>
      <c r="FA35" s="227" t="s">
        <v>567</v>
      </c>
      <c r="FB35" s="161">
        <f t="shared" si="0"/>
        <v>10725</v>
      </c>
    </row>
    <row r="36" spans="1:158" ht="17.25" hidden="1" thickBot="1" x14ac:dyDescent="0.3">
      <c r="A36" s="226">
        <v>46008</v>
      </c>
      <c r="B36" s="227" t="s">
        <v>193</v>
      </c>
      <c r="C36" s="227" t="s">
        <v>194</v>
      </c>
      <c r="D36" s="228">
        <v>1975</v>
      </c>
      <c r="E36" s="228">
        <v>368.65</v>
      </c>
      <c r="F36" s="228">
        <v>368.6</v>
      </c>
      <c r="G36" s="228">
        <v>0.05</v>
      </c>
      <c r="H36" s="229">
        <v>1E-4</v>
      </c>
      <c r="I36" s="228">
        <v>368.35</v>
      </c>
      <c r="J36" s="228">
        <v>368.15</v>
      </c>
      <c r="K36" s="228">
        <v>0.2</v>
      </c>
      <c r="L36" s="229">
        <v>5.0000000000000001E-4</v>
      </c>
      <c r="M36" s="228">
        <v>368.65</v>
      </c>
      <c r="N36" s="228">
        <v>368.6</v>
      </c>
      <c r="O36" s="228">
        <v>0.05</v>
      </c>
      <c r="P36" s="229">
        <v>1E-4</v>
      </c>
      <c r="Q36" s="228">
        <v>369.7</v>
      </c>
      <c r="R36" s="228">
        <v>369</v>
      </c>
      <c r="S36" s="228">
        <v>0.7</v>
      </c>
      <c r="T36" s="229">
        <v>1.9E-3</v>
      </c>
      <c r="U36" s="228">
        <v>368.05</v>
      </c>
      <c r="V36" s="228">
        <v>368.6</v>
      </c>
      <c r="W36" s="228">
        <v>-0.55000000000000004</v>
      </c>
      <c r="X36" s="229">
        <v>-1.5E-3</v>
      </c>
      <c r="Y36" s="228">
        <v>0.3</v>
      </c>
      <c r="Z36" s="228">
        <v>0.45</v>
      </c>
      <c r="AA36" s="228">
        <v>-0.15</v>
      </c>
      <c r="AB36" s="229">
        <v>8.0000000000000004E-4</v>
      </c>
      <c r="AC36" s="228">
        <v>0.3</v>
      </c>
      <c r="AD36" s="228">
        <v>0.45</v>
      </c>
      <c r="AE36" s="228">
        <v>-0.15</v>
      </c>
      <c r="AF36" s="229">
        <v>8.0000000000000004E-4</v>
      </c>
      <c r="AG36" s="228">
        <v>1.35</v>
      </c>
      <c r="AH36" s="228">
        <v>0.85</v>
      </c>
      <c r="AI36" s="228">
        <v>0.5</v>
      </c>
      <c r="AJ36" s="229">
        <v>3.7000000000000002E-3</v>
      </c>
      <c r="AK36" s="228">
        <v>-0.3</v>
      </c>
      <c r="AL36" s="228">
        <v>0.45</v>
      </c>
      <c r="AM36" s="228">
        <v>-0.75</v>
      </c>
      <c r="AN36" s="229">
        <v>-8.0000000000000004E-4</v>
      </c>
      <c r="AO36" s="228">
        <v>369.62</v>
      </c>
      <c r="AP36" s="228">
        <v>370.4</v>
      </c>
      <c r="AQ36" s="228">
        <v>0</v>
      </c>
      <c r="AR36" s="230">
        <v>6353575</v>
      </c>
      <c r="AS36" s="230">
        <v>6426650</v>
      </c>
      <c r="AT36" s="230">
        <v>-73075</v>
      </c>
      <c r="AU36" s="229">
        <v>-1.14E-2</v>
      </c>
      <c r="AV36" s="230">
        <v>5486550</v>
      </c>
      <c r="AW36" s="230">
        <v>5478650</v>
      </c>
      <c r="AX36" s="230">
        <v>7900</v>
      </c>
      <c r="AY36" s="229">
        <v>1.4E-3</v>
      </c>
      <c r="AZ36" s="230">
        <v>790000</v>
      </c>
      <c r="BA36" s="230">
        <v>884800</v>
      </c>
      <c r="BB36" s="230">
        <v>-94800</v>
      </c>
      <c r="BC36" s="229">
        <v>-0.1071</v>
      </c>
      <c r="BD36" s="230">
        <v>77025</v>
      </c>
      <c r="BE36" s="230">
        <v>63200</v>
      </c>
      <c r="BF36" s="230">
        <v>13825</v>
      </c>
      <c r="BG36" s="229">
        <v>0.21879999999999999</v>
      </c>
      <c r="BH36" s="230">
        <v>48448725</v>
      </c>
      <c r="BI36" s="230">
        <v>34287975</v>
      </c>
      <c r="BJ36" s="230">
        <v>14160750</v>
      </c>
      <c r="BK36" s="229">
        <v>0.41299999999999998</v>
      </c>
      <c r="BL36" s="230">
        <v>12979700</v>
      </c>
      <c r="BM36" s="230">
        <v>9720950</v>
      </c>
      <c r="BN36" s="230">
        <v>3258750</v>
      </c>
      <c r="BO36" s="229">
        <v>0.3352</v>
      </c>
      <c r="BP36" s="230">
        <v>67782000</v>
      </c>
      <c r="BQ36" s="230">
        <v>50435575</v>
      </c>
      <c r="BR36" s="230">
        <v>17346425</v>
      </c>
      <c r="BS36" s="229">
        <v>0.34389999999999998</v>
      </c>
      <c r="BT36" s="230">
        <v>7107032</v>
      </c>
      <c r="BU36" s="230">
        <v>4464514</v>
      </c>
      <c r="BV36" s="230">
        <v>2642518</v>
      </c>
      <c r="BW36" s="229">
        <v>0.59189999999999998</v>
      </c>
      <c r="BX36" s="230">
        <v>28319525</v>
      </c>
      <c r="BY36" s="230">
        <v>28945600</v>
      </c>
      <c r="BZ36" s="230">
        <v>-626075</v>
      </c>
      <c r="CA36" s="229">
        <v>-2.1600000000000001E-2</v>
      </c>
      <c r="CB36" s="230">
        <v>26836300</v>
      </c>
      <c r="CC36" s="230">
        <v>27578900</v>
      </c>
      <c r="CD36" s="230">
        <v>-742600</v>
      </c>
      <c r="CE36" s="229">
        <v>-2.69E-2</v>
      </c>
      <c r="CF36" s="230">
        <v>1244250</v>
      </c>
      <c r="CG36" s="230">
        <v>1145500</v>
      </c>
      <c r="CH36" s="230">
        <v>98750</v>
      </c>
      <c r="CI36" s="229">
        <v>8.6199999999999999E-2</v>
      </c>
      <c r="CJ36" s="230">
        <v>238975</v>
      </c>
      <c r="CK36" s="230">
        <v>221200</v>
      </c>
      <c r="CL36" s="230">
        <v>17775</v>
      </c>
      <c r="CM36" s="229">
        <v>8.0399999999999999E-2</v>
      </c>
      <c r="CN36" s="230">
        <v>19965275</v>
      </c>
      <c r="CO36" s="230">
        <v>19169350</v>
      </c>
      <c r="CP36" s="230">
        <v>795925</v>
      </c>
      <c r="CQ36" s="229">
        <v>4.1500000000000002E-2</v>
      </c>
      <c r="CR36" s="230">
        <v>11462900</v>
      </c>
      <c r="CS36" s="230">
        <v>11271325</v>
      </c>
      <c r="CT36" s="230">
        <v>191575</v>
      </c>
      <c r="CU36" s="229">
        <v>1.7000000000000001E-2</v>
      </c>
      <c r="CV36" s="230">
        <v>59747700</v>
      </c>
      <c r="CW36" s="230">
        <v>59386275</v>
      </c>
      <c r="CX36" s="230">
        <v>361425</v>
      </c>
      <c r="CY36" s="229">
        <v>6.1000000000000004E-3</v>
      </c>
      <c r="CZ36" s="228">
        <v>24.31</v>
      </c>
      <c r="DA36" s="228">
        <v>24.8</v>
      </c>
      <c r="DB36" s="228">
        <v>-0.49</v>
      </c>
      <c r="DC36" s="228">
        <v>-0.49</v>
      </c>
      <c r="DD36" s="228">
        <v>32.5</v>
      </c>
      <c r="DE36" s="228">
        <v>32.590000000000003</v>
      </c>
      <c r="DF36" s="228">
        <v>-8.19</v>
      </c>
      <c r="DG36" s="228">
        <v>-0.09</v>
      </c>
      <c r="DH36" s="228">
        <v>24.24</v>
      </c>
      <c r="DI36" s="228">
        <v>24.83</v>
      </c>
      <c r="DJ36" s="228">
        <v>-0.59</v>
      </c>
      <c r="DK36" s="228">
        <v>-0.59</v>
      </c>
      <c r="DL36" s="228">
        <v>24.55</v>
      </c>
      <c r="DM36" s="228">
        <v>24.67</v>
      </c>
      <c r="DN36" s="228">
        <v>-0.12</v>
      </c>
      <c r="DO36" s="228">
        <v>-0.12</v>
      </c>
      <c r="DP36" s="228">
        <v>0.56999999999999995</v>
      </c>
      <c r="DQ36" s="228">
        <v>0.59</v>
      </c>
      <c r="DR36" s="228">
        <v>-0.02</v>
      </c>
      <c r="DS36" s="229">
        <v>-3.39E-2</v>
      </c>
      <c r="DT36" s="228">
        <v>370</v>
      </c>
      <c r="DU36" s="228">
        <v>320</v>
      </c>
      <c r="DV36" s="228">
        <v>0.27</v>
      </c>
      <c r="DW36" s="228">
        <v>0.28000000000000003</v>
      </c>
      <c r="DX36" s="228">
        <v>-0.01</v>
      </c>
      <c r="DY36" s="229">
        <v>-3.5700000000000003E-2</v>
      </c>
      <c r="DZ36" s="229">
        <v>5.2400000000000002E-2</v>
      </c>
      <c r="EA36" s="230">
        <v>1366700</v>
      </c>
      <c r="EB36" s="229">
        <v>2.8E-3</v>
      </c>
      <c r="EC36" s="229">
        <v>5.2400000000000002E-2</v>
      </c>
      <c r="ED36" s="228">
        <v>0.78</v>
      </c>
      <c r="EE36" s="229">
        <v>2.0999999999999999E-3</v>
      </c>
      <c r="EF36" s="230">
        <v>3727458</v>
      </c>
      <c r="EG36" s="230">
        <v>2338097</v>
      </c>
      <c r="EH36" s="229">
        <v>0.59419999999999995</v>
      </c>
      <c r="EI36" s="229">
        <v>0.52449999999999997</v>
      </c>
      <c r="EJ36" s="231">
        <v>183827.75</v>
      </c>
      <c r="EK36" s="231">
        <v>47421.4</v>
      </c>
      <c r="EL36" s="231">
        <v>23490.65</v>
      </c>
      <c r="EM36" s="231">
        <v>3583</v>
      </c>
      <c r="EN36" s="231">
        <v>254739.8</v>
      </c>
      <c r="EO36" s="231">
        <v>188458.46</v>
      </c>
      <c r="EP36" s="231">
        <v>66281.34</v>
      </c>
      <c r="EQ36" s="229">
        <v>0.35170000000000001</v>
      </c>
      <c r="ER36" s="231">
        <v>75444</v>
      </c>
      <c r="ES36" s="231">
        <v>40036</v>
      </c>
      <c r="ET36" s="231">
        <v>104412</v>
      </c>
      <c r="EU36" s="231">
        <v>281577339</v>
      </c>
      <c r="EV36" s="231">
        <v>219892</v>
      </c>
      <c r="EW36" s="231">
        <v>218216</v>
      </c>
      <c r="EX36" s="231">
        <v>1676</v>
      </c>
      <c r="EY36" s="229">
        <v>7.7000000000000002E-3</v>
      </c>
      <c r="EZ36" s="229">
        <v>0.2122</v>
      </c>
      <c r="FA36" s="227" t="s">
        <v>556</v>
      </c>
      <c r="FB36" s="161">
        <f t="shared" si="0"/>
        <v>1483225</v>
      </c>
    </row>
    <row r="37" spans="1:158" ht="17.25" hidden="1" thickBot="1" x14ac:dyDescent="0.3">
      <c r="A37" s="226">
        <v>46008</v>
      </c>
      <c r="B37" s="227" t="s">
        <v>168</v>
      </c>
      <c r="C37" s="227" t="s">
        <v>195</v>
      </c>
      <c r="D37" s="228">
        <v>125</v>
      </c>
      <c r="E37" s="231">
        <v>6100.5</v>
      </c>
      <c r="F37" s="231">
        <v>6077</v>
      </c>
      <c r="G37" s="228">
        <v>23.5</v>
      </c>
      <c r="H37" s="229">
        <v>3.8999999999999998E-3</v>
      </c>
      <c r="I37" s="231">
        <v>6096</v>
      </c>
      <c r="J37" s="231">
        <v>6066</v>
      </c>
      <c r="K37" s="228">
        <v>30</v>
      </c>
      <c r="L37" s="229">
        <v>4.8999999999999998E-3</v>
      </c>
      <c r="M37" s="231">
        <v>6100.5</v>
      </c>
      <c r="N37" s="231">
        <v>6077</v>
      </c>
      <c r="O37" s="228">
        <v>23.5</v>
      </c>
      <c r="P37" s="229">
        <v>3.8999999999999998E-3</v>
      </c>
      <c r="Q37" s="231">
        <v>6137.5</v>
      </c>
      <c r="R37" s="231">
        <v>6111.5</v>
      </c>
      <c r="S37" s="228">
        <v>26</v>
      </c>
      <c r="T37" s="229">
        <v>4.3E-3</v>
      </c>
      <c r="U37" s="231">
        <v>6175</v>
      </c>
      <c r="V37" s="231">
        <v>6144</v>
      </c>
      <c r="W37" s="228">
        <v>31</v>
      </c>
      <c r="X37" s="229">
        <v>5.0000000000000001E-3</v>
      </c>
      <c r="Y37" s="228">
        <v>4.5</v>
      </c>
      <c r="Z37" s="228">
        <v>11</v>
      </c>
      <c r="AA37" s="228">
        <v>-6.5</v>
      </c>
      <c r="AB37" s="229">
        <v>6.9999999999999999E-4</v>
      </c>
      <c r="AC37" s="228">
        <v>4.5</v>
      </c>
      <c r="AD37" s="228">
        <v>11</v>
      </c>
      <c r="AE37" s="228">
        <v>-6.5</v>
      </c>
      <c r="AF37" s="229">
        <v>6.9999999999999999E-4</v>
      </c>
      <c r="AG37" s="228">
        <v>41.5</v>
      </c>
      <c r="AH37" s="228">
        <v>45.5</v>
      </c>
      <c r="AI37" s="228">
        <v>-4</v>
      </c>
      <c r="AJ37" s="229">
        <v>6.7999999999999996E-3</v>
      </c>
      <c r="AK37" s="228">
        <v>79</v>
      </c>
      <c r="AL37" s="228">
        <v>78</v>
      </c>
      <c r="AM37" s="228">
        <v>1</v>
      </c>
      <c r="AN37" s="229">
        <v>1.2999999999999999E-2</v>
      </c>
      <c r="AO37" s="231">
        <v>6102.56</v>
      </c>
      <c r="AP37" s="231">
        <v>6138.1</v>
      </c>
      <c r="AQ37" s="228">
        <v>0</v>
      </c>
      <c r="AR37" s="230">
        <v>247125</v>
      </c>
      <c r="AS37" s="230">
        <v>473375</v>
      </c>
      <c r="AT37" s="230">
        <v>-226250</v>
      </c>
      <c r="AU37" s="229">
        <v>-0.47799999999999998</v>
      </c>
      <c r="AV37" s="230">
        <v>229250</v>
      </c>
      <c r="AW37" s="230">
        <v>445500</v>
      </c>
      <c r="AX37" s="230">
        <v>-216250</v>
      </c>
      <c r="AY37" s="229">
        <v>-0.4854</v>
      </c>
      <c r="AZ37" s="230">
        <v>17125</v>
      </c>
      <c r="BA37" s="230">
        <v>26750</v>
      </c>
      <c r="BB37" s="230">
        <v>-9625</v>
      </c>
      <c r="BC37" s="229">
        <v>-0.35980000000000001</v>
      </c>
      <c r="BD37" s="228">
        <v>750</v>
      </c>
      <c r="BE37" s="230">
        <v>1125</v>
      </c>
      <c r="BF37" s="228">
        <v>-375</v>
      </c>
      <c r="BG37" s="229">
        <v>-0.33329999999999999</v>
      </c>
      <c r="BH37" s="230">
        <v>1958375</v>
      </c>
      <c r="BI37" s="230">
        <v>5118750</v>
      </c>
      <c r="BJ37" s="230">
        <v>-3160375</v>
      </c>
      <c r="BK37" s="229">
        <v>-0.61739999999999995</v>
      </c>
      <c r="BL37" s="230">
        <v>711875</v>
      </c>
      <c r="BM37" s="230">
        <v>1803750</v>
      </c>
      <c r="BN37" s="230">
        <v>-1091875</v>
      </c>
      <c r="BO37" s="229">
        <v>-0.60529999999999995</v>
      </c>
      <c r="BP37" s="230">
        <v>2917375</v>
      </c>
      <c r="BQ37" s="230">
        <v>7395875</v>
      </c>
      <c r="BR37" s="230">
        <v>-4478500</v>
      </c>
      <c r="BS37" s="229">
        <v>-0.60550000000000004</v>
      </c>
      <c r="BT37" s="230">
        <v>303359</v>
      </c>
      <c r="BU37" s="230">
        <v>294169</v>
      </c>
      <c r="BV37" s="230">
        <v>9190</v>
      </c>
      <c r="BW37" s="229">
        <v>3.1199999999999999E-2</v>
      </c>
      <c r="BX37" s="230">
        <v>2704875</v>
      </c>
      <c r="BY37" s="230">
        <v>2735000</v>
      </c>
      <c r="BZ37" s="230">
        <v>-30125</v>
      </c>
      <c r="CA37" s="229">
        <v>-1.0999999999999999E-2</v>
      </c>
      <c r="CB37" s="230">
        <v>2654500</v>
      </c>
      <c r="CC37" s="230">
        <v>2688125</v>
      </c>
      <c r="CD37" s="230">
        <v>-33625</v>
      </c>
      <c r="CE37" s="229">
        <v>-1.2500000000000001E-2</v>
      </c>
      <c r="CF37" s="230">
        <v>47125</v>
      </c>
      <c r="CG37" s="230">
        <v>43625</v>
      </c>
      <c r="CH37" s="230">
        <v>3500</v>
      </c>
      <c r="CI37" s="229">
        <v>8.0199999999999994E-2</v>
      </c>
      <c r="CJ37" s="230">
        <v>3250</v>
      </c>
      <c r="CK37" s="230">
        <v>3250</v>
      </c>
      <c r="CL37" s="228">
        <v>0</v>
      </c>
      <c r="CM37" s="229">
        <v>0</v>
      </c>
      <c r="CN37" s="230">
        <v>1263375</v>
      </c>
      <c r="CO37" s="230">
        <v>1165000</v>
      </c>
      <c r="CP37" s="230">
        <v>98375</v>
      </c>
      <c r="CQ37" s="229">
        <v>8.4400000000000003E-2</v>
      </c>
      <c r="CR37" s="230">
        <v>802875</v>
      </c>
      <c r="CS37" s="230">
        <v>816375</v>
      </c>
      <c r="CT37" s="230">
        <v>-13500</v>
      </c>
      <c r="CU37" s="229">
        <v>-1.6500000000000001E-2</v>
      </c>
      <c r="CV37" s="230">
        <v>4771125</v>
      </c>
      <c r="CW37" s="230">
        <v>4716375</v>
      </c>
      <c r="CX37" s="230">
        <v>54750</v>
      </c>
      <c r="CY37" s="229">
        <v>1.1599999999999999E-2</v>
      </c>
      <c r="CZ37" s="228">
        <v>18.75</v>
      </c>
      <c r="DA37" s="228">
        <v>18.04</v>
      </c>
      <c r="DB37" s="228">
        <v>0.71</v>
      </c>
      <c r="DC37" s="228">
        <v>0.71</v>
      </c>
      <c r="DD37" s="228">
        <v>24.17</v>
      </c>
      <c r="DE37" s="228">
        <v>24.22</v>
      </c>
      <c r="DF37" s="228">
        <v>-5.42</v>
      </c>
      <c r="DG37" s="228">
        <v>-0.05</v>
      </c>
      <c r="DH37" s="228">
        <v>18.72</v>
      </c>
      <c r="DI37" s="228">
        <v>18.07</v>
      </c>
      <c r="DJ37" s="228">
        <v>0.65</v>
      </c>
      <c r="DK37" s="228">
        <v>0.65</v>
      </c>
      <c r="DL37" s="228">
        <v>18.809999999999999</v>
      </c>
      <c r="DM37" s="228">
        <v>17.98</v>
      </c>
      <c r="DN37" s="228">
        <v>0.83</v>
      </c>
      <c r="DO37" s="228">
        <v>0.83</v>
      </c>
      <c r="DP37" s="228">
        <v>0.64</v>
      </c>
      <c r="DQ37" s="228">
        <v>0.7</v>
      </c>
      <c r="DR37" s="228">
        <v>-0.06</v>
      </c>
      <c r="DS37" s="229">
        <v>-8.5699999999999998E-2</v>
      </c>
      <c r="DT37" s="231">
        <v>6200</v>
      </c>
      <c r="DU37" s="231">
        <v>5800</v>
      </c>
      <c r="DV37" s="228">
        <v>0.36</v>
      </c>
      <c r="DW37" s="228">
        <v>0.35</v>
      </c>
      <c r="DX37" s="228">
        <v>0.01</v>
      </c>
      <c r="DY37" s="229">
        <v>2.86E-2</v>
      </c>
      <c r="DZ37" s="229">
        <v>1.8599999999999998E-2</v>
      </c>
      <c r="EA37" s="230">
        <v>46875</v>
      </c>
      <c r="EB37" s="229">
        <v>6.1000000000000004E-3</v>
      </c>
      <c r="EC37" s="229">
        <v>1.8599999999999998E-2</v>
      </c>
      <c r="ED37" s="228">
        <v>35.54</v>
      </c>
      <c r="EE37" s="229">
        <v>5.7999999999999996E-3</v>
      </c>
      <c r="EF37" s="230">
        <v>213320</v>
      </c>
      <c r="EG37" s="230">
        <v>109857</v>
      </c>
      <c r="EH37" s="229">
        <v>0.94179999999999997</v>
      </c>
      <c r="EI37" s="229">
        <v>0.70320000000000005</v>
      </c>
      <c r="EJ37" s="231">
        <v>122367.89</v>
      </c>
      <c r="EK37" s="231">
        <v>42806.06</v>
      </c>
      <c r="EL37" s="231">
        <v>15087.51</v>
      </c>
      <c r="EM37" s="231">
        <v>2643</v>
      </c>
      <c r="EN37" s="231">
        <v>180261.46</v>
      </c>
      <c r="EO37" s="231">
        <v>457371.31</v>
      </c>
      <c r="EP37" s="231">
        <v>-277109.84999999998</v>
      </c>
      <c r="EQ37" s="229">
        <v>-0.60589999999999999</v>
      </c>
      <c r="ER37" s="231">
        <v>79322</v>
      </c>
      <c r="ES37" s="231">
        <v>46198</v>
      </c>
      <c r="ET37" s="231">
        <v>165031</v>
      </c>
      <c r="EU37" s="231">
        <v>13082978</v>
      </c>
      <c r="EV37" s="231">
        <v>290550</v>
      </c>
      <c r="EW37" s="231">
        <v>286258</v>
      </c>
      <c r="EX37" s="231">
        <v>4292</v>
      </c>
      <c r="EY37" s="229">
        <v>1.4999999999999999E-2</v>
      </c>
      <c r="EZ37" s="229">
        <v>0.36470000000000002</v>
      </c>
      <c r="FA37" s="227" t="s">
        <v>556</v>
      </c>
      <c r="FB37" s="161">
        <f t="shared" si="0"/>
        <v>50375</v>
      </c>
    </row>
    <row r="38" spans="1:158" ht="17.25" hidden="1" thickBot="1" x14ac:dyDescent="0.3">
      <c r="A38" s="226">
        <v>46008</v>
      </c>
      <c r="B38" s="227" t="s">
        <v>175</v>
      </c>
      <c r="C38" s="227" t="s">
        <v>584</v>
      </c>
      <c r="D38" s="228">
        <v>375</v>
      </c>
      <c r="E38" s="231">
        <v>2633.5</v>
      </c>
      <c r="F38" s="231">
        <v>2617.9</v>
      </c>
      <c r="G38" s="228">
        <v>15.6</v>
      </c>
      <c r="H38" s="229">
        <v>6.0000000000000001E-3</v>
      </c>
      <c r="I38" s="231">
        <v>2630.5</v>
      </c>
      <c r="J38" s="231">
        <v>2605.9</v>
      </c>
      <c r="K38" s="228">
        <v>24.6</v>
      </c>
      <c r="L38" s="229">
        <v>9.4000000000000004E-3</v>
      </c>
      <c r="M38" s="231">
        <v>2633.5</v>
      </c>
      <c r="N38" s="231">
        <v>2617.9</v>
      </c>
      <c r="O38" s="228">
        <v>15.6</v>
      </c>
      <c r="P38" s="229">
        <v>6.0000000000000001E-3</v>
      </c>
      <c r="Q38" s="231">
        <v>2647.1</v>
      </c>
      <c r="R38" s="231">
        <v>2633.6</v>
      </c>
      <c r="S38" s="228">
        <v>13.5</v>
      </c>
      <c r="T38" s="229">
        <v>5.1000000000000004E-3</v>
      </c>
      <c r="U38" s="231">
        <v>2661.9</v>
      </c>
      <c r="V38" s="231">
        <v>2647.5</v>
      </c>
      <c r="W38" s="228">
        <v>14.4</v>
      </c>
      <c r="X38" s="229">
        <v>5.4000000000000003E-3</v>
      </c>
      <c r="Y38" s="228">
        <v>3</v>
      </c>
      <c r="Z38" s="228">
        <v>12</v>
      </c>
      <c r="AA38" s="228">
        <v>-9</v>
      </c>
      <c r="AB38" s="229">
        <v>1.1000000000000001E-3</v>
      </c>
      <c r="AC38" s="228">
        <v>3</v>
      </c>
      <c r="AD38" s="228">
        <v>12</v>
      </c>
      <c r="AE38" s="228">
        <v>-9</v>
      </c>
      <c r="AF38" s="229">
        <v>1.1000000000000001E-3</v>
      </c>
      <c r="AG38" s="228">
        <v>16.600000000000001</v>
      </c>
      <c r="AH38" s="228">
        <v>27.7</v>
      </c>
      <c r="AI38" s="228">
        <v>-11.1</v>
      </c>
      <c r="AJ38" s="229">
        <v>6.3E-3</v>
      </c>
      <c r="AK38" s="228">
        <v>31.4</v>
      </c>
      <c r="AL38" s="228">
        <v>41.6</v>
      </c>
      <c r="AM38" s="228">
        <v>-10.199999999999999</v>
      </c>
      <c r="AN38" s="229">
        <v>1.1900000000000001E-2</v>
      </c>
      <c r="AO38" s="231">
        <v>2647.41</v>
      </c>
      <c r="AP38" s="231">
        <v>2664.61</v>
      </c>
      <c r="AQ38" s="228">
        <v>0</v>
      </c>
      <c r="AR38" s="230">
        <v>4072500</v>
      </c>
      <c r="AS38" s="230">
        <v>4383000</v>
      </c>
      <c r="AT38" s="230">
        <v>-310500</v>
      </c>
      <c r="AU38" s="229">
        <v>-7.0800000000000002E-2</v>
      </c>
      <c r="AV38" s="230">
        <v>3362250</v>
      </c>
      <c r="AW38" s="230">
        <v>3678000</v>
      </c>
      <c r="AX38" s="230">
        <v>-315750</v>
      </c>
      <c r="AY38" s="229">
        <v>-8.5800000000000001E-2</v>
      </c>
      <c r="AZ38" s="230">
        <v>676125</v>
      </c>
      <c r="BA38" s="230">
        <v>660000</v>
      </c>
      <c r="BB38" s="230">
        <v>16125</v>
      </c>
      <c r="BC38" s="229">
        <v>2.4400000000000002E-2</v>
      </c>
      <c r="BD38" s="230">
        <v>34125</v>
      </c>
      <c r="BE38" s="230">
        <v>45000</v>
      </c>
      <c r="BF38" s="230">
        <v>-10875</v>
      </c>
      <c r="BG38" s="229">
        <v>-0.2417</v>
      </c>
      <c r="BH38" s="230">
        <v>25101000</v>
      </c>
      <c r="BI38" s="230">
        <v>24248250</v>
      </c>
      <c r="BJ38" s="230">
        <v>852750</v>
      </c>
      <c r="BK38" s="229">
        <v>3.5200000000000002E-2</v>
      </c>
      <c r="BL38" s="230">
        <v>13362000</v>
      </c>
      <c r="BM38" s="230">
        <v>16558500</v>
      </c>
      <c r="BN38" s="230">
        <v>-3196500</v>
      </c>
      <c r="BO38" s="229">
        <v>-0.193</v>
      </c>
      <c r="BP38" s="230">
        <v>42535500</v>
      </c>
      <c r="BQ38" s="230">
        <v>45189750</v>
      </c>
      <c r="BR38" s="230">
        <v>-2654250</v>
      </c>
      <c r="BS38" s="229">
        <v>-5.8700000000000002E-2</v>
      </c>
      <c r="BT38" s="230">
        <v>4201851</v>
      </c>
      <c r="BU38" s="230">
        <v>5246754</v>
      </c>
      <c r="BV38" s="230">
        <v>-1044903</v>
      </c>
      <c r="BW38" s="229">
        <v>-0.19919999999999999</v>
      </c>
      <c r="BX38" s="230">
        <v>11711625</v>
      </c>
      <c r="BY38" s="230">
        <v>11916000</v>
      </c>
      <c r="BZ38" s="230">
        <v>-204375</v>
      </c>
      <c r="CA38" s="229">
        <v>-1.72E-2</v>
      </c>
      <c r="CB38" s="230">
        <v>10194000</v>
      </c>
      <c r="CC38" s="230">
        <v>10584375</v>
      </c>
      <c r="CD38" s="230">
        <v>-390375</v>
      </c>
      <c r="CE38" s="229">
        <v>-3.6900000000000002E-2</v>
      </c>
      <c r="CF38" s="230">
        <v>1328625</v>
      </c>
      <c r="CG38" s="230">
        <v>1134750</v>
      </c>
      <c r="CH38" s="230">
        <v>193875</v>
      </c>
      <c r="CI38" s="229">
        <v>0.1709</v>
      </c>
      <c r="CJ38" s="230">
        <v>189000</v>
      </c>
      <c r="CK38" s="230">
        <v>196875</v>
      </c>
      <c r="CL38" s="230">
        <v>-7875</v>
      </c>
      <c r="CM38" s="229">
        <v>-0.04</v>
      </c>
      <c r="CN38" s="230">
        <v>14941875</v>
      </c>
      <c r="CO38" s="230">
        <v>15052500</v>
      </c>
      <c r="CP38" s="230">
        <v>-110625</v>
      </c>
      <c r="CQ38" s="229">
        <v>-7.3000000000000001E-3</v>
      </c>
      <c r="CR38" s="230">
        <v>7545000</v>
      </c>
      <c r="CS38" s="230">
        <v>7670250</v>
      </c>
      <c r="CT38" s="230">
        <v>-125250</v>
      </c>
      <c r="CU38" s="229">
        <v>-1.6299999999999999E-2</v>
      </c>
      <c r="CV38" s="230">
        <v>34198500</v>
      </c>
      <c r="CW38" s="230">
        <v>34638750</v>
      </c>
      <c r="CX38" s="230">
        <v>-440250</v>
      </c>
      <c r="CY38" s="229">
        <v>-1.2699999999999999E-2</v>
      </c>
      <c r="CZ38" s="228">
        <v>39.08</v>
      </c>
      <c r="DA38" s="228">
        <v>39.520000000000003</v>
      </c>
      <c r="DB38" s="228">
        <v>-0.44</v>
      </c>
      <c r="DC38" s="228">
        <v>-0.44</v>
      </c>
      <c r="DD38" s="228">
        <v>60.62</v>
      </c>
      <c r="DE38" s="228">
        <v>60.76</v>
      </c>
      <c r="DF38" s="228">
        <v>-21.54</v>
      </c>
      <c r="DG38" s="228">
        <v>-0.14000000000000001</v>
      </c>
      <c r="DH38" s="228">
        <v>39.340000000000003</v>
      </c>
      <c r="DI38" s="228">
        <v>39.74</v>
      </c>
      <c r="DJ38" s="228">
        <v>-0.4</v>
      </c>
      <c r="DK38" s="228">
        <v>-0.4</v>
      </c>
      <c r="DL38" s="228">
        <v>38.57</v>
      </c>
      <c r="DM38" s="228">
        <v>39.19</v>
      </c>
      <c r="DN38" s="228">
        <v>-0.62</v>
      </c>
      <c r="DO38" s="228">
        <v>-0.62</v>
      </c>
      <c r="DP38" s="228">
        <v>0.5</v>
      </c>
      <c r="DQ38" s="228">
        <v>0.51</v>
      </c>
      <c r="DR38" s="228">
        <v>-0.01</v>
      </c>
      <c r="DS38" s="229">
        <v>-1.9599999999999999E-2</v>
      </c>
      <c r="DT38" s="231">
        <v>3000</v>
      </c>
      <c r="DU38" s="231">
        <v>2600</v>
      </c>
      <c r="DV38" s="228">
        <v>0.53</v>
      </c>
      <c r="DW38" s="228">
        <v>0.68</v>
      </c>
      <c r="DX38" s="228">
        <v>-0.15</v>
      </c>
      <c r="DY38" s="229">
        <v>-0.22059999999999999</v>
      </c>
      <c r="DZ38" s="229">
        <v>0.12959999999999999</v>
      </c>
      <c r="EA38" s="230">
        <v>1331625</v>
      </c>
      <c r="EB38" s="229">
        <v>5.1999999999999998E-3</v>
      </c>
      <c r="EC38" s="229">
        <v>0.12959999999999999</v>
      </c>
      <c r="ED38" s="228">
        <v>17.2</v>
      </c>
      <c r="EE38" s="229">
        <v>6.4999999999999997E-3</v>
      </c>
      <c r="EF38" s="230">
        <v>1141181</v>
      </c>
      <c r="EG38" s="230">
        <v>1836536</v>
      </c>
      <c r="EH38" s="229">
        <v>-0.37859999999999999</v>
      </c>
      <c r="EI38" s="229">
        <v>0.27160000000000001</v>
      </c>
      <c r="EJ38" s="231">
        <v>706170.47</v>
      </c>
      <c r="EK38" s="231">
        <v>344316.58</v>
      </c>
      <c r="EL38" s="231">
        <v>107941.82</v>
      </c>
      <c r="EM38" s="231">
        <v>12003</v>
      </c>
      <c r="EN38" s="231">
        <v>1158428.8700000001</v>
      </c>
      <c r="EO38" s="231">
        <v>1225660.1200000001</v>
      </c>
      <c r="EP38" s="231">
        <v>-67231.25</v>
      </c>
      <c r="EQ38" s="229">
        <v>-5.4899999999999997E-2</v>
      </c>
      <c r="ER38" s="231">
        <v>430287</v>
      </c>
      <c r="ES38" s="231">
        <v>195397</v>
      </c>
      <c r="ET38" s="231">
        <v>308660</v>
      </c>
      <c r="EU38" s="231">
        <v>48385387</v>
      </c>
      <c r="EV38" s="231">
        <v>934344</v>
      </c>
      <c r="EW38" s="231">
        <v>944762</v>
      </c>
      <c r="EX38" s="231">
        <v>-10418</v>
      </c>
      <c r="EY38" s="229">
        <v>-1.0999999999999999E-2</v>
      </c>
      <c r="EZ38" s="229">
        <v>0.70679999999999998</v>
      </c>
      <c r="FA38" s="227" t="s">
        <v>556</v>
      </c>
      <c r="FB38" s="161">
        <f t="shared" si="0"/>
        <v>1517625</v>
      </c>
    </row>
    <row r="39" spans="1:158" ht="17.25" hidden="1" thickBot="1" x14ac:dyDescent="0.3">
      <c r="A39" s="226">
        <v>46008</v>
      </c>
      <c r="B39" s="227" t="s">
        <v>175</v>
      </c>
      <c r="C39" s="227" t="s">
        <v>611</v>
      </c>
      <c r="D39" s="228">
        <v>750</v>
      </c>
      <c r="E39" s="228">
        <v>735.2</v>
      </c>
      <c r="F39" s="228">
        <v>754.4</v>
      </c>
      <c r="G39" s="228">
        <v>-19.2</v>
      </c>
      <c r="H39" s="229">
        <v>-2.5499999999999998E-2</v>
      </c>
      <c r="I39" s="228">
        <v>733.8</v>
      </c>
      <c r="J39" s="228">
        <v>753.8</v>
      </c>
      <c r="K39" s="228">
        <v>-20</v>
      </c>
      <c r="L39" s="229">
        <v>-2.6499999999999999E-2</v>
      </c>
      <c r="M39" s="228">
        <v>735.2</v>
      </c>
      <c r="N39" s="228">
        <v>754.4</v>
      </c>
      <c r="O39" s="228">
        <v>-19.2</v>
      </c>
      <c r="P39" s="229">
        <v>-2.5499999999999998E-2</v>
      </c>
      <c r="Q39" s="228">
        <v>740.1</v>
      </c>
      <c r="R39" s="228">
        <v>760.2</v>
      </c>
      <c r="S39" s="228">
        <v>-20.100000000000001</v>
      </c>
      <c r="T39" s="229">
        <v>-2.64E-2</v>
      </c>
      <c r="U39" s="228">
        <v>740.2</v>
      </c>
      <c r="V39" s="228">
        <v>758</v>
      </c>
      <c r="W39" s="228">
        <v>-17.8</v>
      </c>
      <c r="X39" s="229">
        <v>-2.35E-2</v>
      </c>
      <c r="Y39" s="228">
        <v>1.4</v>
      </c>
      <c r="Z39" s="228">
        <v>0.6</v>
      </c>
      <c r="AA39" s="228">
        <v>0.8</v>
      </c>
      <c r="AB39" s="229">
        <v>1.9E-3</v>
      </c>
      <c r="AC39" s="228">
        <v>1.4</v>
      </c>
      <c r="AD39" s="228">
        <v>0.6</v>
      </c>
      <c r="AE39" s="228">
        <v>0.8</v>
      </c>
      <c r="AF39" s="229">
        <v>1.9E-3</v>
      </c>
      <c r="AG39" s="228">
        <v>6.3</v>
      </c>
      <c r="AH39" s="228">
        <v>6.4</v>
      </c>
      <c r="AI39" s="228">
        <v>-0.1</v>
      </c>
      <c r="AJ39" s="229">
        <v>8.6E-3</v>
      </c>
      <c r="AK39" s="228">
        <v>6.4</v>
      </c>
      <c r="AL39" s="228">
        <v>4.2</v>
      </c>
      <c r="AM39" s="228">
        <v>2.2000000000000002</v>
      </c>
      <c r="AN39" s="229">
        <v>8.6999999999999994E-3</v>
      </c>
      <c r="AO39" s="228">
        <v>740.29</v>
      </c>
      <c r="AP39" s="228">
        <v>744.78</v>
      </c>
      <c r="AQ39" s="228">
        <v>0</v>
      </c>
      <c r="AR39" s="230">
        <v>2556750</v>
      </c>
      <c r="AS39" s="230">
        <v>1232250</v>
      </c>
      <c r="AT39" s="230">
        <v>1324500</v>
      </c>
      <c r="AU39" s="229">
        <v>1.0749</v>
      </c>
      <c r="AV39" s="230">
        <v>2242500</v>
      </c>
      <c r="AW39" s="230">
        <v>973500</v>
      </c>
      <c r="AX39" s="230">
        <v>1269000</v>
      </c>
      <c r="AY39" s="229">
        <v>1.3035000000000001</v>
      </c>
      <c r="AZ39" s="230">
        <v>296250</v>
      </c>
      <c r="BA39" s="230">
        <v>257250</v>
      </c>
      <c r="BB39" s="230">
        <v>39000</v>
      </c>
      <c r="BC39" s="229">
        <v>0.15160000000000001</v>
      </c>
      <c r="BD39" s="230">
        <v>18000</v>
      </c>
      <c r="BE39" s="230">
        <v>1500</v>
      </c>
      <c r="BF39" s="230">
        <v>16500</v>
      </c>
      <c r="BG39" s="229">
        <v>11</v>
      </c>
      <c r="BH39" s="230">
        <v>3035250</v>
      </c>
      <c r="BI39" s="230">
        <v>1896000</v>
      </c>
      <c r="BJ39" s="230">
        <v>1139250</v>
      </c>
      <c r="BK39" s="229">
        <v>0.60089999999999999</v>
      </c>
      <c r="BL39" s="230">
        <v>2862000</v>
      </c>
      <c r="BM39" s="230">
        <v>453000</v>
      </c>
      <c r="BN39" s="230">
        <v>2409000</v>
      </c>
      <c r="BO39" s="229">
        <v>5.3178999999999998</v>
      </c>
      <c r="BP39" s="230">
        <v>8454000</v>
      </c>
      <c r="BQ39" s="230">
        <v>3581250</v>
      </c>
      <c r="BR39" s="230">
        <v>4872750</v>
      </c>
      <c r="BS39" s="229">
        <v>1.3606</v>
      </c>
      <c r="BT39" s="230">
        <v>784421</v>
      </c>
      <c r="BU39" s="230">
        <v>590802</v>
      </c>
      <c r="BV39" s="230">
        <v>193619</v>
      </c>
      <c r="BW39" s="229">
        <v>0.32769999999999999</v>
      </c>
      <c r="BX39" s="230">
        <v>9324750</v>
      </c>
      <c r="BY39" s="230">
        <v>9387000</v>
      </c>
      <c r="BZ39" s="230">
        <v>-62250</v>
      </c>
      <c r="CA39" s="229">
        <v>-6.6E-3</v>
      </c>
      <c r="CB39" s="230">
        <v>8007750</v>
      </c>
      <c r="CC39" s="230">
        <v>8117250</v>
      </c>
      <c r="CD39" s="230">
        <v>-109500</v>
      </c>
      <c r="CE39" s="229">
        <v>-1.35E-2</v>
      </c>
      <c r="CF39" s="230">
        <v>1203000</v>
      </c>
      <c r="CG39" s="230">
        <v>1163250</v>
      </c>
      <c r="CH39" s="230">
        <v>39750</v>
      </c>
      <c r="CI39" s="229">
        <v>3.4200000000000001E-2</v>
      </c>
      <c r="CJ39" s="230">
        <v>114000</v>
      </c>
      <c r="CK39" s="230">
        <v>106500</v>
      </c>
      <c r="CL39" s="230">
        <v>7500</v>
      </c>
      <c r="CM39" s="229">
        <v>7.0400000000000004E-2</v>
      </c>
      <c r="CN39" s="230">
        <v>5910000</v>
      </c>
      <c r="CO39" s="230">
        <v>5682000</v>
      </c>
      <c r="CP39" s="230">
        <v>228000</v>
      </c>
      <c r="CQ39" s="229">
        <v>4.0099999999999997E-2</v>
      </c>
      <c r="CR39" s="230">
        <v>3863250</v>
      </c>
      <c r="CS39" s="230">
        <v>3474750</v>
      </c>
      <c r="CT39" s="230">
        <v>388500</v>
      </c>
      <c r="CU39" s="229">
        <v>0.1118</v>
      </c>
      <c r="CV39" s="230">
        <v>19098000</v>
      </c>
      <c r="CW39" s="230">
        <v>18543750</v>
      </c>
      <c r="CX39" s="230">
        <v>554250</v>
      </c>
      <c r="CY39" s="229">
        <v>2.9899999999999999E-2</v>
      </c>
      <c r="CZ39" s="228">
        <v>29.44</v>
      </c>
      <c r="DA39" s="228">
        <v>27.45</v>
      </c>
      <c r="DB39" s="228">
        <v>1.99</v>
      </c>
      <c r="DC39" s="228">
        <v>1.99</v>
      </c>
      <c r="DD39" s="228">
        <v>40.6</v>
      </c>
      <c r="DE39" s="228">
        <v>40.549999999999997</v>
      </c>
      <c r="DF39" s="228">
        <v>-11.16</v>
      </c>
      <c r="DG39" s="228">
        <v>0.05</v>
      </c>
      <c r="DH39" s="228">
        <v>29.9</v>
      </c>
      <c r="DI39" s="228">
        <v>27.44</v>
      </c>
      <c r="DJ39" s="228">
        <v>2.46</v>
      </c>
      <c r="DK39" s="228">
        <v>2.46</v>
      </c>
      <c r="DL39" s="228">
        <v>28.96</v>
      </c>
      <c r="DM39" s="228">
        <v>27.48</v>
      </c>
      <c r="DN39" s="228">
        <v>1.48</v>
      </c>
      <c r="DO39" s="228">
        <v>1.48</v>
      </c>
      <c r="DP39" s="228">
        <v>0.65</v>
      </c>
      <c r="DQ39" s="228">
        <v>0.61</v>
      </c>
      <c r="DR39" s="228">
        <v>0.04</v>
      </c>
      <c r="DS39" s="229">
        <v>6.5600000000000006E-2</v>
      </c>
      <c r="DT39" s="228">
        <v>800</v>
      </c>
      <c r="DU39" s="228">
        <v>750</v>
      </c>
      <c r="DV39" s="228">
        <v>0.94</v>
      </c>
      <c r="DW39" s="228">
        <v>0.24</v>
      </c>
      <c r="DX39" s="228">
        <v>0.7</v>
      </c>
      <c r="DY39" s="229">
        <v>2.9167000000000001</v>
      </c>
      <c r="DZ39" s="229">
        <v>0.14119999999999999</v>
      </c>
      <c r="EA39" s="230">
        <v>1269750</v>
      </c>
      <c r="EB39" s="229">
        <v>6.7000000000000002E-3</v>
      </c>
      <c r="EC39" s="229">
        <v>0.14119999999999999</v>
      </c>
      <c r="ED39" s="228">
        <v>4.49</v>
      </c>
      <c r="EE39" s="229">
        <v>6.1000000000000004E-3</v>
      </c>
      <c r="EF39" s="230">
        <v>336618</v>
      </c>
      <c r="EG39" s="230">
        <v>298818</v>
      </c>
      <c r="EH39" s="229">
        <v>0.1265</v>
      </c>
      <c r="EI39" s="229">
        <v>0.42909999999999998</v>
      </c>
      <c r="EJ39" s="231">
        <v>23768.61</v>
      </c>
      <c r="EK39" s="231">
        <v>21297.3</v>
      </c>
      <c r="EL39" s="231">
        <v>18941.86</v>
      </c>
      <c r="EM39" s="231">
        <v>1696</v>
      </c>
      <c r="EN39" s="231">
        <v>64007.77</v>
      </c>
      <c r="EO39" s="231">
        <v>27632.44</v>
      </c>
      <c r="EP39" s="231">
        <v>36375.33</v>
      </c>
      <c r="EQ39" s="229">
        <v>1.3164</v>
      </c>
      <c r="ER39" s="231">
        <v>47546</v>
      </c>
      <c r="ES39" s="231">
        <v>29057</v>
      </c>
      <c r="ET39" s="231">
        <v>68620</v>
      </c>
      <c r="EU39" s="231">
        <v>37106075</v>
      </c>
      <c r="EV39" s="231">
        <v>145224</v>
      </c>
      <c r="EW39" s="231">
        <v>142961</v>
      </c>
      <c r="EX39" s="231">
        <v>2263</v>
      </c>
      <c r="EY39" s="229">
        <v>1.5800000000000002E-2</v>
      </c>
      <c r="EZ39" s="229">
        <v>0.51470000000000005</v>
      </c>
      <c r="FA39" s="227" t="s">
        <v>568</v>
      </c>
      <c r="FB39" s="161">
        <f t="shared" si="0"/>
        <v>1317000</v>
      </c>
    </row>
    <row r="40" spans="1:158" ht="17.25" hidden="1" thickBot="1" x14ac:dyDescent="0.3">
      <c r="A40" s="226">
        <v>46008</v>
      </c>
      <c r="B40" s="227" t="s">
        <v>172</v>
      </c>
      <c r="C40" s="227" t="s">
        <v>196</v>
      </c>
      <c r="D40" s="228">
        <v>6750</v>
      </c>
      <c r="E40" s="228">
        <v>150.35</v>
      </c>
      <c r="F40" s="228">
        <v>147.43</v>
      </c>
      <c r="G40" s="228">
        <v>2.92</v>
      </c>
      <c r="H40" s="229">
        <v>1.9800000000000002E-2</v>
      </c>
      <c r="I40" s="228">
        <v>150.21</v>
      </c>
      <c r="J40" s="228">
        <v>147.16999999999999</v>
      </c>
      <c r="K40" s="228">
        <v>3.04</v>
      </c>
      <c r="L40" s="229">
        <v>2.07E-2</v>
      </c>
      <c r="M40" s="228">
        <v>150.35</v>
      </c>
      <c r="N40" s="228">
        <v>147.43</v>
      </c>
      <c r="O40" s="228">
        <v>2.92</v>
      </c>
      <c r="P40" s="229">
        <v>1.9800000000000002E-2</v>
      </c>
      <c r="Q40" s="228">
        <v>150.99</v>
      </c>
      <c r="R40" s="228">
        <v>147.99</v>
      </c>
      <c r="S40" s="228">
        <v>3</v>
      </c>
      <c r="T40" s="229">
        <v>2.0299999999999999E-2</v>
      </c>
      <c r="U40" s="228">
        <v>151.75</v>
      </c>
      <c r="V40" s="228">
        <v>148.9</v>
      </c>
      <c r="W40" s="228">
        <v>2.85</v>
      </c>
      <c r="X40" s="229">
        <v>1.9099999999999999E-2</v>
      </c>
      <c r="Y40" s="228">
        <v>0.14000000000000001</v>
      </c>
      <c r="Z40" s="228">
        <v>0.26</v>
      </c>
      <c r="AA40" s="228">
        <v>-0.12</v>
      </c>
      <c r="AB40" s="229">
        <v>8.9999999999999998E-4</v>
      </c>
      <c r="AC40" s="228">
        <v>0.14000000000000001</v>
      </c>
      <c r="AD40" s="228">
        <v>0.26</v>
      </c>
      <c r="AE40" s="228">
        <v>-0.12</v>
      </c>
      <c r="AF40" s="229">
        <v>8.9999999999999998E-4</v>
      </c>
      <c r="AG40" s="228">
        <v>0.78</v>
      </c>
      <c r="AH40" s="228">
        <v>0.82</v>
      </c>
      <c r="AI40" s="228">
        <v>-0.04</v>
      </c>
      <c r="AJ40" s="229">
        <v>5.1999999999999998E-3</v>
      </c>
      <c r="AK40" s="228">
        <v>1.54</v>
      </c>
      <c r="AL40" s="228">
        <v>1.73</v>
      </c>
      <c r="AM40" s="228">
        <v>-0.19</v>
      </c>
      <c r="AN40" s="229">
        <v>1.03E-2</v>
      </c>
      <c r="AO40" s="228">
        <v>149.97999999999999</v>
      </c>
      <c r="AP40" s="228">
        <v>150.62</v>
      </c>
      <c r="AQ40" s="228">
        <v>0</v>
      </c>
      <c r="AR40" s="230">
        <v>53905500</v>
      </c>
      <c r="AS40" s="230">
        <v>29322000</v>
      </c>
      <c r="AT40" s="230">
        <v>24583500</v>
      </c>
      <c r="AU40" s="229">
        <v>0.83840000000000003</v>
      </c>
      <c r="AV40" s="230">
        <v>43530750</v>
      </c>
      <c r="AW40" s="230">
        <v>22923000</v>
      </c>
      <c r="AX40" s="230">
        <v>20607750</v>
      </c>
      <c r="AY40" s="229">
        <v>0.89900000000000002</v>
      </c>
      <c r="AZ40" s="230">
        <v>9504000</v>
      </c>
      <c r="BA40" s="230">
        <v>6243750</v>
      </c>
      <c r="BB40" s="230">
        <v>3260250</v>
      </c>
      <c r="BC40" s="229">
        <v>0.5222</v>
      </c>
      <c r="BD40" s="230">
        <v>870750</v>
      </c>
      <c r="BE40" s="230">
        <v>155250</v>
      </c>
      <c r="BF40" s="230">
        <v>715500</v>
      </c>
      <c r="BG40" s="229">
        <v>4.6086999999999998</v>
      </c>
      <c r="BH40" s="230">
        <v>228831750</v>
      </c>
      <c r="BI40" s="230">
        <v>57658500</v>
      </c>
      <c r="BJ40" s="230">
        <v>171173250</v>
      </c>
      <c r="BK40" s="229">
        <v>2.9687000000000001</v>
      </c>
      <c r="BL40" s="230">
        <v>111793500</v>
      </c>
      <c r="BM40" s="230">
        <v>35403750</v>
      </c>
      <c r="BN40" s="230">
        <v>76389750</v>
      </c>
      <c r="BO40" s="229">
        <v>2.1577000000000002</v>
      </c>
      <c r="BP40" s="230">
        <v>394530750</v>
      </c>
      <c r="BQ40" s="230">
        <v>122384250</v>
      </c>
      <c r="BR40" s="230">
        <v>272146500</v>
      </c>
      <c r="BS40" s="229">
        <v>2.2237</v>
      </c>
      <c r="BT40" s="230">
        <v>28010672</v>
      </c>
      <c r="BU40" s="230">
        <v>15229006</v>
      </c>
      <c r="BV40" s="230">
        <v>12781666</v>
      </c>
      <c r="BW40" s="229">
        <v>0.83930000000000005</v>
      </c>
      <c r="BX40" s="230">
        <v>145266750</v>
      </c>
      <c r="BY40" s="230">
        <v>145989000</v>
      </c>
      <c r="BZ40" s="230">
        <v>-722250</v>
      </c>
      <c r="CA40" s="229">
        <v>-4.8999999999999998E-3</v>
      </c>
      <c r="CB40" s="230">
        <v>122377500</v>
      </c>
      <c r="CC40" s="230">
        <v>125010000</v>
      </c>
      <c r="CD40" s="230">
        <v>-2632500</v>
      </c>
      <c r="CE40" s="229">
        <v>-2.1100000000000001E-2</v>
      </c>
      <c r="CF40" s="230">
        <v>20385000</v>
      </c>
      <c r="CG40" s="230">
        <v>18265500</v>
      </c>
      <c r="CH40" s="230">
        <v>2119500</v>
      </c>
      <c r="CI40" s="229">
        <v>0.11600000000000001</v>
      </c>
      <c r="CJ40" s="230">
        <v>2504250</v>
      </c>
      <c r="CK40" s="230">
        <v>2713500</v>
      </c>
      <c r="CL40" s="230">
        <v>-209250</v>
      </c>
      <c r="CM40" s="229">
        <v>-7.7100000000000002E-2</v>
      </c>
      <c r="CN40" s="230">
        <v>110700000</v>
      </c>
      <c r="CO40" s="230">
        <v>114696000</v>
      </c>
      <c r="CP40" s="230">
        <v>-3996000</v>
      </c>
      <c r="CQ40" s="229">
        <v>-3.4799999999999998E-2</v>
      </c>
      <c r="CR40" s="230">
        <v>90834750</v>
      </c>
      <c r="CS40" s="230">
        <v>87068250</v>
      </c>
      <c r="CT40" s="230">
        <v>3766500</v>
      </c>
      <c r="CU40" s="229">
        <v>4.3299999999999998E-2</v>
      </c>
      <c r="CV40" s="230">
        <v>346801500</v>
      </c>
      <c r="CW40" s="230">
        <v>347753250</v>
      </c>
      <c r="CX40" s="230">
        <v>-951750</v>
      </c>
      <c r="CY40" s="229">
        <v>-2.7000000000000001E-3</v>
      </c>
      <c r="CZ40" s="228">
        <v>25.05</v>
      </c>
      <c r="DA40" s="228">
        <v>25.15</v>
      </c>
      <c r="DB40" s="228">
        <v>-0.1</v>
      </c>
      <c r="DC40" s="228">
        <v>-0.1</v>
      </c>
      <c r="DD40" s="228">
        <v>36.14</v>
      </c>
      <c r="DE40" s="228">
        <v>36.130000000000003</v>
      </c>
      <c r="DF40" s="228">
        <v>-11.09</v>
      </c>
      <c r="DG40" s="228">
        <v>0.01</v>
      </c>
      <c r="DH40" s="228">
        <v>24.78</v>
      </c>
      <c r="DI40" s="228">
        <v>25.31</v>
      </c>
      <c r="DJ40" s="228">
        <v>-0.53</v>
      </c>
      <c r="DK40" s="228">
        <v>-0.53</v>
      </c>
      <c r="DL40" s="228">
        <v>25.59</v>
      </c>
      <c r="DM40" s="228">
        <v>24.88</v>
      </c>
      <c r="DN40" s="228">
        <v>0.71</v>
      </c>
      <c r="DO40" s="228">
        <v>0.71</v>
      </c>
      <c r="DP40" s="228">
        <v>0.82</v>
      </c>
      <c r="DQ40" s="228">
        <v>0.76</v>
      </c>
      <c r="DR40" s="228">
        <v>0.06</v>
      </c>
      <c r="DS40" s="229">
        <v>7.8899999999999998E-2</v>
      </c>
      <c r="DT40" s="228">
        <v>150</v>
      </c>
      <c r="DU40" s="228">
        <v>150</v>
      </c>
      <c r="DV40" s="228">
        <v>0.49</v>
      </c>
      <c r="DW40" s="228">
        <v>0.61</v>
      </c>
      <c r="DX40" s="228">
        <v>-0.12</v>
      </c>
      <c r="DY40" s="229">
        <v>-0.19670000000000001</v>
      </c>
      <c r="DZ40" s="229">
        <v>0.15759999999999999</v>
      </c>
      <c r="EA40" s="230">
        <v>20979000</v>
      </c>
      <c r="EB40" s="229">
        <v>4.3E-3</v>
      </c>
      <c r="EC40" s="229">
        <v>0.15759999999999999</v>
      </c>
      <c r="ED40" s="228">
        <v>0.64</v>
      </c>
      <c r="EE40" s="229">
        <v>4.3E-3</v>
      </c>
      <c r="EF40" s="230">
        <v>12347371</v>
      </c>
      <c r="EG40" s="230">
        <v>8423929</v>
      </c>
      <c r="EH40" s="229">
        <v>0.4657</v>
      </c>
      <c r="EI40" s="229">
        <v>0.44080000000000003</v>
      </c>
      <c r="EJ40" s="231">
        <v>352858.63</v>
      </c>
      <c r="EK40" s="231">
        <v>165277.43</v>
      </c>
      <c r="EL40" s="231">
        <v>80919.09</v>
      </c>
      <c r="EM40" s="231">
        <v>5211</v>
      </c>
      <c r="EN40" s="231">
        <v>599055.15</v>
      </c>
      <c r="EO40" s="231">
        <v>182816.74</v>
      </c>
      <c r="EP40" s="231">
        <v>416238.41</v>
      </c>
      <c r="EQ40" s="229">
        <v>2.2768000000000002</v>
      </c>
      <c r="ER40" s="231">
        <v>169544</v>
      </c>
      <c r="ES40" s="231">
        <v>130305</v>
      </c>
      <c r="ET40" s="231">
        <v>218574</v>
      </c>
      <c r="EU40" s="231">
        <v>504315430</v>
      </c>
      <c r="EV40" s="231">
        <v>518424</v>
      </c>
      <c r="EW40" s="231">
        <v>514958</v>
      </c>
      <c r="EX40" s="231">
        <v>3466</v>
      </c>
      <c r="EY40" s="229">
        <v>6.7000000000000002E-3</v>
      </c>
      <c r="EZ40" s="229">
        <v>0.68769999999999998</v>
      </c>
      <c r="FA40" s="227" t="s">
        <v>556</v>
      </c>
      <c r="FB40" s="161">
        <f t="shared" si="0"/>
        <v>22889250</v>
      </c>
    </row>
    <row r="41" spans="1:158" ht="17.25" hidden="1" thickBot="1" x14ac:dyDescent="0.3">
      <c r="A41" s="226">
        <v>46008</v>
      </c>
      <c r="B41" s="227" t="s">
        <v>175</v>
      </c>
      <c r="C41" s="227" t="s">
        <v>597</v>
      </c>
      <c r="D41" s="228">
        <v>475</v>
      </c>
      <c r="E41" s="231">
        <v>1478.4</v>
      </c>
      <c r="F41" s="231">
        <v>1503.1</v>
      </c>
      <c r="G41" s="228">
        <v>-24.7</v>
      </c>
      <c r="H41" s="229">
        <v>-1.6400000000000001E-2</v>
      </c>
      <c r="I41" s="231">
        <v>1477.3</v>
      </c>
      <c r="J41" s="231">
        <v>1501.2</v>
      </c>
      <c r="K41" s="228">
        <v>-23.9</v>
      </c>
      <c r="L41" s="229">
        <v>-1.5900000000000001E-2</v>
      </c>
      <c r="M41" s="231">
        <v>1478.4</v>
      </c>
      <c r="N41" s="231">
        <v>1503.1</v>
      </c>
      <c r="O41" s="228">
        <v>-24.7</v>
      </c>
      <c r="P41" s="229">
        <v>-1.6400000000000001E-2</v>
      </c>
      <c r="Q41" s="231">
        <v>1485.8</v>
      </c>
      <c r="R41" s="231">
        <v>1510.4</v>
      </c>
      <c r="S41" s="228">
        <v>-24.6</v>
      </c>
      <c r="T41" s="229">
        <v>-1.6299999999999999E-2</v>
      </c>
      <c r="U41" s="231">
        <v>1493.5</v>
      </c>
      <c r="V41" s="231">
        <v>1519.2</v>
      </c>
      <c r="W41" s="228">
        <v>-25.7</v>
      </c>
      <c r="X41" s="229">
        <v>-1.6899999999999998E-2</v>
      </c>
      <c r="Y41" s="228">
        <v>1.1000000000000001</v>
      </c>
      <c r="Z41" s="228">
        <v>1.9</v>
      </c>
      <c r="AA41" s="228">
        <v>-0.8</v>
      </c>
      <c r="AB41" s="229">
        <v>6.9999999999999999E-4</v>
      </c>
      <c r="AC41" s="228">
        <v>1.1000000000000001</v>
      </c>
      <c r="AD41" s="228">
        <v>1.9</v>
      </c>
      <c r="AE41" s="228">
        <v>-0.8</v>
      </c>
      <c r="AF41" s="229">
        <v>6.9999999999999999E-4</v>
      </c>
      <c r="AG41" s="228">
        <v>8.5</v>
      </c>
      <c r="AH41" s="228">
        <v>9.1999999999999993</v>
      </c>
      <c r="AI41" s="228">
        <v>-0.7</v>
      </c>
      <c r="AJ41" s="229">
        <v>5.7999999999999996E-3</v>
      </c>
      <c r="AK41" s="228">
        <v>16.2</v>
      </c>
      <c r="AL41" s="228">
        <v>18</v>
      </c>
      <c r="AM41" s="228">
        <v>-1.8</v>
      </c>
      <c r="AN41" s="229">
        <v>1.0999999999999999E-2</v>
      </c>
      <c r="AO41" s="231">
        <v>1486.37</v>
      </c>
      <c r="AP41" s="231">
        <v>1497.72</v>
      </c>
      <c r="AQ41" s="228">
        <v>0</v>
      </c>
      <c r="AR41" s="230">
        <v>1986450</v>
      </c>
      <c r="AS41" s="230">
        <v>1175625</v>
      </c>
      <c r="AT41" s="230">
        <v>810825</v>
      </c>
      <c r="AU41" s="229">
        <v>0.68969999999999998</v>
      </c>
      <c r="AV41" s="230">
        <v>1453975</v>
      </c>
      <c r="AW41" s="230">
        <v>931950</v>
      </c>
      <c r="AX41" s="230">
        <v>522025</v>
      </c>
      <c r="AY41" s="229">
        <v>0.56010000000000004</v>
      </c>
      <c r="AZ41" s="230">
        <v>491150</v>
      </c>
      <c r="BA41" s="230">
        <v>211850</v>
      </c>
      <c r="BB41" s="230">
        <v>279300</v>
      </c>
      <c r="BC41" s="229">
        <v>1.3184</v>
      </c>
      <c r="BD41" s="230">
        <v>41325</v>
      </c>
      <c r="BE41" s="230">
        <v>31825</v>
      </c>
      <c r="BF41" s="230">
        <v>9500</v>
      </c>
      <c r="BG41" s="229">
        <v>0.29849999999999999</v>
      </c>
      <c r="BH41" s="230">
        <v>8439325</v>
      </c>
      <c r="BI41" s="230">
        <v>5399800</v>
      </c>
      <c r="BJ41" s="230">
        <v>3039525</v>
      </c>
      <c r="BK41" s="229">
        <v>0.56289999999999996</v>
      </c>
      <c r="BL41" s="230">
        <v>2925050</v>
      </c>
      <c r="BM41" s="230">
        <v>1737075</v>
      </c>
      <c r="BN41" s="230">
        <v>1187975</v>
      </c>
      <c r="BO41" s="229">
        <v>0.68389999999999995</v>
      </c>
      <c r="BP41" s="230">
        <v>13350825</v>
      </c>
      <c r="BQ41" s="230">
        <v>8312500</v>
      </c>
      <c r="BR41" s="230">
        <v>5038325</v>
      </c>
      <c r="BS41" s="229">
        <v>0.60609999999999997</v>
      </c>
      <c r="BT41" s="230">
        <v>1256442</v>
      </c>
      <c r="BU41" s="230">
        <v>798177</v>
      </c>
      <c r="BV41" s="230">
        <v>458265</v>
      </c>
      <c r="BW41" s="229">
        <v>0.57410000000000005</v>
      </c>
      <c r="BX41" s="230">
        <v>10077125</v>
      </c>
      <c r="BY41" s="230">
        <v>9756975</v>
      </c>
      <c r="BZ41" s="230">
        <v>320150</v>
      </c>
      <c r="CA41" s="229">
        <v>3.2800000000000003E-2</v>
      </c>
      <c r="CB41" s="230">
        <v>8790350</v>
      </c>
      <c r="CC41" s="230">
        <v>8635025</v>
      </c>
      <c r="CD41" s="230">
        <v>155325</v>
      </c>
      <c r="CE41" s="229">
        <v>1.7999999999999999E-2</v>
      </c>
      <c r="CF41" s="230">
        <v>1134300</v>
      </c>
      <c r="CG41" s="230">
        <v>991800</v>
      </c>
      <c r="CH41" s="230">
        <v>142500</v>
      </c>
      <c r="CI41" s="229">
        <v>0.14369999999999999</v>
      </c>
      <c r="CJ41" s="230">
        <v>152475</v>
      </c>
      <c r="CK41" s="230">
        <v>130150</v>
      </c>
      <c r="CL41" s="230">
        <v>22325</v>
      </c>
      <c r="CM41" s="229">
        <v>0.17150000000000001</v>
      </c>
      <c r="CN41" s="230">
        <v>11708275</v>
      </c>
      <c r="CO41" s="230">
        <v>10792475</v>
      </c>
      <c r="CP41" s="230">
        <v>915800</v>
      </c>
      <c r="CQ41" s="229">
        <v>8.4900000000000003E-2</v>
      </c>
      <c r="CR41" s="230">
        <v>5100550</v>
      </c>
      <c r="CS41" s="230">
        <v>4995575</v>
      </c>
      <c r="CT41" s="230">
        <v>104975</v>
      </c>
      <c r="CU41" s="229">
        <v>2.1000000000000001E-2</v>
      </c>
      <c r="CV41" s="230">
        <v>26885950</v>
      </c>
      <c r="CW41" s="230">
        <v>25545025</v>
      </c>
      <c r="CX41" s="230">
        <v>1340925</v>
      </c>
      <c r="CY41" s="229">
        <v>5.2499999999999998E-2</v>
      </c>
      <c r="CZ41" s="228">
        <v>29.96</v>
      </c>
      <c r="DA41" s="228">
        <v>29.09</v>
      </c>
      <c r="DB41" s="228">
        <v>0.87</v>
      </c>
      <c r="DC41" s="228">
        <v>0.87</v>
      </c>
      <c r="DD41" s="228">
        <v>45.05</v>
      </c>
      <c r="DE41" s="228">
        <v>45.11</v>
      </c>
      <c r="DF41" s="228">
        <v>-15.09</v>
      </c>
      <c r="DG41" s="228">
        <v>-0.06</v>
      </c>
      <c r="DH41" s="228">
        <v>31.1</v>
      </c>
      <c r="DI41" s="228">
        <v>29.8</v>
      </c>
      <c r="DJ41" s="228">
        <v>1.3</v>
      </c>
      <c r="DK41" s="228">
        <v>1.3</v>
      </c>
      <c r="DL41" s="228">
        <v>26.68</v>
      </c>
      <c r="DM41" s="228">
        <v>26.91</v>
      </c>
      <c r="DN41" s="228">
        <v>-0.23</v>
      </c>
      <c r="DO41" s="228">
        <v>-0.23</v>
      </c>
      <c r="DP41" s="228">
        <v>0.44</v>
      </c>
      <c r="DQ41" s="228">
        <v>0.46</v>
      </c>
      <c r="DR41" s="228">
        <v>-0.02</v>
      </c>
      <c r="DS41" s="229">
        <v>-4.3499999999999997E-2</v>
      </c>
      <c r="DT41" s="231">
        <v>1600</v>
      </c>
      <c r="DU41" s="231">
        <v>1500</v>
      </c>
      <c r="DV41" s="228">
        <v>0.35</v>
      </c>
      <c r="DW41" s="228">
        <v>0.32</v>
      </c>
      <c r="DX41" s="228">
        <v>0.03</v>
      </c>
      <c r="DY41" s="229">
        <v>9.3700000000000006E-2</v>
      </c>
      <c r="DZ41" s="229">
        <v>0.12770000000000001</v>
      </c>
      <c r="EA41" s="230">
        <v>1121950</v>
      </c>
      <c r="EB41" s="229">
        <v>5.0000000000000001E-3</v>
      </c>
      <c r="EC41" s="229">
        <v>0.12770000000000001</v>
      </c>
      <c r="ED41" s="228">
        <v>11.35</v>
      </c>
      <c r="EE41" s="229">
        <v>7.6E-3</v>
      </c>
      <c r="EF41" s="230">
        <v>517636</v>
      </c>
      <c r="EG41" s="230">
        <v>237076</v>
      </c>
      <c r="EH41" s="229">
        <v>1.1834</v>
      </c>
      <c r="EI41" s="229">
        <v>0.41199999999999998</v>
      </c>
      <c r="EJ41" s="231">
        <v>134197.94</v>
      </c>
      <c r="EK41" s="231">
        <v>43713.93</v>
      </c>
      <c r="EL41" s="231">
        <v>29587.96</v>
      </c>
      <c r="EM41" s="231">
        <v>3070</v>
      </c>
      <c r="EN41" s="231">
        <v>207499.83</v>
      </c>
      <c r="EO41" s="231">
        <v>130398.12</v>
      </c>
      <c r="EP41" s="231">
        <v>77101.710000000006</v>
      </c>
      <c r="EQ41" s="229">
        <v>0.59130000000000005</v>
      </c>
      <c r="ER41" s="231">
        <v>191379</v>
      </c>
      <c r="ES41" s="231">
        <v>77693</v>
      </c>
      <c r="ET41" s="231">
        <v>149087</v>
      </c>
      <c r="EU41" s="231">
        <v>26647500</v>
      </c>
      <c r="EV41" s="231">
        <v>418159</v>
      </c>
      <c r="EW41" s="231">
        <v>400383</v>
      </c>
      <c r="EX41" s="231">
        <v>17776</v>
      </c>
      <c r="EY41" s="229">
        <v>4.4400000000000002E-2</v>
      </c>
      <c r="EZ41" s="229">
        <v>1.0088999999999999</v>
      </c>
      <c r="FA41" s="227" t="s">
        <v>567</v>
      </c>
      <c r="FB41" s="161">
        <f t="shared" si="0"/>
        <v>1286775</v>
      </c>
    </row>
    <row r="42" spans="1:158" ht="17.25" hidden="1" thickBot="1" x14ac:dyDescent="0.3">
      <c r="A42" s="226">
        <v>46008</v>
      </c>
      <c r="B42" s="227" t="s">
        <v>161</v>
      </c>
      <c r="C42" s="227" t="s">
        <v>612</v>
      </c>
      <c r="D42" s="228">
        <v>850</v>
      </c>
      <c r="E42" s="228">
        <v>670.7</v>
      </c>
      <c r="F42" s="228">
        <v>674.2</v>
      </c>
      <c r="G42" s="228">
        <v>-3.5</v>
      </c>
      <c r="H42" s="229">
        <v>-5.1999999999999998E-3</v>
      </c>
      <c r="I42" s="228">
        <v>670.4</v>
      </c>
      <c r="J42" s="228">
        <v>673.05</v>
      </c>
      <c r="K42" s="228">
        <v>-2.65</v>
      </c>
      <c r="L42" s="229">
        <v>-3.8999999999999998E-3</v>
      </c>
      <c r="M42" s="228">
        <v>670.7</v>
      </c>
      <c r="N42" s="228">
        <v>674.2</v>
      </c>
      <c r="O42" s="228">
        <v>-3.5</v>
      </c>
      <c r="P42" s="229">
        <v>-5.1999999999999998E-3</v>
      </c>
      <c r="Q42" s="228">
        <v>674.35</v>
      </c>
      <c r="R42" s="228">
        <v>677.95</v>
      </c>
      <c r="S42" s="228">
        <v>-3.6</v>
      </c>
      <c r="T42" s="229">
        <v>-5.3E-3</v>
      </c>
      <c r="U42" s="228">
        <v>676.65</v>
      </c>
      <c r="V42" s="228">
        <v>680.65</v>
      </c>
      <c r="W42" s="228">
        <v>-4</v>
      </c>
      <c r="X42" s="229">
        <v>-5.8999999999999999E-3</v>
      </c>
      <c r="Y42" s="228">
        <v>0.3</v>
      </c>
      <c r="Z42" s="228">
        <v>1.1499999999999999</v>
      </c>
      <c r="AA42" s="228">
        <v>-0.85</v>
      </c>
      <c r="AB42" s="229">
        <v>4.0000000000000002E-4</v>
      </c>
      <c r="AC42" s="228">
        <v>0.3</v>
      </c>
      <c r="AD42" s="228">
        <v>1.1499999999999999</v>
      </c>
      <c r="AE42" s="228">
        <v>-0.85</v>
      </c>
      <c r="AF42" s="229">
        <v>4.0000000000000002E-4</v>
      </c>
      <c r="AG42" s="228">
        <v>3.95</v>
      </c>
      <c r="AH42" s="228">
        <v>4.9000000000000004</v>
      </c>
      <c r="AI42" s="228">
        <v>-0.95</v>
      </c>
      <c r="AJ42" s="229">
        <v>5.8999999999999999E-3</v>
      </c>
      <c r="AK42" s="228">
        <v>6.25</v>
      </c>
      <c r="AL42" s="228">
        <v>7.6</v>
      </c>
      <c r="AM42" s="228">
        <v>-1.35</v>
      </c>
      <c r="AN42" s="229">
        <v>9.2999999999999992E-3</v>
      </c>
      <c r="AO42" s="228">
        <v>681.89</v>
      </c>
      <c r="AP42" s="228">
        <v>685.58</v>
      </c>
      <c r="AQ42" s="228">
        <v>0</v>
      </c>
      <c r="AR42" s="230">
        <v>5528400</v>
      </c>
      <c r="AS42" s="230">
        <v>2351100</v>
      </c>
      <c r="AT42" s="230">
        <v>3177300</v>
      </c>
      <c r="AU42" s="229">
        <v>1.3513999999999999</v>
      </c>
      <c r="AV42" s="230">
        <v>4828000</v>
      </c>
      <c r="AW42" s="230">
        <v>1841950</v>
      </c>
      <c r="AX42" s="230">
        <v>2986050</v>
      </c>
      <c r="AY42" s="229">
        <v>1.6211</v>
      </c>
      <c r="AZ42" s="230">
        <v>664700</v>
      </c>
      <c r="BA42" s="230">
        <v>496400</v>
      </c>
      <c r="BB42" s="230">
        <v>168300</v>
      </c>
      <c r="BC42" s="229">
        <v>0.33900000000000002</v>
      </c>
      <c r="BD42" s="230">
        <v>35700</v>
      </c>
      <c r="BE42" s="230">
        <v>12750</v>
      </c>
      <c r="BF42" s="230">
        <v>22950</v>
      </c>
      <c r="BG42" s="229">
        <v>1.8</v>
      </c>
      <c r="BH42" s="230">
        <v>36110550</v>
      </c>
      <c r="BI42" s="230">
        <v>3829250</v>
      </c>
      <c r="BJ42" s="230">
        <v>32281300</v>
      </c>
      <c r="BK42" s="229">
        <v>8.4301999999999992</v>
      </c>
      <c r="BL42" s="230">
        <v>7853150</v>
      </c>
      <c r="BM42" s="230">
        <v>1126250</v>
      </c>
      <c r="BN42" s="230">
        <v>6726900</v>
      </c>
      <c r="BO42" s="229">
        <v>5.9728000000000003</v>
      </c>
      <c r="BP42" s="230">
        <v>49492100</v>
      </c>
      <c r="BQ42" s="230">
        <v>7306600</v>
      </c>
      <c r="BR42" s="230">
        <v>42185500</v>
      </c>
      <c r="BS42" s="229">
        <v>5.7736000000000001</v>
      </c>
      <c r="BT42" s="230">
        <v>3716577</v>
      </c>
      <c r="BU42" s="230">
        <v>1196153</v>
      </c>
      <c r="BV42" s="230">
        <v>2520424</v>
      </c>
      <c r="BW42" s="229">
        <v>2.1071</v>
      </c>
      <c r="BX42" s="230">
        <v>14777250</v>
      </c>
      <c r="BY42" s="230">
        <v>14899650</v>
      </c>
      <c r="BZ42" s="230">
        <v>-122400</v>
      </c>
      <c r="CA42" s="229">
        <v>-8.2000000000000007E-3</v>
      </c>
      <c r="CB42" s="230">
        <v>13623800</v>
      </c>
      <c r="CC42" s="230">
        <v>13856700</v>
      </c>
      <c r="CD42" s="230">
        <v>-232900</v>
      </c>
      <c r="CE42" s="229">
        <v>-1.6799999999999999E-2</v>
      </c>
      <c r="CF42" s="230">
        <v>1061650</v>
      </c>
      <c r="CG42" s="230">
        <v>959650</v>
      </c>
      <c r="CH42" s="230">
        <v>102000</v>
      </c>
      <c r="CI42" s="229">
        <v>0.10630000000000001</v>
      </c>
      <c r="CJ42" s="230">
        <v>91800</v>
      </c>
      <c r="CK42" s="230">
        <v>83300</v>
      </c>
      <c r="CL42" s="230">
        <v>8500</v>
      </c>
      <c r="CM42" s="229">
        <v>0.10199999999999999</v>
      </c>
      <c r="CN42" s="230">
        <v>9639000</v>
      </c>
      <c r="CO42" s="230">
        <v>7881200</v>
      </c>
      <c r="CP42" s="230">
        <v>1757800</v>
      </c>
      <c r="CQ42" s="229">
        <v>0.223</v>
      </c>
      <c r="CR42" s="230">
        <v>4280600</v>
      </c>
      <c r="CS42" s="230">
        <v>4128450</v>
      </c>
      <c r="CT42" s="230">
        <v>152150</v>
      </c>
      <c r="CU42" s="229">
        <v>3.6900000000000002E-2</v>
      </c>
      <c r="CV42" s="230">
        <v>28696850</v>
      </c>
      <c r="CW42" s="230">
        <v>26909300</v>
      </c>
      <c r="CX42" s="230">
        <v>1787550</v>
      </c>
      <c r="CY42" s="229">
        <v>6.6400000000000001E-2</v>
      </c>
      <c r="CZ42" s="228">
        <v>27.94</v>
      </c>
      <c r="DA42" s="228">
        <v>25.53</v>
      </c>
      <c r="DB42" s="228">
        <v>2.41</v>
      </c>
      <c r="DC42" s="228">
        <v>2.41</v>
      </c>
      <c r="DD42" s="228">
        <v>39.25</v>
      </c>
      <c r="DE42" s="228">
        <v>39.340000000000003</v>
      </c>
      <c r="DF42" s="228">
        <v>-11.31</v>
      </c>
      <c r="DG42" s="228">
        <v>-0.09</v>
      </c>
      <c r="DH42" s="228">
        <v>28.27</v>
      </c>
      <c r="DI42" s="228">
        <v>25.51</v>
      </c>
      <c r="DJ42" s="228">
        <v>2.76</v>
      </c>
      <c r="DK42" s="228">
        <v>2.76</v>
      </c>
      <c r="DL42" s="228">
        <v>26.44</v>
      </c>
      <c r="DM42" s="228">
        <v>25.6</v>
      </c>
      <c r="DN42" s="228">
        <v>0.84</v>
      </c>
      <c r="DO42" s="228">
        <v>0.84</v>
      </c>
      <c r="DP42" s="228">
        <v>0.44</v>
      </c>
      <c r="DQ42" s="228">
        <v>0.52</v>
      </c>
      <c r="DR42" s="228">
        <v>-0.08</v>
      </c>
      <c r="DS42" s="229">
        <v>-0.15379999999999999</v>
      </c>
      <c r="DT42" s="228">
        <v>680</v>
      </c>
      <c r="DU42" s="228">
        <v>690</v>
      </c>
      <c r="DV42" s="228">
        <v>0.22</v>
      </c>
      <c r="DW42" s="228">
        <v>0.28999999999999998</v>
      </c>
      <c r="DX42" s="228">
        <v>-7.0000000000000007E-2</v>
      </c>
      <c r="DY42" s="229">
        <v>-0.2414</v>
      </c>
      <c r="DZ42" s="229">
        <v>7.8100000000000003E-2</v>
      </c>
      <c r="EA42" s="230">
        <v>1042950</v>
      </c>
      <c r="EB42" s="229">
        <v>5.4000000000000003E-3</v>
      </c>
      <c r="EC42" s="229">
        <v>7.8100000000000003E-2</v>
      </c>
      <c r="ED42" s="228">
        <v>3.69</v>
      </c>
      <c r="EE42" s="229">
        <v>5.4000000000000003E-3</v>
      </c>
      <c r="EF42" s="230">
        <v>1090111</v>
      </c>
      <c r="EG42" s="230">
        <v>680097</v>
      </c>
      <c r="EH42" s="229">
        <v>0.60289999999999999</v>
      </c>
      <c r="EI42" s="229">
        <v>0.29330000000000001</v>
      </c>
      <c r="EJ42" s="231">
        <v>255744.14</v>
      </c>
      <c r="EK42" s="231">
        <v>53121.35</v>
      </c>
      <c r="EL42" s="231">
        <v>37724.050000000003</v>
      </c>
      <c r="EM42" s="231">
        <v>2543</v>
      </c>
      <c r="EN42" s="231">
        <v>346589.54</v>
      </c>
      <c r="EO42" s="231">
        <v>50028.73</v>
      </c>
      <c r="EP42" s="231">
        <v>296560.81</v>
      </c>
      <c r="EQ42" s="229">
        <v>5.9278000000000004</v>
      </c>
      <c r="ER42" s="231">
        <v>68392</v>
      </c>
      <c r="ES42" s="231">
        <v>28833</v>
      </c>
      <c r="ET42" s="231">
        <v>99155</v>
      </c>
      <c r="EU42" s="231">
        <v>100245792</v>
      </c>
      <c r="EV42" s="231">
        <v>196381</v>
      </c>
      <c r="EW42" s="231">
        <v>184483</v>
      </c>
      <c r="EX42" s="231">
        <v>11898</v>
      </c>
      <c r="EY42" s="229">
        <v>6.4500000000000002E-2</v>
      </c>
      <c r="EZ42" s="229">
        <v>0.2863</v>
      </c>
      <c r="FA42" s="227" t="s">
        <v>568</v>
      </c>
      <c r="FB42" s="161">
        <f t="shared" si="0"/>
        <v>1153450</v>
      </c>
    </row>
    <row r="43" spans="1:158" ht="17.25" hidden="1" thickBot="1" x14ac:dyDescent="0.3">
      <c r="A43" s="226">
        <v>46008</v>
      </c>
      <c r="B43" s="227" t="s">
        <v>175</v>
      </c>
      <c r="C43" s="227" t="s">
        <v>198</v>
      </c>
      <c r="D43" s="228">
        <v>625</v>
      </c>
      <c r="E43" s="231">
        <v>1679.2</v>
      </c>
      <c r="F43" s="231">
        <v>1718</v>
      </c>
      <c r="G43" s="228">
        <v>-38.799999999999997</v>
      </c>
      <c r="H43" s="229">
        <v>-2.2599999999999999E-2</v>
      </c>
      <c r="I43" s="231">
        <v>1673.5</v>
      </c>
      <c r="J43" s="231">
        <v>1715.4</v>
      </c>
      <c r="K43" s="228">
        <v>-41.9</v>
      </c>
      <c r="L43" s="229">
        <v>-2.4400000000000002E-2</v>
      </c>
      <c r="M43" s="231">
        <v>1679.2</v>
      </c>
      <c r="N43" s="231">
        <v>1718</v>
      </c>
      <c r="O43" s="228">
        <v>-38.799999999999997</v>
      </c>
      <c r="P43" s="229">
        <v>-2.2599999999999999E-2</v>
      </c>
      <c r="Q43" s="231">
        <v>1684.8</v>
      </c>
      <c r="R43" s="231">
        <v>1723</v>
      </c>
      <c r="S43" s="228">
        <v>-38.200000000000003</v>
      </c>
      <c r="T43" s="229">
        <v>-2.2200000000000001E-2</v>
      </c>
      <c r="U43" s="231">
        <v>1681.8</v>
      </c>
      <c r="V43" s="231">
        <v>1718.5</v>
      </c>
      <c r="W43" s="228">
        <v>-36.700000000000003</v>
      </c>
      <c r="X43" s="229">
        <v>-2.1399999999999999E-2</v>
      </c>
      <c r="Y43" s="228">
        <v>5.7</v>
      </c>
      <c r="Z43" s="228">
        <v>2.6</v>
      </c>
      <c r="AA43" s="228">
        <v>3.1</v>
      </c>
      <c r="AB43" s="229">
        <v>3.3999999999999998E-3</v>
      </c>
      <c r="AC43" s="228">
        <v>5.7</v>
      </c>
      <c r="AD43" s="228">
        <v>2.6</v>
      </c>
      <c r="AE43" s="228">
        <v>3.1</v>
      </c>
      <c r="AF43" s="229">
        <v>3.3999999999999998E-3</v>
      </c>
      <c r="AG43" s="228">
        <v>11.3</v>
      </c>
      <c r="AH43" s="228">
        <v>7.6</v>
      </c>
      <c r="AI43" s="228">
        <v>3.7</v>
      </c>
      <c r="AJ43" s="229">
        <v>6.7999999999999996E-3</v>
      </c>
      <c r="AK43" s="228">
        <v>8.3000000000000007</v>
      </c>
      <c r="AL43" s="228">
        <v>3.1</v>
      </c>
      <c r="AM43" s="228">
        <v>5.2</v>
      </c>
      <c r="AN43" s="229">
        <v>5.0000000000000001E-3</v>
      </c>
      <c r="AO43" s="231">
        <v>1692.21</v>
      </c>
      <c r="AP43" s="231">
        <v>1700.89</v>
      </c>
      <c r="AQ43" s="228">
        <v>0</v>
      </c>
      <c r="AR43" s="230">
        <v>3037500</v>
      </c>
      <c r="AS43" s="230">
        <v>1291875</v>
      </c>
      <c r="AT43" s="230">
        <v>1745625</v>
      </c>
      <c r="AU43" s="229">
        <v>1.3512</v>
      </c>
      <c r="AV43" s="230">
        <v>2638125</v>
      </c>
      <c r="AW43" s="230">
        <v>1100000</v>
      </c>
      <c r="AX43" s="230">
        <v>1538125</v>
      </c>
      <c r="AY43" s="229">
        <v>1.3983000000000001</v>
      </c>
      <c r="AZ43" s="230">
        <v>392500</v>
      </c>
      <c r="BA43" s="230">
        <v>185625</v>
      </c>
      <c r="BB43" s="230">
        <v>206875</v>
      </c>
      <c r="BC43" s="229">
        <v>1.1145</v>
      </c>
      <c r="BD43" s="230">
        <v>6875</v>
      </c>
      <c r="BE43" s="230">
        <v>6250</v>
      </c>
      <c r="BF43" s="228">
        <v>625</v>
      </c>
      <c r="BG43" s="229">
        <v>0.1</v>
      </c>
      <c r="BH43" s="230">
        <v>13011250</v>
      </c>
      <c r="BI43" s="230">
        <v>3397500</v>
      </c>
      <c r="BJ43" s="230">
        <v>9613750</v>
      </c>
      <c r="BK43" s="229">
        <v>2.8296999999999999</v>
      </c>
      <c r="BL43" s="230">
        <v>8265625</v>
      </c>
      <c r="BM43" s="230">
        <v>1261875</v>
      </c>
      <c r="BN43" s="230">
        <v>7003750</v>
      </c>
      <c r="BO43" s="229">
        <v>5.5503</v>
      </c>
      <c r="BP43" s="230">
        <v>24314375</v>
      </c>
      <c r="BQ43" s="230">
        <v>5951250</v>
      </c>
      <c r="BR43" s="230">
        <v>18363125</v>
      </c>
      <c r="BS43" s="229">
        <v>3.0855999999999999</v>
      </c>
      <c r="BT43" s="230">
        <v>1402017</v>
      </c>
      <c r="BU43" s="230">
        <v>516982</v>
      </c>
      <c r="BV43" s="230">
        <v>885035</v>
      </c>
      <c r="BW43" s="229">
        <v>1.7119</v>
      </c>
      <c r="BX43" s="230">
        <v>14370625</v>
      </c>
      <c r="BY43" s="230">
        <v>14148125</v>
      </c>
      <c r="BZ43" s="230">
        <v>222500</v>
      </c>
      <c r="CA43" s="229">
        <v>1.5699999999999999E-2</v>
      </c>
      <c r="CB43" s="230">
        <v>13539375</v>
      </c>
      <c r="CC43" s="230">
        <v>13496875</v>
      </c>
      <c r="CD43" s="230">
        <v>42500</v>
      </c>
      <c r="CE43" s="229">
        <v>3.0999999999999999E-3</v>
      </c>
      <c r="CF43" s="230">
        <v>796250</v>
      </c>
      <c r="CG43" s="230">
        <v>618750</v>
      </c>
      <c r="CH43" s="230">
        <v>177500</v>
      </c>
      <c r="CI43" s="229">
        <v>0.28689999999999999</v>
      </c>
      <c r="CJ43" s="230">
        <v>35000</v>
      </c>
      <c r="CK43" s="230">
        <v>32500</v>
      </c>
      <c r="CL43" s="230">
        <v>2500</v>
      </c>
      <c r="CM43" s="229">
        <v>7.6899999999999996E-2</v>
      </c>
      <c r="CN43" s="230">
        <v>5844375</v>
      </c>
      <c r="CO43" s="230">
        <v>3648750</v>
      </c>
      <c r="CP43" s="230">
        <v>2195625</v>
      </c>
      <c r="CQ43" s="229">
        <v>0.60170000000000001</v>
      </c>
      <c r="CR43" s="230">
        <v>4307500</v>
      </c>
      <c r="CS43" s="230">
        <v>2355625</v>
      </c>
      <c r="CT43" s="230">
        <v>1951875</v>
      </c>
      <c r="CU43" s="229">
        <v>0.8286</v>
      </c>
      <c r="CV43" s="230">
        <v>24522500</v>
      </c>
      <c r="CW43" s="230">
        <v>20152500</v>
      </c>
      <c r="CX43" s="230">
        <v>4370000</v>
      </c>
      <c r="CY43" s="229">
        <v>0.21679999999999999</v>
      </c>
      <c r="CZ43" s="228">
        <v>25.71</v>
      </c>
      <c r="DA43" s="228">
        <v>24.3</v>
      </c>
      <c r="DB43" s="228">
        <v>1.41</v>
      </c>
      <c r="DC43" s="228">
        <v>1.41</v>
      </c>
      <c r="DD43" s="228">
        <v>36.979999999999997</v>
      </c>
      <c r="DE43" s="228">
        <v>36.92</v>
      </c>
      <c r="DF43" s="228">
        <v>-11.27</v>
      </c>
      <c r="DG43" s="228">
        <v>0.06</v>
      </c>
      <c r="DH43" s="228">
        <v>25.51</v>
      </c>
      <c r="DI43" s="228">
        <v>24.34</v>
      </c>
      <c r="DJ43" s="228">
        <v>1.17</v>
      </c>
      <c r="DK43" s="228">
        <v>1.17</v>
      </c>
      <c r="DL43" s="228">
        <v>26.04</v>
      </c>
      <c r="DM43" s="228">
        <v>24.2</v>
      </c>
      <c r="DN43" s="228">
        <v>1.84</v>
      </c>
      <c r="DO43" s="228">
        <v>1.84</v>
      </c>
      <c r="DP43" s="228">
        <v>0.74</v>
      </c>
      <c r="DQ43" s="228">
        <v>0.65</v>
      </c>
      <c r="DR43" s="228">
        <v>0.09</v>
      </c>
      <c r="DS43" s="229">
        <v>0.13850000000000001</v>
      </c>
      <c r="DT43" s="231">
        <v>1740</v>
      </c>
      <c r="DU43" s="231">
        <v>1700</v>
      </c>
      <c r="DV43" s="228">
        <v>0.64</v>
      </c>
      <c r="DW43" s="228">
        <v>0.37</v>
      </c>
      <c r="DX43" s="228">
        <v>0.27</v>
      </c>
      <c r="DY43" s="229">
        <v>0.72970000000000002</v>
      </c>
      <c r="DZ43" s="229">
        <v>5.7799999999999997E-2</v>
      </c>
      <c r="EA43" s="230">
        <v>651250</v>
      </c>
      <c r="EB43" s="229">
        <v>3.3E-3</v>
      </c>
      <c r="EC43" s="229">
        <v>5.7799999999999997E-2</v>
      </c>
      <c r="ED43" s="228">
        <v>8.68</v>
      </c>
      <c r="EE43" s="229">
        <v>5.1000000000000004E-3</v>
      </c>
      <c r="EF43" s="230">
        <v>858693</v>
      </c>
      <c r="EG43" s="230">
        <v>313154</v>
      </c>
      <c r="EH43" s="229">
        <v>1.7421</v>
      </c>
      <c r="EI43" s="229">
        <v>0.61250000000000004</v>
      </c>
      <c r="EJ43" s="231">
        <v>228792.6</v>
      </c>
      <c r="EK43" s="231">
        <v>139759.79</v>
      </c>
      <c r="EL43" s="231">
        <v>51435.28</v>
      </c>
      <c r="EM43" s="231">
        <v>3675</v>
      </c>
      <c r="EN43" s="231">
        <v>419987.67</v>
      </c>
      <c r="EO43" s="231">
        <v>104307.22</v>
      </c>
      <c r="EP43" s="231">
        <v>315680.45</v>
      </c>
      <c r="EQ43" s="229">
        <v>3.0264000000000002</v>
      </c>
      <c r="ER43" s="231">
        <v>102883</v>
      </c>
      <c r="ES43" s="231">
        <v>71463</v>
      </c>
      <c r="ET43" s="231">
        <v>241357</v>
      </c>
      <c r="EU43" s="231">
        <v>63212268</v>
      </c>
      <c r="EV43" s="231">
        <v>415703</v>
      </c>
      <c r="EW43" s="231">
        <v>346881</v>
      </c>
      <c r="EX43" s="231">
        <v>68822</v>
      </c>
      <c r="EY43" s="229">
        <v>0.19839999999999999</v>
      </c>
      <c r="EZ43" s="229">
        <v>0.38790000000000002</v>
      </c>
      <c r="FA43" s="227" t="s">
        <v>567</v>
      </c>
      <c r="FB43" s="161">
        <f t="shared" si="0"/>
        <v>831250</v>
      </c>
    </row>
    <row r="44" spans="1:158" ht="17.25" hidden="1" thickBot="1" x14ac:dyDescent="0.3">
      <c r="A44" s="226">
        <v>46008</v>
      </c>
      <c r="B44" s="227" t="s">
        <v>170</v>
      </c>
      <c r="C44" s="227" t="s">
        <v>199</v>
      </c>
      <c r="D44" s="228">
        <v>375</v>
      </c>
      <c r="E44" s="231">
        <v>1498.5</v>
      </c>
      <c r="F44" s="231">
        <v>1502.3</v>
      </c>
      <c r="G44" s="228">
        <v>-3.8</v>
      </c>
      <c r="H44" s="229">
        <v>-2.5000000000000001E-3</v>
      </c>
      <c r="I44" s="231">
        <v>1496.9</v>
      </c>
      <c r="J44" s="231">
        <v>1499.6</v>
      </c>
      <c r="K44" s="228">
        <v>-2.7</v>
      </c>
      <c r="L44" s="229">
        <v>-1.8E-3</v>
      </c>
      <c r="M44" s="231">
        <v>1498.5</v>
      </c>
      <c r="N44" s="231">
        <v>1502.3</v>
      </c>
      <c r="O44" s="228">
        <v>-3.8</v>
      </c>
      <c r="P44" s="229">
        <v>-2.5000000000000001E-3</v>
      </c>
      <c r="Q44" s="231">
        <v>1508.8</v>
      </c>
      <c r="R44" s="231">
        <v>1511.4</v>
      </c>
      <c r="S44" s="228">
        <v>-2.6</v>
      </c>
      <c r="T44" s="229">
        <v>-1.6999999999999999E-3</v>
      </c>
      <c r="U44" s="231">
        <v>1517</v>
      </c>
      <c r="V44" s="231">
        <v>1521</v>
      </c>
      <c r="W44" s="228">
        <v>-4</v>
      </c>
      <c r="X44" s="229">
        <v>-2.5999999999999999E-3</v>
      </c>
      <c r="Y44" s="228">
        <v>1.6</v>
      </c>
      <c r="Z44" s="228">
        <v>2.7</v>
      </c>
      <c r="AA44" s="228">
        <v>-1.1000000000000001</v>
      </c>
      <c r="AB44" s="229">
        <v>1.1000000000000001E-3</v>
      </c>
      <c r="AC44" s="228">
        <v>1.6</v>
      </c>
      <c r="AD44" s="228">
        <v>2.7</v>
      </c>
      <c r="AE44" s="228">
        <v>-1.1000000000000001</v>
      </c>
      <c r="AF44" s="229">
        <v>1.1000000000000001E-3</v>
      </c>
      <c r="AG44" s="228">
        <v>11.9</v>
      </c>
      <c r="AH44" s="228">
        <v>11.8</v>
      </c>
      <c r="AI44" s="228">
        <v>0.1</v>
      </c>
      <c r="AJ44" s="229">
        <v>7.9000000000000008E-3</v>
      </c>
      <c r="AK44" s="228">
        <v>20.100000000000001</v>
      </c>
      <c r="AL44" s="228">
        <v>21.4</v>
      </c>
      <c r="AM44" s="228">
        <v>-1.3</v>
      </c>
      <c r="AN44" s="229">
        <v>1.34E-2</v>
      </c>
      <c r="AO44" s="231">
        <v>1496.39</v>
      </c>
      <c r="AP44" s="231">
        <v>1504.91</v>
      </c>
      <c r="AQ44" s="228">
        <v>0</v>
      </c>
      <c r="AR44" s="230">
        <v>1416750</v>
      </c>
      <c r="AS44" s="230">
        <v>1147875</v>
      </c>
      <c r="AT44" s="230">
        <v>268875</v>
      </c>
      <c r="AU44" s="229">
        <v>0.23419999999999999</v>
      </c>
      <c r="AV44" s="230">
        <v>1004625</v>
      </c>
      <c r="AW44" s="230">
        <v>857250</v>
      </c>
      <c r="AX44" s="230">
        <v>147375</v>
      </c>
      <c r="AY44" s="229">
        <v>0.1719</v>
      </c>
      <c r="AZ44" s="230">
        <v>404250</v>
      </c>
      <c r="BA44" s="230">
        <v>284625</v>
      </c>
      <c r="BB44" s="230">
        <v>119625</v>
      </c>
      <c r="BC44" s="229">
        <v>0.42030000000000001</v>
      </c>
      <c r="BD44" s="230">
        <v>7875</v>
      </c>
      <c r="BE44" s="230">
        <v>6000</v>
      </c>
      <c r="BF44" s="230">
        <v>1875</v>
      </c>
      <c r="BG44" s="229">
        <v>0.3125</v>
      </c>
      <c r="BH44" s="230">
        <v>3576000</v>
      </c>
      <c r="BI44" s="230">
        <v>3206250</v>
      </c>
      <c r="BJ44" s="230">
        <v>369750</v>
      </c>
      <c r="BK44" s="229">
        <v>0.1153</v>
      </c>
      <c r="BL44" s="230">
        <v>1348125</v>
      </c>
      <c r="BM44" s="230">
        <v>1241625</v>
      </c>
      <c r="BN44" s="230">
        <v>106500</v>
      </c>
      <c r="BO44" s="229">
        <v>8.5800000000000001E-2</v>
      </c>
      <c r="BP44" s="230">
        <v>6340875</v>
      </c>
      <c r="BQ44" s="230">
        <v>5595750</v>
      </c>
      <c r="BR44" s="230">
        <v>745125</v>
      </c>
      <c r="BS44" s="229">
        <v>0.13320000000000001</v>
      </c>
      <c r="BT44" s="230">
        <v>1014318</v>
      </c>
      <c r="BU44" s="230">
        <v>803061</v>
      </c>
      <c r="BV44" s="230">
        <v>211257</v>
      </c>
      <c r="BW44" s="229">
        <v>0.2631</v>
      </c>
      <c r="BX44" s="230">
        <v>13770000</v>
      </c>
      <c r="BY44" s="230">
        <v>13463250</v>
      </c>
      <c r="BZ44" s="230">
        <v>306750</v>
      </c>
      <c r="CA44" s="229">
        <v>2.2800000000000001E-2</v>
      </c>
      <c r="CB44" s="230">
        <v>12388125</v>
      </c>
      <c r="CC44" s="230">
        <v>12440625</v>
      </c>
      <c r="CD44" s="230">
        <v>-52500</v>
      </c>
      <c r="CE44" s="229">
        <v>-4.1999999999999997E-3</v>
      </c>
      <c r="CF44" s="230">
        <v>1317000</v>
      </c>
      <c r="CG44" s="230">
        <v>962250</v>
      </c>
      <c r="CH44" s="230">
        <v>354750</v>
      </c>
      <c r="CI44" s="229">
        <v>0.36870000000000003</v>
      </c>
      <c r="CJ44" s="230">
        <v>64875</v>
      </c>
      <c r="CK44" s="230">
        <v>60375</v>
      </c>
      <c r="CL44" s="230">
        <v>4500</v>
      </c>
      <c r="CM44" s="229">
        <v>7.4499999999999997E-2</v>
      </c>
      <c r="CN44" s="230">
        <v>6142875</v>
      </c>
      <c r="CO44" s="230">
        <v>5998125</v>
      </c>
      <c r="CP44" s="230">
        <v>144750</v>
      </c>
      <c r="CQ44" s="229">
        <v>2.41E-2</v>
      </c>
      <c r="CR44" s="230">
        <v>3974625</v>
      </c>
      <c r="CS44" s="230">
        <v>3991125</v>
      </c>
      <c r="CT44" s="230">
        <v>-16500</v>
      </c>
      <c r="CU44" s="229">
        <v>-4.1000000000000003E-3</v>
      </c>
      <c r="CV44" s="230">
        <v>23887500</v>
      </c>
      <c r="CW44" s="230">
        <v>23452500</v>
      </c>
      <c r="CX44" s="230">
        <v>435000</v>
      </c>
      <c r="CY44" s="229">
        <v>1.8499999999999999E-2</v>
      </c>
      <c r="CZ44" s="228">
        <v>15.48</v>
      </c>
      <c r="DA44" s="228">
        <v>15.74</v>
      </c>
      <c r="DB44" s="228">
        <v>-0.26</v>
      </c>
      <c r="DC44" s="228">
        <v>-0.26</v>
      </c>
      <c r="DD44" s="228">
        <v>25.68</v>
      </c>
      <c r="DE44" s="228">
        <v>25.74</v>
      </c>
      <c r="DF44" s="228">
        <v>-10.199999999999999</v>
      </c>
      <c r="DG44" s="228">
        <v>-0.06</v>
      </c>
      <c r="DH44" s="228">
        <v>15.67</v>
      </c>
      <c r="DI44" s="228">
        <v>15.92</v>
      </c>
      <c r="DJ44" s="228">
        <v>-0.25</v>
      </c>
      <c r="DK44" s="228">
        <v>-0.25</v>
      </c>
      <c r="DL44" s="228">
        <v>14.99</v>
      </c>
      <c r="DM44" s="228">
        <v>15.27</v>
      </c>
      <c r="DN44" s="228">
        <v>-0.28000000000000003</v>
      </c>
      <c r="DO44" s="228">
        <v>-0.28000000000000003</v>
      </c>
      <c r="DP44" s="228">
        <v>0.65</v>
      </c>
      <c r="DQ44" s="228">
        <v>0.67</v>
      </c>
      <c r="DR44" s="228">
        <v>-0.02</v>
      </c>
      <c r="DS44" s="229">
        <v>-2.9899999999999999E-2</v>
      </c>
      <c r="DT44" s="231">
        <v>1660</v>
      </c>
      <c r="DU44" s="231">
        <v>1400</v>
      </c>
      <c r="DV44" s="228">
        <v>0.38</v>
      </c>
      <c r="DW44" s="228">
        <v>0.39</v>
      </c>
      <c r="DX44" s="228">
        <v>-0.01</v>
      </c>
      <c r="DY44" s="229">
        <v>-2.5600000000000001E-2</v>
      </c>
      <c r="DZ44" s="229">
        <v>0.1004</v>
      </c>
      <c r="EA44" s="230">
        <v>1022625</v>
      </c>
      <c r="EB44" s="229">
        <v>6.8999999999999999E-3</v>
      </c>
      <c r="EC44" s="229">
        <v>0.1004</v>
      </c>
      <c r="ED44" s="228">
        <v>8.52</v>
      </c>
      <c r="EE44" s="229">
        <v>5.7000000000000002E-3</v>
      </c>
      <c r="EF44" s="230">
        <v>592763</v>
      </c>
      <c r="EG44" s="230">
        <v>522424</v>
      </c>
      <c r="EH44" s="229">
        <v>0.1346</v>
      </c>
      <c r="EI44" s="229">
        <v>0.58440000000000003</v>
      </c>
      <c r="EJ44" s="231">
        <v>54960.02</v>
      </c>
      <c r="EK44" s="231">
        <v>20232.349999999999</v>
      </c>
      <c r="EL44" s="231">
        <v>21235.95</v>
      </c>
      <c r="EM44" s="231">
        <v>2869</v>
      </c>
      <c r="EN44" s="231">
        <v>96428.32</v>
      </c>
      <c r="EO44" s="231">
        <v>85386.08</v>
      </c>
      <c r="EP44" s="231">
        <v>11042.24</v>
      </c>
      <c r="EQ44" s="229">
        <v>0.1293</v>
      </c>
      <c r="ER44" s="231">
        <v>97068</v>
      </c>
      <c r="ES44" s="231">
        <v>58179</v>
      </c>
      <c r="ET44" s="231">
        <v>206491</v>
      </c>
      <c r="EU44" s="231">
        <v>57073940</v>
      </c>
      <c r="EV44" s="231">
        <v>361739</v>
      </c>
      <c r="EW44" s="231">
        <v>355683</v>
      </c>
      <c r="EX44" s="231">
        <v>6056</v>
      </c>
      <c r="EY44" s="229">
        <v>1.7000000000000001E-2</v>
      </c>
      <c r="EZ44" s="229">
        <v>0.41849999999999998</v>
      </c>
      <c r="FA44" s="227" t="s">
        <v>567</v>
      </c>
      <c r="FB44" s="161">
        <f t="shared" si="0"/>
        <v>1381875</v>
      </c>
    </row>
    <row r="45" spans="1:158" ht="17.25" hidden="1" thickBot="1" x14ac:dyDescent="0.3">
      <c r="A45" s="226">
        <v>46008</v>
      </c>
      <c r="B45" s="227" t="s">
        <v>227</v>
      </c>
      <c r="C45" s="227" t="s">
        <v>200</v>
      </c>
      <c r="D45" s="228">
        <v>1350</v>
      </c>
      <c r="E45" s="228">
        <v>385.85</v>
      </c>
      <c r="F45" s="228">
        <v>382.25</v>
      </c>
      <c r="G45" s="228">
        <v>3.6</v>
      </c>
      <c r="H45" s="229">
        <v>9.4000000000000004E-3</v>
      </c>
      <c r="I45" s="228">
        <v>384.75</v>
      </c>
      <c r="J45" s="228">
        <v>381.6</v>
      </c>
      <c r="K45" s="228">
        <v>3.15</v>
      </c>
      <c r="L45" s="229">
        <v>8.3000000000000001E-3</v>
      </c>
      <c r="M45" s="228">
        <v>385.85</v>
      </c>
      <c r="N45" s="228">
        <v>382.25</v>
      </c>
      <c r="O45" s="228">
        <v>3.6</v>
      </c>
      <c r="P45" s="229">
        <v>9.4000000000000004E-3</v>
      </c>
      <c r="Q45" s="228">
        <v>388</v>
      </c>
      <c r="R45" s="228">
        <v>384.4</v>
      </c>
      <c r="S45" s="228">
        <v>3.6</v>
      </c>
      <c r="T45" s="229">
        <v>9.4000000000000004E-3</v>
      </c>
      <c r="U45" s="228">
        <v>386.3</v>
      </c>
      <c r="V45" s="228">
        <v>382.75</v>
      </c>
      <c r="W45" s="228">
        <v>3.55</v>
      </c>
      <c r="X45" s="229">
        <v>9.2999999999999992E-3</v>
      </c>
      <c r="Y45" s="228">
        <v>1.1000000000000001</v>
      </c>
      <c r="Z45" s="228">
        <v>0.65</v>
      </c>
      <c r="AA45" s="228">
        <v>0.45</v>
      </c>
      <c r="AB45" s="229">
        <v>2.8999999999999998E-3</v>
      </c>
      <c r="AC45" s="228">
        <v>1.1000000000000001</v>
      </c>
      <c r="AD45" s="228">
        <v>0.65</v>
      </c>
      <c r="AE45" s="228">
        <v>0.45</v>
      </c>
      <c r="AF45" s="229">
        <v>2.8999999999999998E-3</v>
      </c>
      <c r="AG45" s="228">
        <v>3.25</v>
      </c>
      <c r="AH45" s="228">
        <v>2.8</v>
      </c>
      <c r="AI45" s="228">
        <v>0.45</v>
      </c>
      <c r="AJ45" s="229">
        <v>8.3999999999999995E-3</v>
      </c>
      <c r="AK45" s="228">
        <v>1.55</v>
      </c>
      <c r="AL45" s="228">
        <v>1.1499999999999999</v>
      </c>
      <c r="AM45" s="228">
        <v>0.4</v>
      </c>
      <c r="AN45" s="229">
        <v>4.0000000000000001E-3</v>
      </c>
      <c r="AO45" s="228">
        <v>384.68</v>
      </c>
      <c r="AP45" s="228">
        <v>386.83</v>
      </c>
      <c r="AQ45" s="228">
        <v>0</v>
      </c>
      <c r="AR45" s="230">
        <v>4444200</v>
      </c>
      <c r="AS45" s="230">
        <v>5209650</v>
      </c>
      <c r="AT45" s="230">
        <v>-765450</v>
      </c>
      <c r="AU45" s="229">
        <v>-0.1469</v>
      </c>
      <c r="AV45" s="230">
        <v>3531600</v>
      </c>
      <c r="AW45" s="230">
        <v>4326750</v>
      </c>
      <c r="AX45" s="230">
        <v>-795150</v>
      </c>
      <c r="AY45" s="229">
        <v>-0.18379999999999999</v>
      </c>
      <c r="AZ45" s="230">
        <v>866700</v>
      </c>
      <c r="BA45" s="230">
        <v>760050</v>
      </c>
      <c r="BB45" s="230">
        <v>106650</v>
      </c>
      <c r="BC45" s="229">
        <v>0.14030000000000001</v>
      </c>
      <c r="BD45" s="230">
        <v>45900</v>
      </c>
      <c r="BE45" s="230">
        <v>122850</v>
      </c>
      <c r="BF45" s="230">
        <v>-76950</v>
      </c>
      <c r="BG45" s="229">
        <v>-0.62639999999999996</v>
      </c>
      <c r="BH45" s="230">
        <v>11956950</v>
      </c>
      <c r="BI45" s="230">
        <v>11465550</v>
      </c>
      <c r="BJ45" s="230">
        <v>491400</v>
      </c>
      <c r="BK45" s="229">
        <v>4.2900000000000001E-2</v>
      </c>
      <c r="BL45" s="230">
        <v>6883650</v>
      </c>
      <c r="BM45" s="230">
        <v>7911000</v>
      </c>
      <c r="BN45" s="230">
        <v>-1027350</v>
      </c>
      <c r="BO45" s="229">
        <v>-0.12989999999999999</v>
      </c>
      <c r="BP45" s="230">
        <v>23284800</v>
      </c>
      <c r="BQ45" s="230">
        <v>24586200</v>
      </c>
      <c r="BR45" s="230">
        <v>-1301400</v>
      </c>
      <c r="BS45" s="229">
        <v>-5.2900000000000003E-2</v>
      </c>
      <c r="BT45" s="230">
        <v>4163488</v>
      </c>
      <c r="BU45" s="230">
        <v>5924730</v>
      </c>
      <c r="BV45" s="230">
        <v>-1761242</v>
      </c>
      <c r="BW45" s="229">
        <v>-0.29730000000000001</v>
      </c>
      <c r="BX45" s="230">
        <v>55823850</v>
      </c>
      <c r="BY45" s="230">
        <v>56284200</v>
      </c>
      <c r="BZ45" s="230">
        <v>-460350</v>
      </c>
      <c r="CA45" s="229">
        <v>-8.2000000000000007E-3</v>
      </c>
      <c r="CB45" s="230">
        <v>48726900</v>
      </c>
      <c r="CC45" s="230">
        <v>49565250</v>
      </c>
      <c r="CD45" s="230">
        <v>-838350</v>
      </c>
      <c r="CE45" s="229">
        <v>-1.6899999999999998E-2</v>
      </c>
      <c r="CF45" s="230">
        <v>6578550</v>
      </c>
      <c r="CG45" s="230">
        <v>6191100</v>
      </c>
      <c r="CH45" s="230">
        <v>387450</v>
      </c>
      <c r="CI45" s="229">
        <v>6.2600000000000003E-2</v>
      </c>
      <c r="CJ45" s="230">
        <v>518400</v>
      </c>
      <c r="CK45" s="230">
        <v>527850</v>
      </c>
      <c r="CL45" s="230">
        <v>-9450</v>
      </c>
      <c r="CM45" s="229">
        <v>-1.7899999999999999E-2</v>
      </c>
      <c r="CN45" s="230">
        <v>19695150</v>
      </c>
      <c r="CO45" s="230">
        <v>18987750</v>
      </c>
      <c r="CP45" s="230">
        <v>707400</v>
      </c>
      <c r="CQ45" s="229">
        <v>3.73E-2</v>
      </c>
      <c r="CR45" s="230">
        <v>18767700</v>
      </c>
      <c r="CS45" s="230">
        <v>18165600</v>
      </c>
      <c r="CT45" s="230">
        <v>602100</v>
      </c>
      <c r="CU45" s="229">
        <v>3.3099999999999997E-2</v>
      </c>
      <c r="CV45" s="230">
        <v>94286700</v>
      </c>
      <c r="CW45" s="230">
        <v>93437550</v>
      </c>
      <c r="CX45" s="230">
        <v>849150</v>
      </c>
      <c r="CY45" s="229">
        <v>9.1000000000000004E-3</v>
      </c>
      <c r="CZ45" s="228">
        <v>13.7</v>
      </c>
      <c r="DA45" s="228">
        <v>14.11</v>
      </c>
      <c r="DB45" s="228">
        <v>-0.41</v>
      </c>
      <c r="DC45" s="228">
        <v>-0.41</v>
      </c>
      <c r="DD45" s="228">
        <v>26.85</v>
      </c>
      <c r="DE45" s="228">
        <v>26.89</v>
      </c>
      <c r="DF45" s="228">
        <v>-13.15</v>
      </c>
      <c r="DG45" s="228">
        <v>-0.04</v>
      </c>
      <c r="DH45" s="228">
        <v>13.31</v>
      </c>
      <c r="DI45" s="228">
        <v>13.9</v>
      </c>
      <c r="DJ45" s="228">
        <v>-0.59</v>
      </c>
      <c r="DK45" s="228">
        <v>-0.59</v>
      </c>
      <c r="DL45" s="228">
        <v>14.39</v>
      </c>
      <c r="DM45" s="228">
        <v>14.42</v>
      </c>
      <c r="DN45" s="228">
        <v>-0.03</v>
      </c>
      <c r="DO45" s="228">
        <v>-0.03</v>
      </c>
      <c r="DP45" s="228">
        <v>0.95</v>
      </c>
      <c r="DQ45" s="228">
        <v>0.96</v>
      </c>
      <c r="DR45" s="228">
        <v>-0.01</v>
      </c>
      <c r="DS45" s="229">
        <v>-1.04E-2</v>
      </c>
      <c r="DT45" s="228">
        <v>380</v>
      </c>
      <c r="DU45" s="228">
        <v>440</v>
      </c>
      <c r="DV45" s="228">
        <v>0.57999999999999996</v>
      </c>
      <c r="DW45" s="228">
        <v>0.69</v>
      </c>
      <c r="DX45" s="228">
        <v>-0.11</v>
      </c>
      <c r="DY45" s="229">
        <v>-0.15939999999999999</v>
      </c>
      <c r="DZ45" s="229">
        <v>0.12709999999999999</v>
      </c>
      <c r="EA45" s="230">
        <v>6718950</v>
      </c>
      <c r="EB45" s="229">
        <v>5.5999999999999999E-3</v>
      </c>
      <c r="EC45" s="229">
        <v>0.12709999999999999</v>
      </c>
      <c r="ED45" s="228">
        <v>2.15</v>
      </c>
      <c r="EE45" s="229">
        <v>5.5999999999999999E-3</v>
      </c>
      <c r="EF45" s="230">
        <v>2435788</v>
      </c>
      <c r="EG45" s="230">
        <v>3326084</v>
      </c>
      <c r="EH45" s="229">
        <v>-0.26769999999999999</v>
      </c>
      <c r="EI45" s="229">
        <v>0.58499999999999996</v>
      </c>
      <c r="EJ45" s="231">
        <v>46802.07</v>
      </c>
      <c r="EK45" s="231">
        <v>26298.63</v>
      </c>
      <c r="EL45" s="231">
        <v>17114.8</v>
      </c>
      <c r="EM45" s="231">
        <v>4809</v>
      </c>
      <c r="EN45" s="231">
        <v>90215.5</v>
      </c>
      <c r="EO45" s="231">
        <v>94822.49</v>
      </c>
      <c r="EP45" s="231">
        <v>-4606.99</v>
      </c>
      <c r="EQ45" s="229">
        <v>-4.8599999999999997E-2</v>
      </c>
      <c r="ER45" s="231">
        <v>77163</v>
      </c>
      <c r="ES45" s="231">
        <v>71429</v>
      </c>
      <c r="ET45" s="231">
        <v>215540</v>
      </c>
      <c r="EU45" s="231">
        <v>227199238</v>
      </c>
      <c r="EV45" s="231">
        <v>364132</v>
      </c>
      <c r="EW45" s="231">
        <v>358767</v>
      </c>
      <c r="EX45" s="231">
        <v>5365</v>
      </c>
      <c r="EY45" s="229">
        <v>1.4999999999999999E-2</v>
      </c>
      <c r="EZ45" s="229">
        <v>0.41499999999999998</v>
      </c>
      <c r="FA45" s="227" t="s">
        <v>556</v>
      </c>
      <c r="FB45" s="161">
        <f t="shared" si="0"/>
        <v>7096950</v>
      </c>
    </row>
    <row r="46" spans="1:158" ht="17.25" hidden="1" thickBot="1" x14ac:dyDescent="0.3">
      <c r="A46" s="226">
        <v>46008</v>
      </c>
      <c r="B46" s="227" t="s">
        <v>221</v>
      </c>
      <c r="C46" s="227" t="s">
        <v>470</v>
      </c>
      <c r="D46" s="228">
        <v>375</v>
      </c>
      <c r="E46" s="231">
        <v>1851.5</v>
      </c>
      <c r="F46" s="231">
        <v>1869</v>
      </c>
      <c r="G46" s="228">
        <v>-17.5</v>
      </c>
      <c r="H46" s="229">
        <v>-9.4000000000000004E-3</v>
      </c>
      <c r="I46" s="231">
        <v>1844.7</v>
      </c>
      <c r="J46" s="231">
        <v>1866.8</v>
      </c>
      <c r="K46" s="228">
        <v>-22.1</v>
      </c>
      <c r="L46" s="229">
        <v>-1.18E-2</v>
      </c>
      <c r="M46" s="231">
        <v>1851.5</v>
      </c>
      <c r="N46" s="231">
        <v>1869</v>
      </c>
      <c r="O46" s="228">
        <v>-17.5</v>
      </c>
      <c r="P46" s="229">
        <v>-9.4000000000000004E-3</v>
      </c>
      <c r="Q46" s="231">
        <v>1858.2</v>
      </c>
      <c r="R46" s="231">
        <v>1873.8</v>
      </c>
      <c r="S46" s="228">
        <v>-15.6</v>
      </c>
      <c r="T46" s="229">
        <v>-8.3000000000000001E-3</v>
      </c>
      <c r="U46" s="231">
        <v>1858.6</v>
      </c>
      <c r="V46" s="231">
        <v>1875.6</v>
      </c>
      <c r="W46" s="228">
        <v>-17</v>
      </c>
      <c r="X46" s="229">
        <v>-9.1000000000000004E-3</v>
      </c>
      <c r="Y46" s="228">
        <v>6.8</v>
      </c>
      <c r="Z46" s="228">
        <v>2.2000000000000002</v>
      </c>
      <c r="AA46" s="228">
        <v>4.5999999999999996</v>
      </c>
      <c r="AB46" s="229">
        <v>3.7000000000000002E-3</v>
      </c>
      <c r="AC46" s="228">
        <v>6.8</v>
      </c>
      <c r="AD46" s="228">
        <v>2.2000000000000002</v>
      </c>
      <c r="AE46" s="228">
        <v>4.5999999999999996</v>
      </c>
      <c r="AF46" s="229">
        <v>3.7000000000000002E-3</v>
      </c>
      <c r="AG46" s="228">
        <v>13.5</v>
      </c>
      <c r="AH46" s="228">
        <v>7</v>
      </c>
      <c r="AI46" s="228">
        <v>6.5</v>
      </c>
      <c r="AJ46" s="229">
        <v>7.3000000000000001E-3</v>
      </c>
      <c r="AK46" s="228">
        <v>13.9</v>
      </c>
      <c r="AL46" s="228">
        <v>8.8000000000000007</v>
      </c>
      <c r="AM46" s="228">
        <v>5.0999999999999996</v>
      </c>
      <c r="AN46" s="229">
        <v>7.4999999999999997E-3</v>
      </c>
      <c r="AO46" s="231">
        <v>1870.84</v>
      </c>
      <c r="AP46" s="231">
        <v>1878.86</v>
      </c>
      <c r="AQ46" s="228">
        <v>0</v>
      </c>
      <c r="AR46" s="230">
        <v>2319750</v>
      </c>
      <c r="AS46" s="230">
        <v>1959000</v>
      </c>
      <c r="AT46" s="230">
        <v>360750</v>
      </c>
      <c r="AU46" s="229">
        <v>0.1842</v>
      </c>
      <c r="AV46" s="230">
        <v>2038875</v>
      </c>
      <c r="AW46" s="230">
        <v>1788750</v>
      </c>
      <c r="AX46" s="230">
        <v>250125</v>
      </c>
      <c r="AY46" s="229">
        <v>0.13980000000000001</v>
      </c>
      <c r="AZ46" s="230">
        <v>250500</v>
      </c>
      <c r="BA46" s="230">
        <v>149250</v>
      </c>
      <c r="BB46" s="230">
        <v>101250</v>
      </c>
      <c r="BC46" s="229">
        <v>0.6784</v>
      </c>
      <c r="BD46" s="230">
        <v>30375</v>
      </c>
      <c r="BE46" s="230">
        <v>21000</v>
      </c>
      <c r="BF46" s="230">
        <v>9375</v>
      </c>
      <c r="BG46" s="229">
        <v>0.44640000000000002</v>
      </c>
      <c r="BH46" s="230">
        <v>9087000</v>
      </c>
      <c r="BI46" s="230">
        <v>7138875</v>
      </c>
      <c r="BJ46" s="230">
        <v>1948125</v>
      </c>
      <c r="BK46" s="229">
        <v>0.27289999999999998</v>
      </c>
      <c r="BL46" s="230">
        <v>3701625</v>
      </c>
      <c r="BM46" s="230">
        <v>2395125</v>
      </c>
      <c r="BN46" s="230">
        <v>1306500</v>
      </c>
      <c r="BO46" s="229">
        <v>0.54549999999999998</v>
      </c>
      <c r="BP46" s="230">
        <v>15108375</v>
      </c>
      <c r="BQ46" s="230">
        <v>11493000</v>
      </c>
      <c r="BR46" s="230">
        <v>3615375</v>
      </c>
      <c r="BS46" s="229">
        <v>0.31459999999999999</v>
      </c>
      <c r="BT46" s="230">
        <v>751652</v>
      </c>
      <c r="BU46" s="230">
        <v>845214</v>
      </c>
      <c r="BV46" s="230">
        <v>-93562</v>
      </c>
      <c r="BW46" s="229">
        <v>-0.11070000000000001</v>
      </c>
      <c r="BX46" s="230">
        <v>12476250</v>
      </c>
      <c r="BY46" s="230">
        <v>12149625</v>
      </c>
      <c r="BZ46" s="230">
        <v>326625</v>
      </c>
      <c r="CA46" s="229">
        <v>2.69E-2</v>
      </c>
      <c r="CB46" s="230">
        <v>11776125</v>
      </c>
      <c r="CC46" s="230">
        <v>11545500</v>
      </c>
      <c r="CD46" s="230">
        <v>230625</v>
      </c>
      <c r="CE46" s="229">
        <v>0.02</v>
      </c>
      <c r="CF46" s="230">
        <v>634875</v>
      </c>
      <c r="CG46" s="230">
        <v>543750</v>
      </c>
      <c r="CH46" s="230">
        <v>91125</v>
      </c>
      <c r="CI46" s="229">
        <v>0.1676</v>
      </c>
      <c r="CJ46" s="230">
        <v>65250</v>
      </c>
      <c r="CK46" s="230">
        <v>60375</v>
      </c>
      <c r="CL46" s="230">
        <v>4875</v>
      </c>
      <c r="CM46" s="229">
        <v>8.0699999999999994E-2</v>
      </c>
      <c r="CN46" s="230">
        <v>7752375</v>
      </c>
      <c r="CO46" s="230">
        <v>7854000</v>
      </c>
      <c r="CP46" s="230">
        <v>-101625</v>
      </c>
      <c r="CQ46" s="229">
        <v>-1.29E-2</v>
      </c>
      <c r="CR46" s="230">
        <v>3547500</v>
      </c>
      <c r="CS46" s="230">
        <v>3489375</v>
      </c>
      <c r="CT46" s="230">
        <v>58125</v>
      </c>
      <c r="CU46" s="229">
        <v>1.67E-2</v>
      </c>
      <c r="CV46" s="230">
        <v>23776125</v>
      </c>
      <c r="CW46" s="230">
        <v>23493000</v>
      </c>
      <c r="CX46" s="230">
        <v>283125</v>
      </c>
      <c r="CY46" s="229">
        <v>1.21E-2</v>
      </c>
      <c r="CZ46" s="228">
        <v>27.9</v>
      </c>
      <c r="DA46" s="228">
        <v>27.02</v>
      </c>
      <c r="DB46" s="228">
        <v>0.88</v>
      </c>
      <c r="DC46" s="228">
        <v>0.88</v>
      </c>
      <c r="DD46" s="228">
        <v>41.11</v>
      </c>
      <c r="DE46" s="228">
        <v>41.19</v>
      </c>
      <c r="DF46" s="228">
        <v>-13.21</v>
      </c>
      <c r="DG46" s="228">
        <v>-0.08</v>
      </c>
      <c r="DH46" s="228">
        <v>28.21</v>
      </c>
      <c r="DI46" s="228">
        <v>27.02</v>
      </c>
      <c r="DJ46" s="228">
        <v>1.19</v>
      </c>
      <c r="DK46" s="228">
        <v>1.19</v>
      </c>
      <c r="DL46" s="228">
        <v>27.16</v>
      </c>
      <c r="DM46" s="228">
        <v>27.04</v>
      </c>
      <c r="DN46" s="228">
        <v>0.12</v>
      </c>
      <c r="DO46" s="228">
        <v>0.12</v>
      </c>
      <c r="DP46" s="228">
        <v>0.46</v>
      </c>
      <c r="DQ46" s="228">
        <v>0.44</v>
      </c>
      <c r="DR46" s="228">
        <v>0.02</v>
      </c>
      <c r="DS46" s="229">
        <v>4.5499999999999999E-2</v>
      </c>
      <c r="DT46" s="231">
        <v>2000</v>
      </c>
      <c r="DU46" s="231">
        <v>1900</v>
      </c>
      <c r="DV46" s="228">
        <v>0.41</v>
      </c>
      <c r="DW46" s="228">
        <v>0.34</v>
      </c>
      <c r="DX46" s="228">
        <v>7.0000000000000007E-2</v>
      </c>
      <c r="DY46" s="229">
        <v>0.2059</v>
      </c>
      <c r="DZ46" s="229">
        <v>5.6099999999999997E-2</v>
      </c>
      <c r="EA46" s="230">
        <v>604125</v>
      </c>
      <c r="EB46" s="229">
        <v>3.5999999999999999E-3</v>
      </c>
      <c r="EC46" s="229">
        <v>5.6099999999999997E-2</v>
      </c>
      <c r="ED46" s="228">
        <v>8.02</v>
      </c>
      <c r="EE46" s="229">
        <v>4.3E-3</v>
      </c>
      <c r="EF46" s="230">
        <v>288420</v>
      </c>
      <c r="EG46" s="230">
        <v>439200</v>
      </c>
      <c r="EH46" s="229">
        <v>-0.34329999999999999</v>
      </c>
      <c r="EI46" s="229">
        <v>0.38369999999999999</v>
      </c>
      <c r="EJ46" s="231">
        <v>176772.71</v>
      </c>
      <c r="EK46" s="231">
        <v>68511.5</v>
      </c>
      <c r="EL46" s="231">
        <v>43421.99</v>
      </c>
      <c r="EM46" s="231">
        <v>6051</v>
      </c>
      <c r="EN46" s="231">
        <v>288706.2</v>
      </c>
      <c r="EO46" s="231">
        <v>219707.58</v>
      </c>
      <c r="EP46" s="231">
        <v>68998.62</v>
      </c>
      <c r="EQ46" s="229">
        <v>0.314</v>
      </c>
      <c r="ER46" s="231">
        <v>150702</v>
      </c>
      <c r="ES46" s="231">
        <v>64424</v>
      </c>
      <c r="ET46" s="231">
        <v>231045</v>
      </c>
      <c r="EU46" s="231">
        <v>50163899</v>
      </c>
      <c r="EV46" s="231">
        <v>446171</v>
      </c>
      <c r="EW46" s="231">
        <v>443401</v>
      </c>
      <c r="EX46" s="231">
        <v>2770</v>
      </c>
      <c r="EY46" s="229">
        <v>6.1999999999999998E-3</v>
      </c>
      <c r="EZ46" s="229">
        <v>0.47399999999999998</v>
      </c>
      <c r="FA46" s="227" t="s">
        <v>567</v>
      </c>
      <c r="FB46" s="161">
        <f t="shared" si="0"/>
        <v>700125</v>
      </c>
    </row>
    <row r="47" spans="1:158" ht="17.25" hidden="1" thickBot="1" x14ac:dyDescent="0.3">
      <c r="A47" s="226">
        <v>46008</v>
      </c>
      <c r="B47" s="227" t="s">
        <v>168</v>
      </c>
      <c r="C47" s="227" t="s">
        <v>201</v>
      </c>
      <c r="D47" s="228">
        <v>225</v>
      </c>
      <c r="E47" s="231">
        <v>2089.6999999999998</v>
      </c>
      <c r="F47" s="231">
        <v>2164.8000000000002</v>
      </c>
      <c r="G47" s="228">
        <v>-75.099999999999994</v>
      </c>
      <c r="H47" s="229">
        <v>-3.4700000000000002E-2</v>
      </c>
      <c r="I47" s="231">
        <v>2087.4</v>
      </c>
      <c r="J47" s="231">
        <v>2160.4</v>
      </c>
      <c r="K47" s="228">
        <v>-73</v>
      </c>
      <c r="L47" s="229">
        <v>-3.3799999999999997E-2</v>
      </c>
      <c r="M47" s="231">
        <v>2089.6999999999998</v>
      </c>
      <c r="N47" s="231">
        <v>2164.8000000000002</v>
      </c>
      <c r="O47" s="228">
        <v>-75.099999999999994</v>
      </c>
      <c r="P47" s="229">
        <v>-3.4700000000000002E-2</v>
      </c>
      <c r="Q47" s="231">
        <v>2101.3000000000002</v>
      </c>
      <c r="R47" s="231">
        <v>2175.9</v>
      </c>
      <c r="S47" s="228">
        <v>-74.599999999999994</v>
      </c>
      <c r="T47" s="229">
        <v>-3.4299999999999997E-2</v>
      </c>
      <c r="U47" s="231">
        <v>2112.6999999999998</v>
      </c>
      <c r="V47" s="231">
        <v>2188.4</v>
      </c>
      <c r="W47" s="228">
        <v>-75.7</v>
      </c>
      <c r="X47" s="229">
        <v>-3.4599999999999999E-2</v>
      </c>
      <c r="Y47" s="228">
        <v>2.2999999999999998</v>
      </c>
      <c r="Z47" s="228">
        <v>4.4000000000000004</v>
      </c>
      <c r="AA47" s="228">
        <v>-2.1</v>
      </c>
      <c r="AB47" s="229">
        <v>1.1000000000000001E-3</v>
      </c>
      <c r="AC47" s="228">
        <v>2.2999999999999998</v>
      </c>
      <c r="AD47" s="228">
        <v>4.4000000000000004</v>
      </c>
      <c r="AE47" s="228">
        <v>-2.1</v>
      </c>
      <c r="AF47" s="229">
        <v>1.1000000000000001E-3</v>
      </c>
      <c r="AG47" s="228">
        <v>13.9</v>
      </c>
      <c r="AH47" s="228">
        <v>15.5</v>
      </c>
      <c r="AI47" s="228">
        <v>-1.6</v>
      </c>
      <c r="AJ47" s="229">
        <v>6.7000000000000002E-3</v>
      </c>
      <c r="AK47" s="228">
        <v>25.3</v>
      </c>
      <c r="AL47" s="228">
        <v>28</v>
      </c>
      <c r="AM47" s="228">
        <v>-2.7</v>
      </c>
      <c r="AN47" s="229">
        <v>1.21E-2</v>
      </c>
      <c r="AO47" s="231">
        <v>2109.5100000000002</v>
      </c>
      <c r="AP47" s="231">
        <v>2118.58</v>
      </c>
      <c r="AQ47" s="228">
        <v>0</v>
      </c>
      <c r="AR47" s="230">
        <v>1998900</v>
      </c>
      <c r="AS47" s="230">
        <v>870075</v>
      </c>
      <c r="AT47" s="230">
        <v>1128825</v>
      </c>
      <c r="AU47" s="229">
        <v>1.2974000000000001</v>
      </c>
      <c r="AV47" s="230">
        <v>1350900</v>
      </c>
      <c r="AW47" s="230">
        <v>723150</v>
      </c>
      <c r="AX47" s="230">
        <v>627750</v>
      </c>
      <c r="AY47" s="229">
        <v>0.86809999999999998</v>
      </c>
      <c r="AZ47" s="230">
        <v>608850</v>
      </c>
      <c r="BA47" s="230">
        <v>132300</v>
      </c>
      <c r="BB47" s="230">
        <v>476550</v>
      </c>
      <c r="BC47" s="229">
        <v>3.6019999999999999</v>
      </c>
      <c r="BD47" s="230">
        <v>39150</v>
      </c>
      <c r="BE47" s="230">
        <v>14625</v>
      </c>
      <c r="BF47" s="230">
        <v>24525</v>
      </c>
      <c r="BG47" s="229">
        <v>1.6769000000000001</v>
      </c>
      <c r="BH47" s="230">
        <v>3636225</v>
      </c>
      <c r="BI47" s="230">
        <v>3893400</v>
      </c>
      <c r="BJ47" s="230">
        <v>-257175</v>
      </c>
      <c r="BK47" s="229">
        <v>-6.6100000000000006E-2</v>
      </c>
      <c r="BL47" s="230">
        <v>2749275</v>
      </c>
      <c r="BM47" s="230">
        <v>791775</v>
      </c>
      <c r="BN47" s="230">
        <v>1957500</v>
      </c>
      <c r="BO47" s="229">
        <v>2.4723000000000002</v>
      </c>
      <c r="BP47" s="230">
        <v>8384400</v>
      </c>
      <c r="BQ47" s="230">
        <v>5555250</v>
      </c>
      <c r="BR47" s="230">
        <v>2829150</v>
      </c>
      <c r="BS47" s="229">
        <v>0.50929999999999997</v>
      </c>
      <c r="BT47" s="230">
        <v>399103</v>
      </c>
      <c r="BU47" s="230">
        <v>369414</v>
      </c>
      <c r="BV47" s="230">
        <v>29689</v>
      </c>
      <c r="BW47" s="229">
        <v>8.0399999999999999E-2</v>
      </c>
      <c r="BX47" s="230">
        <v>7190775</v>
      </c>
      <c r="BY47" s="230">
        <v>6503175</v>
      </c>
      <c r="BZ47" s="230">
        <v>687600</v>
      </c>
      <c r="CA47" s="229">
        <v>0.1057</v>
      </c>
      <c r="CB47" s="230">
        <v>6347475</v>
      </c>
      <c r="CC47" s="230">
        <v>6038325</v>
      </c>
      <c r="CD47" s="230">
        <v>309150</v>
      </c>
      <c r="CE47" s="229">
        <v>5.1200000000000002E-2</v>
      </c>
      <c r="CF47" s="230">
        <v>781650</v>
      </c>
      <c r="CG47" s="230">
        <v>426150</v>
      </c>
      <c r="CH47" s="230">
        <v>355500</v>
      </c>
      <c r="CI47" s="229">
        <v>0.83420000000000005</v>
      </c>
      <c r="CJ47" s="230">
        <v>61650</v>
      </c>
      <c r="CK47" s="230">
        <v>38700</v>
      </c>
      <c r="CL47" s="230">
        <v>22950</v>
      </c>
      <c r="CM47" s="229">
        <v>0.59299999999999997</v>
      </c>
      <c r="CN47" s="230">
        <v>3096000</v>
      </c>
      <c r="CO47" s="230">
        <v>2475900</v>
      </c>
      <c r="CP47" s="230">
        <v>620100</v>
      </c>
      <c r="CQ47" s="229">
        <v>0.2505</v>
      </c>
      <c r="CR47" s="230">
        <v>1939275</v>
      </c>
      <c r="CS47" s="230">
        <v>1525725</v>
      </c>
      <c r="CT47" s="230">
        <v>413550</v>
      </c>
      <c r="CU47" s="229">
        <v>0.27110000000000001</v>
      </c>
      <c r="CV47" s="230">
        <v>12226050</v>
      </c>
      <c r="CW47" s="230">
        <v>10504800</v>
      </c>
      <c r="CX47" s="230">
        <v>1721250</v>
      </c>
      <c r="CY47" s="229">
        <v>0.16389999999999999</v>
      </c>
      <c r="CZ47" s="228">
        <v>22.16</v>
      </c>
      <c r="DA47" s="228">
        <v>18.91</v>
      </c>
      <c r="DB47" s="228">
        <v>3.25</v>
      </c>
      <c r="DC47" s="228">
        <v>3.25</v>
      </c>
      <c r="DD47" s="228">
        <v>27.14</v>
      </c>
      <c r="DE47" s="228">
        <v>26.78</v>
      </c>
      <c r="DF47" s="228">
        <v>-4.9800000000000004</v>
      </c>
      <c r="DG47" s="228">
        <v>0.36</v>
      </c>
      <c r="DH47" s="228">
        <v>23.06</v>
      </c>
      <c r="DI47" s="228">
        <v>18.989999999999998</v>
      </c>
      <c r="DJ47" s="228">
        <v>4.07</v>
      </c>
      <c r="DK47" s="228">
        <v>4.07</v>
      </c>
      <c r="DL47" s="228">
        <v>20.97</v>
      </c>
      <c r="DM47" s="228">
        <v>18.54</v>
      </c>
      <c r="DN47" s="228">
        <v>2.4300000000000002</v>
      </c>
      <c r="DO47" s="228">
        <v>2.4300000000000002</v>
      </c>
      <c r="DP47" s="228">
        <v>0.63</v>
      </c>
      <c r="DQ47" s="228">
        <v>0.62</v>
      </c>
      <c r="DR47" s="228">
        <v>0.01</v>
      </c>
      <c r="DS47" s="229">
        <v>1.61E-2</v>
      </c>
      <c r="DT47" s="231">
        <v>2200</v>
      </c>
      <c r="DU47" s="231">
        <v>2200</v>
      </c>
      <c r="DV47" s="228">
        <v>0.76</v>
      </c>
      <c r="DW47" s="228">
        <v>0.2</v>
      </c>
      <c r="DX47" s="228">
        <v>0.56000000000000005</v>
      </c>
      <c r="DY47" s="229">
        <v>2.8</v>
      </c>
      <c r="DZ47" s="229">
        <v>0.1173</v>
      </c>
      <c r="EA47" s="230">
        <v>464850</v>
      </c>
      <c r="EB47" s="229">
        <v>5.5999999999999999E-3</v>
      </c>
      <c r="EC47" s="229">
        <v>0.1173</v>
      </c>
      <c r="ED47" s="228">
        <v>9.07</v>
      </c>
      <c r="EE47" s="229">
        <v>4.3E-3</v>
      </c>
      <c r="EF47" s="230">
        <v>206101</v>
      </c>
      <c r="EG47" s="230">
        <v>208439</v>
      </c>
      <c r="EH47" s="229">
        <v>-1.12E-2</v>
      </c>
      <c r="EI47" s="229">
        <v>0.51639999999999997</v>
      </c>
      <c r="EJ47" s="231">
        <v>80276.67</v>
      </c>
      <c r="EK47" s="231">
        <v>57903.17</v>
      </c>
      <c r="EL47" s="231">
        <v>42232.93</v>
      </c>
      <c r="EM47" s="231">
        <v>2529</v>
      </c>
      <c r="EN47" s="231">
        <v>180412.77</v>
      </c>
      <c r="EO47" s="231">
        <v>122967.08</v>
      </c>
      <c r="EP47" s="231">
        <v>57445.69</v>
      </c>
      <c r="EQ47" s="229">
        <v>0.4672</v>
      </c>
      <c r="ER47" s="231">
        <v>68866</v>
      </c>
      <c r="ES47" s="231">
        <v>41259</v>
      </c>
      <c r="ET47" s="231">
        <v>150370</v>
      </c>
      <c r="EU47" s="231">
        <v>19990944</v>
      </c>
      <c r="EV47" s="231">
        <v>260496</v>
      </c>
      <c r="EW47" s="231">
        <v>229208</v>
      </c>
      <c r="EX47" s="231">
        <v>31288</v>
      </c>
      <c r="EY47" s="229">
        <v>0.13650000000000001</v>
      </c>
      <c r="EZ47" s="229">
        <v>0.61160000000000003</v>
      </c>
      <c r="FA47" s="227" t="s">
        <v>567</v>
      </c>
      <c r="FB47" s="161">
        <f t="shared" si="0"/>
        <v>843300</v>
      </c>
    </row>
    <row r="48" spans="1:158" ht="17.25" hidden="1" thickBot="1" x14ac:dyDescent="0.3">
      <c r="A48" s="226">
        <v>46008</v>
      </c>
      <c r="B48" s="227" t="s">
        <v>215</v>
      </c>
      <c r="C48" s="227" t="s">
        <v>202</v>
      </c>
      <c r="D48" s="228">
        <v>1250</v>
      </c>
      <c r="E48" s="228">
        <v>496.75</v>
      </c>
      <c r="F48" s="228">
        <v>500.05</v>
      </c>
      <c r="G48" s="228">
        <v>-3.3</v>
      </c>
      <c r="H48" s="229">
        <v>-6.6E-3</v>
      </c>
      <c r="I48" s="228">
        <v>496.35</v>
      </c>
      <c r="J48" s="228">
        <v>499.6</v>
      </c>
      <c r="K48" s="228">
        <v>-3.25</v>
      </c>
      <c r="L48" s="229">
        <v>-6.4999999999999997E-3</v>
      </c>
      <c r="M48" s="228">
        <v>496.75</v>
      </c>
      <c r="N48" s="228">
        <v>500.05</v>
      </c>
      <c r="O48" s="228">
        <v>-3.3</v>
      </c>
      <c r="P48" s="229">
        <v>-6.6E-3</v>
      </c>
      <c r="Q48" s="228">
        <v>499.85</v>
      </c>
      <c r="R48" s="228">
        <v>503.05</v>
      </c>
      <c r="S48" s="228">
        <v>-3.2</v>
      </c>
      <c r="T48" s="229">
        <v>-6.4000000000000003E-3</v>
      </c>
      <c r="U48" s="228">
        <v>500.2</v>
      </c>
      <c r="V48" s="228">
        <v>503.65</v>
      </c>
      <c r="W48" s="228">
        <v>-3.45</v>
      </c>
      <c r="X48" s="229">
        <v>-6.7999999999999996E-3</v>
      </c>
      <c r="Y48" s="228">
        <v>0.4</v>
      </c>
      <c r="Z48" s="228">
        <v>0.45</v>
      </c>
      <c r="AA48" s="228">
        <v>-0.05</v>
      </c>
      <c r="AB48" s="229">
        <v>8.0000000000000004E-4</v>
      </c>
      <c r="AC48" s="228">
        <v>0.4</v>
      </c>
      <c r="AD48" s="228">
        <v>0.45</v>
      </c>
      <c r="AE48" s="228">
        <v>-0.05</v>
      </c>
      <c r="AF48" s="229">
        <v>8.0000000000000004E-4</v>
      </c>
      <c r="AG48" s="228">
        <v>3.5</v>
      </c>
      <c r="AH48" s="228">
        <v>3.45</v>
      </c>
      <c r="AI48" s="228">
        <v>0.05</v>
      </c>
      <c r="AJ48" s="229">
        <v>7.1000000000000004E-3</v>
      </c>
      <c r="AK48" s="228">
        <v>3.85</v>
      </c>
      <c r="AL48" s="228">
        <v>4.05</v>
      </c>
      <c r="AM48" s="228">
        <v>-0.2</v>
      </c>
      <c r="AN48" s="229">
        <v>7.7999999999999996E-3</v>
      </c>
      <c r="AO48" s="228">
        <v>498.34</v>
      </c>
      <c r="AP48" s="228">
        <v>501.72</v>
      </c>
      <c r="AQ48" s="228">
        <v>0</v>
      </c>
      <c r="AR48" s="230">
        <v>2678750</v>
      </c>
      <c r="AS48" s="230">
        <v>3101250</v>
      </c>
      <c r="AT48" s="230">
        <v>-422500</v>
      </c>
      <c r="AU48" s="229">
        <v>-0.13619999999999999</v>
      </c>
      <c r="AV48" s="230">
        <v>2013750</v>
      </c>
      <c r="AW48" s="230">
        <v>2577500</v>
      </c>
      <c r="AX48" s="230">
        <v>-563750</v>
      </c>
      <c r="AY48" s="229">
        <v>-0.21870000000000001</v>
      </c>
      <c r="AZ48" s="230">
        <v>545000</v>
      </c>
      <c r="BA48" s="230">
        <v>433750</v>
      </c>
      <c r="BB48" s="230">
        <v>111250</v>
      </c>
      <c r="BC48" s="229">
        <v>0.25650000000000001</v>
      </c>
      <c r="BD48" s="230">
        <v>120000</v>
      </c>
      <c r="BE48" s="230">
        <v>90000</v>
      </c>
      <c r="BF48" s="230">
        <v>30000</v>
      </c>
      <c r="BG48" s="229">
        <v>0.33329999999999999</v>
      </c>
      <c r="BH48" s="230">
        <v>5351250</v>
      </c>
      <c r="BI48" s="230">
        <v>5990000</v>
      </c>
      <c r="BJ48" s="230">
        <v>-638750</v>
      </c>
      <c r="BK48" s="229">
        <v>-0.1066</v>
      </c>
      <c r="BL48" s="230">
        <v>2355000</v>
      </c>
      <c r="BM48" s="230">
        <v>2110000</v>
      </c>
      <c r="BN48" s="230">
        <v>245000</v>
      </c>
      <c r="BO48" s="229">
        <v>0.11609999999999999</v>
      </c>
      <c r="BP48" s="230">
        <v>10385000</v>
      </c>
      <c r="BQ48" s="230">
        <v>11201250</v>
      </c>
      <c r="BR48" s="230">
        <v>-816250</v>
      </c>
      <c r="BS48" s="229">
        <v>-7.2900000000000006E-2</v>
      </c>
      <c r="BT48" s="230">
        <v>664182</v>
      </c>
      <c r="BU48" s="230">
        <v>1117024</v>
      </c>
      <c r="BV48" s="230">
        <v>-452842</v>
      </c>
      <c r="BW48" s="229">
        <v>-0.40539999999999998</v>
      </c>
      <c r="BX48" s="230">
        <v>40350000</v>
      </c>
      <c r="BY48" s="230">
        <v>40151250</v>
      </c>
      <c r="BZ48" s="230">
        <v>198750</v>
      </c>
      <c r="CA48" s="229">
        <v>5.0000000000000001E-3</v>
      </c>
      <c r="CB48" s="230">
        <v>36812500</v>
      </c>
      <c r="CC48" s="230">
        <v>37018750</v>
      </c>
      <c r="CD48" s="230">
        <v>-206250</v>
      </c>
      <c r="CE48" s="229">
        <v>-5.5999999999999999E-3</v>
      </c>
      <c r="CF48" s="230">
        <v>3053750</v>
      </c>
      <c r="CG48" s="230">
        <v>2730000</v>
      </c>
      <c r="CH48" s="230">
        <v>323750</v>
      </c>
      <c r="CI48" s="229">
        <v>0.1186</v>
      </c>
      <c r="CJ48" s="230">
        <v>483750</v>
      </c>
      <c r="CK48" s="230">
        <v>402500</v>
      </c>
      <c r="CL48" s="230">
        <v>81250</v>
      </c>
      <c r="CM48" s="229">
        <v>0.2019</v>
      </c>
      <c r="CN48" s="230">
        <v>13928750</v>
      </c>
      <c r="CO48" s="230">
        <v>13361250</v>
      </c>
      <c r="CP48" s="230">
        <v>567500</v>
      </c>
      <c r="CQ48" s="229">
        <v>4.2500000000000003E-2</v>
      </c>
      <c r="CR48" s="230">
        <v>10150000</v>
      </c>
      <c r="CS48" s="230">
        <v>9865000</v>
      </c>
      <c r="CT48" s="230">
        <v>285000</v>
      </c>
      <c r="CU48" s="229">
        <v>2.8899999999999999E-2</v>
      </c>
      <c r="CV48" s="230">
        <v>64428750</v>
      </c>
      <c r="CW48" s="230">
        <v>63377500</v>
      </c>
      <c r="CX48" s="230">
        <v>1051250</v>
      </c>
      <c r="CY48" s="229">
        <v>1.66E-2</v>
      </c>
      <c r="CZ48" s="228">
        <v>20.81</v>
      </c>
      <c r="DA48" s="228">
        <v>20.170000000000002</v>
      </c>
      <c r="DB48" s="228">
        <v>0.64</v>
      </c>
      <c r="DC48" s="228">
        <v>0.64</v>
      </c>
      <c r="DD48" s="228">
        <v>34.08</v>
      </c>
      <c r="DE48" s="228">
        <v>34.159999999999997</v>
      </c>
      <c r="DF48" s="228">
        <v>-13.27</v>
      </c>
      <c r="DG48" s="228">
        <v>-0.08</v>
      </c>
      <c r="DH48" s="228">
        <v>21.45</v>
      </c>
      <c r="DI48" s="228">
        <v>20.52</v>
      </c>
      <c r="DJ48" s="228">
        <v>0.93</v>
      </c>
      <c r="DK48" s="228">
        <v>0.93</v>
      </c>
      <c r="DL48" s="228">
        <v>19.37</v>
      </c>
      <c r="DM48" s="228">
        <v>19.2</v>
      </c>
      <c r="DN48" s="228">
        <v>0.17</v>
      </c>
      <c r="DO48" s="228">
        <v>0.17</v>
      </c>
      <c r="DP48" s="228">
        <v>0.73</v>
      </c>
      <c r="DQ48" s="228">
        <v>0.74</v>
      </c>
      <c r="DR48" s="228">
        <v>-0.01</v>
      </c>
      <c r="DS48" s="229">
        <v>-1.35E-2</v>
      </c>
      <c r="DT48" s="228">
        <v>520</v>
      </c>
      <c r="DU48" s="228">
        <v>500</v>
      </c>
      <c r="DV48" s="228">
        <v>0.44</v>
      </c>
      <c r="DW48" s="228">
        <v>0.35</v>
      </c>
      <c r="DX48" s="228">
        <v>0.09</v>
      </c>
      <c r="DY48" s="229">
        <v>0.2571</v>
      </c>
      <c r="DZ48" s="229">
        <v>8.77E-2</v>
      </c>
      <c r="EA48" s="230">
        <v>3132500</v>
      </c>
      <c r="EB48" s="229">
        <v>6.1999999999999998E-3</v>
      </c>
      <c r="EC48" s="229">
        <v>8.77E-2</v>
      </c>
      <c r="ED48" s="228">
        <v>3.38</v>
      </c>
      <c r="EE48" s="229">
        <v>6.7999999999999996E-3</v>
      </c>
      <c r="EF48" s="230">
        <v>371675</v>
      </c>
      <c r="EG48" s="230">
        <v>711405</v>
      </c>
      <c r="EH48" s="229">
        <v>-0.47749999999999998</v>
      </c>
      <c r="EI48" s="229">
        <v>0.55959999999999999</v>
      </c>
      <c r="EJ48" s="231">
        <v>27750.29</v>
      </c>
      <c r="EK48" s="231">
        <v>11908.94</v>
      </c>
      <c r="EL48" s="231">
        <v>13372.52</v>
      </c>
      <c r="EM48" s="231">
        <v>2394</v>
      </c>
      <c r="EN48" s="231">
        <v>53031.75</v>
      </c>
      <c r="EO48" s="231">
        <v>57369.33</v>
      </c>
      <c r="EP48" s="231">
        <v>-4337.58</v>
      </c>
      <c r="EQ48" s="229">
        <v>-7.5600000000000001E-2</v>
      </c>
      <c r="ER48" s="231">
        <v>74146</v>
      </c>
      <c r="ES48" s="231">
        <v>52311</v>
      </c>
      <c r="ET48" s="231">
        <v>200550</v>
      </c>
      <c r="EU48" s="231">
        <v>48077012</v>
      </c>
      <c r="EV48" s="231">
        <v>327007</v>
      </c>
      <c r="EW48" s="231">
        <v>323118</v>
      </c>
      <c r="EX48" s="231">
        <v>3889</v>
      </c>
      <c r="EY48" s="229">
        <v>1.2E-2</v>
      </c>
      <c r="EZ48" s="229">
        <v>1.3401000000000001</v>
      </c>
      <c r="FA48" s="227" t="s">
        <v>567</v>
      </c>
      <c r="FB48" s="161">
        <f t="shared" si="0"/>
        <v>3537500</v>
      </c>
    </row>
    <row r="49" spans="1:158" ht="17.25" hidden="1" thickBot="1" x14ac:dyDescent="0.3">
      <c r="A49" s="226">
        <v>46008</v>
      </c>
      <c r="B49" s="227" t="s">
        <v>184</v>
      </c>
      <c r="C49" s="227" t="s">
        <v>523</v>
      </c>
      <c r="D49" s="228">
        <v>1800</v>
      </c>
      <c r="E49" s="228">
        <v>249.5</v>
      </c>
      <c r="F49" s="228">
        <v>253.35</v>
      </c>
      <c r="G49" s="228">
        <v>-3.85</v>
      </c>
      <c r="H49" s="229">
        <v>-1.52E-2</v>
      </c>
      <c r="I49" s="228">
        <v>249.15</v>
      </c>
      <c r="J49" s="228">
        <v>252.45</v>
      </c>
      <c r="K49" s="228">
        <v>-3.3</v>
      </c>
      <c r="L49" s="229">
        <v>-1.3100000000000001E-2</v>
      </c>
      <c r="M49" s="228">
        <v>249.5</v>
      </c>
      <c r="N49" s="228">
        <v>253.35</v>
      </c>
      <c r="O49" s="228">
        <v>-3.85</v>
      </c>
      <c r="P49" s="229">
        <v>-1.52E-2</v>
      </c>
      <c r="Q49" s="228">
        <v>251.05</v>
      </c>
      <c r="R49" s="228">
        <v>255</v>
      </c>
      <c r="S49" s="228">
        <v>-3.95</v>
      </c>
      <c r="T49" s="229">
        <v>-1.55E-2</v>
      </c>
      <c r="U49" s="228">
        <v>252.25</v>
      </c>
      <c r="V49" s="228">
        <v>256.2</v>
      </c>
      <c r="W49" s="228">
        <v>-3.95</v>
      </c>
      <c r="X49" s="229">
        <v>-1.54E-2</v>
      </c>
      <c r="Y49" s="228">
        <v>0.35</v>
      </c>
      <c r="Z49" s="228">
        <v>0.9</v>
      </c>
      <c r="AA49" s="228">
        <v>-0.55000000000000004</v>
      </c>
      <c r="AB49" s="229">
        <v>1.4E-3</v>
      </c>
      <c r="AC49" s="228">
        <v>0.35</v>
      </c>
      <c r="AD49" s="228">
        <v>0.9</v>
      </c>
      <c r="AE49" s="228">
        <v>-0.55000000000000004</v>
      </c>
      <c r="AF49" s="229">
        <v>1.4E-3</v>
      </c>
      <c r="AG49" s="228">
        <v>1.9</v>
      </c>
      <c r="AH49" s="228">
        <v>2.5499999999999998</v>
      </c>
      <c r="AI49" s="228">
        <v>-0.65</v>
      </c>
      <c r="AJ49" s="229">
        <v>7.6E-3</v>
      </c>
      <c r="AK49" s="228">
        <v>3.1</v>
      </c>
      <c r="AL49" s="228">
        <v>3.75</v>
      </c>
      <c r="AM49" s="228">
        <v>-0.65</v>
      </c>
      <c r="AN49" s="229">
        <v>1.24E-2</v>
      </c>
      <c r="AO49" s="228">
        <v>250.52</v>
      </c>
      <c r="AP49" s="228">
        <v>252.2</v>
      </c>
      <c r="AQ49" s="228">
        <v>0</v>
      </c>
      <c r="AR49" s="230">
        <v>4588200</v>
      </c>
      <c r="AS49" s="230">
        <v>2691000</v>
      </c>
      <c r="AT49" s="230">
        <v>1897200</v>
      </c>
      <c r="AU49" s="229">
        <v>0.70499999999999996</v>
      </c>
      <c r="AV49" s="230">
        <v>3834000</v>
      </c>
      <c r="AW49" s="230">
        <v>2322000</v>
      </c>
      <c r="AX49" s="230">
        <v>1512000</v>
      </c>
      <c r="AY49" s="229">
        <v>0.6512</v>
      </c>
      <c r="AZ49" s="230">
        <v>649800</v>
      </c>
      <c r="BA49" s="230">
        <v>253800</v>
      </c>
      <c r="BB49" s="230">
        <v>396000</v>
      </c>
      <c r="BC49" s="229">
        <v>1.5603</v>
      </c>
      <c r="BD49" s="230">
        <v>104400</v>
      </c>
      <c r="BE49" s="230">
        <v>115200</v>
      </c>
      <c r="BF49" s="230">
        <v>-10800</v>
      </c>
      <c r="BG49" s="229">
        <v>-9.3799999999999994E-2</v>
      </c>
      <c r="BH49" s="230">
        <v>12891600</v>
      </c>
      <c r="BI49" s="230">
        <v>5538600</v>
      </c>
      <c r="BJ49" s="230">
        <v>7353000</v>
      </c>
      <c r="BK49" s="229">
        <v>1.3275999999999999</v>
      </c>
      <c r="BL49" s="230">
        <v>3772800</v>
      </c>
      <c r="BM49" s="230">
        <v>1647000</v>
      </c>
      <c r="BN49" s="230">
        <v>2125800</v>
      </c>
      <c r="BO49" s="229">
        <v>1.2907</v>
      </c>
      <c r="BP49" s="230">
        <v>21252600</v>
      </c>
      <c r="BQ49" s="230">
        <v>9876600</v>
      </c>
      <c r="BR49" s="230">
        <v>11376000</v>
      </c>
      <c r="BS49" s="229">
        <v>1.1517999999999999</v>
      </c>
      <c r="BT49" s="230">
        <v>2187099</v>
      </c>
      <c r="BU49" s="230">
        <v>1655482</v>
      </c>
      <c r="BV49" s="230">
        <v>531617</v>
      </c>
      <c r="BW49" s="229">
        <v>0.3211</v>
      </c>
      <c r="BX49" s="230">
        <v>56968200</v>
      </c>
      <c r="BY49" s="230">
        <v>57313800</v>
      </c>
      <c r="BZ49" s="230">
        <v>-345600</v>
      </c>
      <c r="CA49" s="229">
        <v>-6.0000000000000001E-3</v>
      </c>
      <c r="CB49" s="230">
        <v>52635600</v>
      </c>
      <c r="CC49" s="230">
        <v>53159400</v>
      </c>
      <c r="CD49" s="230">
        <v>-523800</v>
      </c>
      <c r="CE49" s="229">
        <v>-9.9000000000000008E-3</v>
      </c>
      <c r="CF49" s="230">
        <v>3519000</v>
      </c>
      <c r="CG49" s="230">
        <v>3385800</v>
      </c>
      <c r="CH49" s="230">
        <v>133200</v>
      </c>
      <c r="CI49" s="229">
        <v>3.9300000000000002E-2</v>
      </c>
      <c r="CJ49" s="230">
        <v>813600</v>
      </c>
      <c r="CK49" s="230">
        <v>768600</v>
      </c>
      <c r="CL49" s="230">
        <v>45000</v>
      </c>
      <c r="CM49" s="229">
        <v>5.8500000000000003E-2</v>
      </c>
      <c r="CN49" s="230">
        <v>24476400</v>
      </c>
      <c r="CO49" s="230">
        <v>23205600</v>
      </c>
      <c r="CP49" s="230">
        <v>1270800</v>
      </c>
      <c r="CQ49" s="229">
        <v>5.4800000000000001E-2</v>
      </c>
      <c r="CR49" s="230">
        <v>11948400</v>
      </c>
      <c r="CS49" s="230">
        <v>12191400</v>
      </c>
      <c r="CT49" s="230">
        <v>-243000</v>
      </c>
      <c r="CU49" s="229">
        <v>-1.9900000000000001E-2</v>
      </c>
      <c r="CV49" s="230">
        <v>93393000</v>
      </c>
      <c r="CW49" s="230">
        <v>92710800</v>
      </c>
      <c r="CX49" s="230">
        <v>682200</v>
      </c>
      <c r="CY49" s="229">
        <v>7.4000000000000003E-3</v>
      </c>
      <c r="CZ49" s="228">
        <v>26.22</v>
      </c>
      <c r="DA49" s="228">
        <v>24.1</v>
      </c>
      <c r="DB49" s="228">
        <v>2.12</v>
      </c>
      <c r="DC49" s="228">
        <v>2.12</v>
      </c>
      <c r="DD49" s="228">
        <v>30.79</v>
      </c>
      <c r="DE49" s="228">
        <v>30.79</v>
      </c>
      <c r="DF49" s="228">
        <v>-4.57</v>
      </c>
      <c r="DG49" s="228">
        <v>0</v>
      </c>
      <c r="DH49" s="228">
        <v>26.6</v>
      </c>
      <c r="DI49" s="228">
        <v>24.58</v>
      </c>
      <c r="DJ49" s="228">
        <v>2.02</v>
      </c>
      <c r="DK49" s="228">
        <v>2.02</v>
      </c>
      <c r="DL49" s="228">
        <v>24.93</v>
      </c>
      <c r="DM49" s="228">
        <v>22.46</v>
      </c>
      <c r="DN49" s="228">
        <v>2.4700000000000002</v>
      </c>
      <c r="DO49" s="228">
        <v>2.4700000000000002</v>
      </c>
      <c r="DP49" s="228">
        <v>0.49</v>
      </c>
      <c r="DQ49" s="228">
        <v>0.53</v>
      </c>
      <c r="DR49" s="228">
        <v>-0.04</v>
      </c>
      <c r="DS49" s="229">
        <v>-7.5499999999999998E-2</v>
      </c>
      <c r="DT49" s="228">
        <v>280</v>
      </c>
      <c r="DU49" s="228">
        <v>250</v>
      </c>
      <c r="DV49" s="228">
        <v>0.28999999999999998</v>
      </c>
      <c r="DW49" s="228">
        <v>0.3</v>
      </c>
      <c r="DX49" s="228">
        <v>-0.01</v>
      </c>
      <c r="DY49" s="229">
        <v>-3.3300000000000003E-2</v>
      </c>
      <c r="DZ49" s="229">
        <v>7.6100000000000001E-2</v>
      </c>
      <c r="EA49" s="230">
        <v>4154400</v>
      </c>
      <c r="EB49" s="229">
        <v>6.1999999999999998E-3</v>
      </c>
      <c r="EC49" s="229">
        <v>7.6100000000000001E-2</v>
      </c>
      <c r="ED49" s="228">
        <v>1.68</v>
      </c>
      <c r="EE49" s="229">
        <v>6.7000000000000002E-3</v>
      </c>
      <c r="EF49" s="230">
        <v>1333924</v>
      </c>
      <c r="EG49" s="230">
        <v>683891</v>
      </c>
      <c r="EH49" s="229">
        <v>0.95050000000000001</v>
      </c>
      <c r="EI49" s="229">
        <v>0.6099</v>
      </c>
      <c r="EJ49" s="231">
        <v>34656.639999999999</v>
      </c>
      <c r="EK49" s="231">
        <v>10174.82</v>
      </c>
      <c r="EL49" s="231">
        <v>11508.58</v>
      </c>
      <c r="EM49" s="231">
        <v>1905</v>
      </c>
      <c r="EN49" s="231">
        <v>56340.04</v>
      </c>
      <c r="EO49" s="231">
        <v>25828.74</v>
      </c>
      <c r="EP49" s="231">
        <v>30511.3</v>
      </c>
      <c r="EQ49" s="229">
        <v>1.1813</v>
      </c>
      <c r="ER49" s="231">
        <v>67587</v>
      </c>
      <c r="ES49" s="231">
        <v>31634</v>
      </c>
      <c r="ET49" s="231">
        <v>142213</v>
      </c>
      <c r="EU49" s="231">
        <v>81400589</v>
      </c>
      <c r="EV49" s="231">
        <v>241434</v>
      </c>
      <c r="EW49" s="231">
        <v>242069</v>
      </c>
      <c r="EX49" s="228">
        <v>-635</v>
      </c>
      <c r="EY49" s="229">
        <v>-2.5999999999999999E-3</v>
      </c>
      <c r="EZ49" s="229">
        <v>1.1473</v>
      </c>
      <c r="FA49" s="227" t="s">
        <v>568</v>
      </c>
      <c r="FB49" s="161">
        <f t="shared" si="0"/>
        <v>4332600</v>
      </c>
    </row>
    <row r="50" spans="1:158" ht="17.25" hidden="1" thickBot="1" x14ac:dyDescent="0.3">
      <c r="A50" s="226">
        <v>46008</v>
      </c>
      <c r="B50" s="227" t="s">
        <v>184</v>
      </c>
      <c r="C50" s="227" t="s">
        <v>203</v>
      </c>
      <c r="D50" s="228">
        <v>200</v>
      </c>
      <c r="E50" s="231">
        <v>4521.1000000000004</v>
      </c>
      <c r="F50" s="231">
        <v>4507.2</v>
      </c>
      <c r="G50" s="228">
        <v>13.9</v>
      </c>
      <c r="H50" s="229">
        <v>3.0999999999999999E-3</v>
      </c>
      <c r="I50" s="231">
        <v>4512.7</v>
      </c>
      <c r="J50" s="231">
        <v>4494.3</v>
      </c>
      <c r="K50" s="228">
        <v>18.399999999999999</v>
      </c>
      <c r="L50" s="229">
        <v>4.1000000000000003E-3</v>
      </c>
      <c r="M50" s="231">
        <v>4521.1000000000004</v>
      </c>
      <c r="N50" s="231">
        <v>4507.2</v>
      </c>
      <c r="O50" s="228">
        <v>13.9</v>
      </c>
      <c r="P50" s="229">
        <v>3.0999999999999999E-3</v>
      </c>
      <c r="Q50" s="231">
        <v>4550.3999999999996</v>
      </c>
      <c r="R50" s="231">
        <v>4535.2</v>
      </c>
      <c r="S50" s="228">
        <v>15.2</v>
      </c>
      <c r="T50" s="229">
        <v>3.3999999999999998E-3</v>
      </c>
      <c r="U50" s="231">
        <v>4563.7</v>
      </c>
      <c r="V50" s="231">
        <v>4535.8</v>
      </c>
      <c r="W50" s="228">
        <v>27.9</v>
      </c>
      <c r="X50" s="229">
        <v>6.1999999999999998E-3</v>
      </c>
      <c r="Y50" s="228">
        <v>8.4</v>
      </c>
      <c r="Z50" s="228">
        <v>12.9</v>
      </c>
      <c r="AA50" s="228">
        <v>-4.5</v>
      </c>
      <c r="AB50" s="229">
        <v>1.9E-3</v>
      </c>
      <c r="AC50" s="228">
        <v>8.4</v>
      </c>
      <c r="AD50" s="228">
        <v>12.9</v>
      </c>
      <c r="AE50" s="228">
        <v>-4.5</v>
      </c>
      <c r="AF50" s="229">
        <v>1.9E-3</v>
      </c>
      <c r="AG50" s="228">
        <v>37.700000000000003</v>
      </c>
      <c r="AH50" s="228">
        <v>40.9</v>
      </c>
      <c r="AI50" s="228">
        <v>-3.2</v>
      </c>
      <c r="AJ50" s="229">
        <v>8.3999999999999995E-3</v>
      </c>
      <c r="AK50" s="228">
        <v>51</v>
      </c>
      <c r="AL50" s="228">
        <v>41.5</v>
      </c>
      <c r="AM50" s="228">
        <v>9.5</v>
      </c>
      <c r="AN50" s="229">
        <v>1.1299999999999999E-2</v>
      </c>
      <c r="AO50" s="231">
        <v>4525.0600000000004</v>
      </c>
      <c r="AP50" s="231">
        <v>4551.5</v>
      </c>
      <c r="AQ50" s="228">
        <v>0</v>
      </c>
      <c r="AR50" s="230">
        <v>276600</v>
      </c>
      <c r="AS50" s="230">
        <v>345800</v>
      </c>
      <c r="AT50" s="230">
        <v>-69200</v>
      </c>
      <c r="AU50" s="229">
        <v>-0.2001</v>
      </c>
      <c r="AV50" s="230">
        <v>252400</v>
      </c>
      <c r="AW50" s="230">
        <v>312800</v>
      </c>
      <c r="AX50" s="230">
        <v>-60400</v>
      </c>
      <c r="AY50" s="229">
        <v>-0.19309999999999999</v>
      </c>
      <c r="AZ50" s="230">
        <v>23400</v>
      </c>
      <c r="BA50" s="230">
        <v>30800</v>
      </c>
      <c r="BB50" s="230">
        <v>-7400</v>
      </c>
      <c r="BC50" s="229">
        <v>-0.24030000000000001</v>
      </c>
      <c r="BD50" s="228">
        <v>800</v>
      </c>
      <c r="BE50" s="230">
        <v>2200</v>
      </c>
      <c r="BF50" s="230">
        <v>-1400</v>
      </c>
      <c r="BG50" s="229">
        <v>-0.63639999999999997</v>
      </c>
      <c r="BH50" s="230">
        <v>1767600</v>
      </c>
      <c r="BI50" s="230">
        <v>1046400</v>
      </c>
      <c r="BJ50" s="230">
        <v>721200</v>
      </c>
      <c r="BK50" s="229">
        <v>0.68920000000000003</v>
      </c>
      <c r="BL50" s="230">
        <v>590400</v>
      </c>
      <c r="BM50" s="230">
        <v>583000</v>
      </c>
      <c r="BN50" s="230">
        <v>7400</v>
      </c>
      <c r="BO50" s="229">
        <v>1.2699999999999999E-2</v>
      </c>
      <c r="BP50" s="230">
        <v>2634600</v>
      </c>
      <c r="BQ50" s="230">
        <v>1975200</v>
      </c>
      <c r="BR50" s="230">
        <v>659400</v>
      </c>
      <c r="BS50" s="229">
        <v>0.33379999999999999</v>
      </c>
      <c r="BT50" s="230">
        <v>261622</v>
      </c>
      <c r="BU50" s="230">
        <v>290660</v>
      </c>
      <c r="BV50" s="230">
        <v>-29038</v>
      </c>
      <c r="BW50" s="229">
        <v>-9.9900000000000003E-2</v>
      </c>
      <c r="BX50" s="230">
        <v>2904600</v>
      </c>
      <c r="BY50" s="230">
        <v>2911600</v>
      </c>
      <c r="BZ50" s="230">
        <v>-7000</v>
      </c>
      <c r="CA50" s="229">
        <v>-2.3999999999999998E-3</v>
      </c>
      <c r="CB50" s="230">
        <v>2821200</v>
      </c>
      <c r="CC50" s="230">
        <v>2840600</v>
      </c>
      <c r="CD50" s="230">
        <v>-19400</v>
      </c>
      <c r="CE50" s="229">
        <v>-6.7999999999999996E-3</v>
      </c>
      <c r="CF50" s="230">
        <v>74600</v>
      </c>
      <c r="CG50" s="230">
        <v>62200</v>
      </c>
      <c r="CH50" s="230">
        <v>12400</v>
      </c>
      <c r="CI50" s="229">
        <v>0.19939999999999999</v>
      </c>
      <c r="CJ50" s="230">
        <v>8800</v>
      </c>
      <c r="CK50" s="230">
        <v>8800</v>
      </c>
      <c r="CL50" s="228">
        <v>0</v>
      </c>
      <c r="CM50" s="229">
        <v>0</v>
      </c>
      <c r="CN50" s="230">
        <v>1072200</v>
      </c>
      <c r="CO50" s="230">
        <v>915000</v>
      </c>
      <c r="CP50" s="230">
        <v>157200</v>
      </c>
      <c r="CQ50" s="229">
        <v>0.17180000000000001</v>
      </c>
      <c r="CR50" s="230">
        <v>799800</v>
      </c>
      <c r="CS50" s="230">
        <v>744600</v>
      </c>
      <c r="CT50" s="230">
        <v>55200</v>
      </c>
      <c r="CU50" s="229">
        <v>7.4099999999999999E-2</v>
      </c>
      <c r="CV50" s="230">
        <v>4776600</v>
      </c>
      <c r="CW50" s="230">
        <v>4571200</v>
      </c>
      <c r="CX50" s="230">
        <v>205400</v>
      </c>
      <c r="CY50" s="229">
        <v>4.4900000000000002E-2</v>
      </c>
      <c r="CZ50" s="228">
        <v>20.47</v>
      </c>
      <c r="DA50" s="228">
        <v>20.77</v>
      </c>
      <c r="DB50" s="228">
        <v>-0.3</v>
      </c>
      <c r="DC50" s="228">
        <v>-0.3</v>
      </c>
      <c r="DD50" s="228">
        <v>33.47</v>
      </c>
      <c r="DE50" s="228">
        <v>33.549999999999997</v>
      </c>
      <c r="DF50" s="228">
        <v>-13</v>
      </c>
      <c r="DG50" s="228">
        <v>-0.08</v>
      </c>
      <c r="DH50" s="228">
        <v>20.25</v>
      </c>
      <c r="DI50" s="228">
        <v>20.83</v>
      </c>
      <c r="DJ50" s="228">
        <v>-0.57999999999999996</v>
      </c>
      <c r="DK50" s="228">
        <v>-0.57999999999999996</v>
      </c>
      <c r="DL50" s="228">
        <v>21.15</v>
      </c>
      <c r="DM50" s="228">
        <v>20.67</v>
      </c>
      <c r="DN50" s="228">
        <v>0.48</v>
      </c>
      <c r="DO50" s="228">
        <v>0.48</v>
      </c>
      <c r="DP50" s="228">
        <v>0.75</v>
      </c>
      <c r="DQ50" s="228">
        <v>0.81</v>
      </c>
      <c r="DR50" s="228">
        <v>-0.06</v>
      </c>
      <c r="DS50" s="229">
        <v>-7.4099999999999999E-2</v>
      </c>
      <c r="DT50" s="231">
        <v>4500</v>
      </c>
      <c r="DU50" s="231">
        <v>4400</v>
      </c>
      <c r="DV50" s="228">
        <v>0.33</v>
      </c>
      <c r="DW50" s="228">
        <v>0.56000000000000005</v>
      </c>
      <c r="DX50" s="228">
        <v>-0.23</v>
      </c>
      <c r="DY50" s="229">
        <v>-0.41070000000000001</v>
      </c>
      <c r="DZ50" s="229">
        <v>2.87E-2</v>
      </c>
      <c r="EA50" s="230">
        <v>71000</v>
      </c>
      <c r="EB50" s="229">
        <v>6.4999999999999997E-3</v>
      </c>
      <c r="EC50" s="229">
        <v>2.87E-2</v>
      </c>
      <c r="ED50" s="228">
        <v>26.44</v>
      </c>
      <c r="EE50" s="229">
        <v>5.7999999999999996E-3</v>
      </c>
      <c r="EF50" s="230">
        <v>179797</v>
      </c>
      <c r="EG50" s="230">
        <v>186927</v>
      </c>
      <c r="EH50" s="229">
        <v>-3.8100000000000002E-2</v>
      </c>
      <c r="EI50" s="229">
        <v>0.68720000000000003</v>
      </c>
      <c r="EJ50" s="231">
        <v>81917.91</v>
      </c>
      <c r="EK50" s="231">
        <v>26291.77</v>
      </c>
      <c r="EL50" s="231">
        <v>12522.78</v>
      </c>
      <c r="EM50" s="231">
        <v>2476</v>
      </c>
      <c r="EN50" s="231">
        <v>120732.46</v>
      </c>
      <c r="EO50" s="231">
        <v>90846.76</v>
      </c>
      <c r="EP50" s="231">
        <v>29885.7</v>
      </c>
      <c r="EQ50" s="229">
        <v>0.32900000000000001</v>
      </c>
      <c r="ER50" s="231">
        <v>49653</v>
      </c>
      <c r="ES50" s="231">
        <v>34522</v>
      </c>
      <c r="ET50" s="231">
        <v>131345</v>
      </c>
      <c r="EU50" s="231">
        <v>20374200</v>
      </c>
      <c r="EV50" s="231">
        <v>215521</v>
      </c>
      <c r="EW50" s="231">
        <v>205817</v>
      </c>
      <c r="EX50" s="231">
        <v>9704</v>
      </c>
      <c r="EY50" s="229">
        <v>4.7100000000000003E-2</v>
      </c>
      <c r="EZ50" s="229">
        <v>0.2344</v>
      </c>
      <c r="FA50" s="227" t="s">
        <v>556</v>
      </c>
      <c r="FB50" s="161">
        <f t="shared" si="0"/>
        <v>83400</v>
      </c>
    </row>
    <row r="51" spans="1:158" ht="17.25" hidden="1" thickBot="1" x14ac:dyDescent="0.3">
      <c r="A51" s="226">
        <v>46008</v>
      </c>
      <c r="B51" s="227" t="s">
        <v>221</v>
      </c>
      <c r="C51" s="227" t="s">
        <v>572</v>
      </c>
      <c r="D51" s="228">
        <v>425</v>
      </c>
      <c r="E51" s="231">
        <v>1142.3</v>
      </c>
      <c r="F51" s="231">
        <v>1150.5999999999999</v>
      </c>
      <c r="G51" s="228">
        <v>-8.3000000000000007</v>
      </c>
      <c r="H51" s="229">
        <v>-7.1999999999999998E-3</v>
      </c>
      <c r="I51" s="231">
        <v>1138.8</v>
      </c>
      <c r="J51" s="231">
        <v>1149.8</v>
      </c>
      <c r="K51" s="228">
        <v>-11</v>
      </c>
      <c r="L51" s="229">
        <v>-9.5999999999999992E-3</v>
      </c>
      <c r="M51" s="231">
        <v>1142.3</v>
      </c>
      <c r="N51" s="231">
        <v>1150.5999999999999</v>
      </c>
      <c r="O51" s="228">
        <v>-8.3000000000000007</v>
      </c>
      <c r="P51" s="229">
        <v>-7.1999999999999998E-3</v>
      </c>
      <c r="Q51" s="228">
        <v>0</v>
      </c>
      <c r="R51" s="228">
        <v>0</v>
      </c>
      <c r="S51" s="228">
        <v>0</v>
      </c>
      <c r="T51" s="229">
        <v>0</v>
      </c>
      <c r="U51" s="228">
        <v>0</v>
      </c>
      <c r="V51" s="228">
        <v>0</v>
      </c>
      <c r="W51" s="228">
        <v>0</v>
      </c>
      <c r="X51" s="229">
        <v>0</v>
      </c>
      <c r="Y51" s="228">
        <v>3.5</v>
      </c>
      <c r="Z51" s="228">
        <v>0.8</v>
      </c>
      <c r="AA51" s="228">
        <v>2.7</v>
      </c>
      <c r="AB51" s="229">
        <v>3.0999999999999999E-3</v>
      </c>
      <c r="AC51" s="228">
        <v>3.5</v>
      </c>
      <c r="AD51" s="228">
        <v>0.8</v>
      </c>
      <c r="AE51" s="228">
        <v>2.7</v>
      </c>
      <c r="AF51" s="229">
        <v>3.0999999999999999E-3</v>
      </c>
      <c r="AG51" s="228">
        <v>0</v>
      </c>
      <c r="AH51" s="228">
        <v>0</v>
      </c>
      <c r="AI51" s="228">
        <v>0</v>
      </c>
      <c r="AJ51" s="229">
        <v>0</v>
      </c>
      <c r="AK51" s="228">
        <v>0</v>
      </c>
      <c r="AL51" s="228">
        <v>0</v>
      </c>
      <c r="AM51" s="228">
        <v>0</v>
      </c>
      <c r="AN51" s="229">
        <v>0</v>
      </c>
      <c r="AO51" s="231">
        <v>1139.51</v>
      </c>
      <c r="AP51" s="228">
        <v>0</v>
      </c>
      <c r="AQ51" s="228">
        <v>0</v>
      </c>
      <c r="AR51" s="230">
        <v>2452250</v>
      </c>
      <c r="AS51" s="230">
        <v>425000</v>
      </c>
      <c r="AT51" s="230">
        <v>2027250</v>
      </c>
      <c r="AU51" s="229">
        <v>4.7699999999999996</v>
      </c>
      <c r="AV51" s="230">
        <v>2452250</v>
      </c>
      <c r="AW51" s="230">
        <v>425000</v>
      </c>
      <c r="AX51" s="230">
        <v>2027250</v>
      </c>
      <c r="AY51" s="229">
        <v>4.7699999999999996</v>
      </c>
      <c r="AZ51" s="228">
        <v>0</v>
      </c>
      <c r="BA51" s="228">
        <v>0</v>
      </c>
      <c r="BB51" s="228">
        <v>0</v>
      </c>
      <c r="BC51" s="229">
        <v>0</v>
      </c>
      <c r="BD51" s="228">
        <v>0</v>
      </c>
      <c r="BE51" s="228">
        <v>0</v>
      </c>
      <c r="BF51" s="228">
        <v>0</v>
      </c>
      <c r="BG51" s="229">
        <v>0</v>
      </c>
      <c r="BH51" s="230">
        <v>7228825</v>
      </c>
      <c r="BI51" s="230">
        <v>559300</v>
      </c>
      <c r="BJ51" s="230">
        <v>6669525</v>
      </c>
      <c r="BK51" s="229">
        <v>11.924799999999999</v>
      </c>
      <c r="BL51" s="230">
        <v>5451475</v>
      </c>
      <c r="BM51" s="230">
        <v>342550</v>
      </c>
      <c r="BN51" s="230">
        <v>5108925</v>
      </c>
      <c r="BO51" s="229">
        <v>14.914400000000001</v>
      </c>
      <c r="BP51" s="230">
        <v>15132550</v>
      </c>
      <c r="BQ51" s="230">
        <v>1326850</v>
      </c>
      <c r="BR51" s="230">
        <v>13805700</v>
      </c>
      <c r="BS51" s="229">
        <v>10.4049</v>
      </c>
      <c r="BT51" s="230">
        <v>921032</v>
      </c>
      <c r="BU51" s="230">
        <v>283869</v>
      </c>
      <c r="BV51" s="230">
        <v>637163</v>
      </c>
      <c r="BW51" s="229">
        <v>2.2446000000000002</v>
      </c>
      <c r="BX51" s="230">
        <v>3137350</v>
      </c>
      <c r="BY51" s="230">
        <v>3167525</v>
      </c>
      <c r="BZ51" s="230">
        <v>-30175</v>
      </c>
      <c r="CA51" s="229">
        <v>-9.4999999999999998E-3</v>
      </c>
      <c r="CB51" s="230">
        <v>3137350</v>
      </c>
      <c r="CC51" s="230">
        <v>3167525</v>
      </c>
      <c r="CD51" s="230">
        <v>-30175</v>
      </c>
      <c r="CE51" s="229">
        <v>-9.4999999999999998E-3</v>
      </c>
      <c r="CF51" s="228">
        <v>0</v>
      </c>
      <c r="CG51" s="228">
        <v>0</v>
      </c>
      <c r="CH51" s="228">
        <v>0</v>
      </c>
      <c r="CI51" s="229">
        <v>0</v>
      </c>
      <c r="CJ51" s="228">
        <v>0</v>
      </c>
      <c r="CK51" s="228">
        <v>0</v>
      </c>
      <c r="CL51" s="228">
        <v>0</v>
      </c>
      <c r="CM51" s="229">
        <v>0</v>
      </c>
      <c r="CN51" s="230">
        <v>1475600</v>
      </c>
      <c r="CO51" s="230">
        <v>1249500</v>
      </c>
      <c r="CP51" s="230">
        <v>226100</v>
      </c>
      <c r="CQ51" s="229">
        <v>0.18099999999999999</v>
      </c>
      <c r="CR51" s="230">
        <v>1007250</v>
      </c>
      <c r="CS51" s="230">
        <v>822375</v>
      </c>
      <c r="CT51" s="230">
        <v>184875</v>
      </c>
      <c r="CU51" s="229">
        <v>0.2248</v>
      </c>
      <c r="CV51" s="230">
        <v>5620200</v>
      </c>
      <c r="CW51" s="230">
        <v>5239400</v>
      </c>
      <c r="CX51" s="230">
        <v>380800</v>
      </c>
      <c r="CY51" s="229">
        <v>7.2700000000000001E-2</v>
      </c>
      <c r="CZ51" s="228">
        <v>26.27</v>
      </c>
      <c r="DA51" s="228">
        <v>26.02</v>
      </c>
      <c r="DB51" s="228">
        <v>0.25</v>
      </c>
      <c r="DC51" s="228">
        <v>0.25</v>
      </c>
      <c r="DD51" s="228">
        <v>41.84</v>
      </c>
      <c r="DE51" s="228">
        <v>41.93</v>
      </c>
      <c r="DF51" s="228">
        <v>-15.57</v>
      </c>
      <c r="DG51" s="228">
        <v>-0.09</v>
      </c>
      <c r="DH51" s="228">
        <v>27.27</v>
      </c>
      <c r="DI51" s="228">
        <v>26.18</v>
      </c>
      <c r="DJ51" s="228">
        <v>1.0900000000000001</v>
      </c>
      <c r="DK51" s="228">
        <v>1.0900000000000001</v>
      </c>
      <c r="DL51" s="228">
        <v>24.96</v>
      </c>
      <c r="DM51" s="228">
        <v>25.74</v>
      </c>
      <c r="DN51" s="228">
        <v>-0.78</v>
      </c>
      <c r="DO51" s="228">
        <v>-0.78</v>
      </c>
      <c r="DP51" s="228">
        <v>0.68</v>
      </c>
      <c r="DQ51" s="228">
        <v>0.66</v>
      </c>
      <c r="DR51" s="228">
        <v>0.02</v>
      </c>
      <c r="DS51" s="229">
        <v>3.0300000000000001E-2</v>
      </c>
      <c r="DT51" s="231">
        <v>1200</v>
      </c>
      <c r="DU51" s="231">
        <v>1160</v>
      </c>
      <c r="DV51" s="228">
        <v>0.75</v>
      </c>
      <c r="DW51" s="228">
        <v>0.61</v>
      </c>
      <c r="DX51" s="228">
        <v>0.14000000000000001</v>
      </c>
      <c r="DY51" s="229">
        <v>0.22950000000000001</v>
      </c>
      <c r="DZ51" s="229">
        <v>0</v>
      </c>
      <c r="EA51" s="228">
        <v>0</v>
      </c>
      <c r="EB51" s="229">
        <v>0</v>
      </c>
      <c r="EC51" s="229">
        <v>0</v>
      </c>
      <c r="ED51" s="228">
        <v>0</v>
      </c>
      <c r="EE51" s="229">
        <v>0</v>
      </c>
      <c r="EF51" s="230">
        <v>150813</v>
      </c>
      <c r="EG51" s="230">
        <v>163587</v>
      </c>
      <c r="EH51" s="229">
        <v>-7.8100000000000003E-2</v>
      </c>
      <c r="EI51" s="229">
        <v>0.16370000000000001</v>
      </c>
      <c r="EJ51" s="231">
        <v>84601.69</v>
      </c>
      <c r="EK51" s="231">
        <v>64123.85</v>
      </c>
      <c r="EL51" s="231">
        <v>27943.73</v>
      </c>
      <c r="EM51" s="231">
        <v>1235</v>
      </c>
      <c r="EN51" s="231">
        <v>176669.27</v>
      </c>
      <c r="EO51" s="231">
        <v>15550.59</v>
      </c>
      <c r="EP51" s="231">
        <v>161118.68</v>
      </c>
      <c r="EQ51" s="229">
        <v>10.360900000000001</v>
      </c>
      <c r="ER51" s="231">
        <v>17511</v>
      </c>
      <c r="ES51" s="231">
        <v>11341</v>
      </c>
      <c r="ET51" s="231">
        <v>35838</v>
      </c>
      <c r="EU51" s="231">
        <v>12039544</v>
      </c>
      <c r="EV51" s="231">
        <v>64691</v>
      </c>
      <c r="EW51" s="231">
        <v>60649</v>
      </c>
      <c r="EX51" s="231">
        <v>4042</v>
      </c>
      <c r="EY51" s="229">
        <v>6.6600000000000006E-2</v>
      </c>
      <c r="EZ51" s="229">
        <v>0.46679999999999999</v>
      </c>
      <c r="FA51" s="227" t="s">
        <v>568</v>
      </c>
      <c r="FB51" s="161">
        <f t="shared" si="0"/>
        <v>0</v>
      </c>
    </row>
    <row r="52" spans="1:158" ht="17.25" hidden="1" thickBot="1" x14ac:dyDescent="0.3">
      <c r="A52" s="226">
        <v>46008</v>
      </c>
      <c r="B52" s="227" t="s">
        <v>168</v>
      </c>
      <c r="C52" s="227" t="s">
        <v>204</v>
      </c>
      <c r="D52" s="228">
        <v>1250</v>
      </c>
      <c r="E52" s="228">
        <v>494.5</v>
      </c>
      <c r="F52" s="228">
        <v>499.15</v>
      </c>
      <c r="G52" s="228">
        <v>-4.6500000000000004</v>
      </c>
      <c r="H52" s="229">
        <v>-9.2999999999999992E-3</v>
      </c>
      <c r="I52" s="228">
        <v>494.15</v>
      </c>
      <c r="J52" s="228">
        <v>497.2</v>
      </c>
      <c r="K52" s="228">
        <v>-3.05</v>
      </c>
      <c r="L52" s="229">
        <v>-6.1000000000000004E-3</v>
      </c>
      <c r="M52" s="228">
        <v>494.5</v>
      </c>
      <c r="N52" s="228">
        <v>499.15</v>
      </c>
      <c r="O52" s="228">
        <v>-4.6500000000000004</v>
      </c>
      <c r="P52" s="229">
        <v>-9.2999999999999992E-3</v>
      </c>
      <c r="Q52" s="228">
        <v>497.45</v>
      </c>
      <c r="R52" s="228">
        <v>502.05</v>
      </c>
      <c r="S52" s="228">
        <v>-4.5999999999999996</v>
      </c>
      <c r="T52" s="229">
        <v>-9.1999999999999998E-3</v>
      </c>
      <c r="U52" s="228">
        <v>500.75</v>
      </c>
      <c r="V52" s="228">
        <v>505.75</v>
      </c>
      <c r="W52" s="228">
        <v>-5</v>
      </c>
      <c r="X52" s="229">
        <v>-9.9000000000000008E-3</v>
      </c>
      <c r="Y52" s="228">
        <v>0.35</v>
      </c>
      <c r="Z52" s="228">
        <v>1.95</v>
      </c>
      <c r="AA52" s="228">
        <v>-1.6</v>
      </c>
      <c r="AB52" s="229">
        <v>6.9999999999999999E-4</v>
      </c>
      <c r="AC52" s="228">
        <v>0.35</v>
      </c>
      <c r="AD52" s="228">
        <v>1.95</v>
      </c>
      <c r="AE52" s="228">
        <v>-1.6</v>
      </c>
      <c r="AF52" s="229">
        <v>6.9999999999999999E-4</v>
      </c>
      <c r="AG52" s="228">
        <v>3.3</v>
      </c>
      <c r="AH52" s="228">
        <v>4.8499999999999996</v>
      </c>
      <c r="AI52" s="228">
        <v>-1.55</v>
      </c>
      <c r="AJ52" s="229">
        <v>6.7000000000000002E-3</v>
      </c>
      <c r="AK52" s="228">
        <v>6.6</v>
      </c>
      <c r="AL52" s="228">
        <v>8.5500000000000007</v>
      </c>
      <c r="AM52" s="228">
        <v>-1.95</v>
      </c>
      <c r="AN52" s="229">
        <v>1.34E-2</v>
      </c>
      <c r="AO52" s="228">
        <v>496.22</v>
      </c>
      <c r="AP52" s="228">
        <v>499.29</v>
      </c>
      <c r="AQ52" s="228">
        <v>0</v>
      </c>
      <c r="AR52" s="230">
        <v>2035000</v>
      </c>
      <c r="AS52" s="230">
        <v>3508750</v>
      </c>
      <c r="AT52" s="230">
        <v>-1473750</v>
      </c>
      <c r="AU52" s="229">
        <v>-0.42</v>
      </c>
      <c r="AV52" s="230">
        <v>1675000</v>
      </c>
      <c r="AW52" s="230">
        <v>2925000</v>
      </c>
      <c r="AX52" s="230">
        <v>-1250000</v>
      </c>
      <c r="AY52" s="229">
        <v>-0.4274</v>
      </c>
      <c r="AZ52" s="230">
        <v>343750</v>
      </c>
      <c r="BA52" s="230">
        <v>546250</v>
      </c>
      <c r="BB52" s="230">
        <v>-202500</v>
      </c>
      <c r="BC52" s="229">
        <v>-0.37069999999999997</v>
      </c>
      <c r="BD52" s="230">
        <v>16250</v>
      </c>
      <c r="BE52" s="230">
        <v>37500</v>
      </c>
      <c r="BF52" s="230">
        <v>-21250</v>
      </c>
      <c r="BG52" s="229">
        <v>-0.56669999999999998</v>
      </c>
      <c r="BH52" s="230">
        <v>7313750</v>
      </c>
      <c r="BI52" s="230">
        <v>21768750</v>
      </c>
      <c r="BJ52" s="230">
        <v>-14455000</v>
      </c>
      <c r="BK52" s="229">
        <v>-0.66400000000000003</v>
      </c>
      <c r="BL52" s="230">
        <v>2627500</v>
      </c>
      <c r="BM52" s="230">
        <v>6411250</v>
      </c>
      <c r="BN52" s="230">
        <v>-3783750</v>
      </c>
      <c r="BO52" s="229">
        <v>-0.59019999999999995</v>
      </c>
      <c r="BP52" s="230">
        <v>11976250</v>
      </c>
      <c r="BQ52" s="230">
        <v>31688750</v>
      </c>
      <c r="BR52" s="230">
        <v>-19712500</v>
      </c>
      <c r="BS52" s="229">
        <v>-0.62209999999999999</v>
      </c>
      <c r="BT52" s="230">
        <v>569561</v>
      </c>
      <c r="BU52" s="230">
        <v>1544690</v>
      </c>
      <c r="BV52" s="230">
        <v>-975129</v>
      </c>
      <c r="BW52" s="229">
        <v>-0.63129999999999997</v>
      </c>
      <c r="BX52" s="230">
        <v>19296250</v>
      </c>
      <c r="BY52" s="230">
        <v>18960000</v>
      </c>
      <c r="BZ52" s="230">
        <v>336250</v>
      </c>
      <c r="CA52" s="229">
        <v>1.77E-2</v>
      </c>
      <c r="CB52" s="230">
        <v>18082500</v>
      </c>
      <c r="CC52" s="230">
        <v>17860000</v>
      </c>
      <c r="CD52" s="230">
        <v>222500</v>
      </c>
      <c r="CE52" s="229">
        <v>1.2500000000000001E-2</v>
      </c>
      <c r="CF52" s="230">
        <v>1097500</v>
      </c>
      <c r="CG52" s="230">
        <v>992500</v>
      </c>
      <c r="CH52" s="230">
        <v>105000</v>
      </c>
      <c r="CI52" s="229">
        <v>0.10580000000000001</v>
      </c>
      <c r="CJ52" s="230">
        <v>116250</v>
      </c>
      <c r="CK52" s="230">
        <v>107500</v>
      </c>
      <c r="CL52" s="230">
        <v>8750</v>
      </c>
      <c r="CM52" s="229">
        <v>8.14E-2</v>
      </c>
      <c r="CN52" s="230">
        <v>15480000</v>
      </c>
      <c r="CO52" s="230">
        <v>14832500</v>
      </c>
      <c r="CP52" s="230">
        <v>647500</v>
      </c>
      <c r="CQ52" s="229">
        <v>4.3700000000000003E-2</v>
      </c>
      <c r="CR52" s="230">
        <v>8366250</v>
      </c>
      <c r="CS52" s="230">
        <v>7872500</v>
      </c>
      <c r="CT52" s="230">
        <v>493750</v>
      </c>
      <c r="CU52" s="229">
        <v>6.2700000000000006E-2</v>
      </c>
      <c r="CV52" s="230">
        <v>43142500</v>
      </c>
      <c r="CW52" s="230">
        <v>41665000</v>
      </c>
      <c r="CX52" s="230">
        <v>1477500</v>
      </c>
      <c r="CY52" s="229">
        <v>3.5499999999999997E-2</v>
      </c>
      <c r="CZ52" s="228">
        <v>20.47</v>
      </c>
      <c r="DA52" s="228">
        <v>19.829999999999998</v>
      </c>
      <c r="DB52" s="228">
        <v>0.64</v>
      </c>
      <c r="DC52" s="228">
        <v>0.64</v>
      </c>
      <c r="DD52" s="228">
        <v>24.64</v>
      </c>
      <c r="DE52" s="228">
        <v>24.68</v>
      </c>
      <c r="DF52" s="228">
        <v>-4.17</v>
      </c>
      <c r="DG52" s="228">
        <v>-0.04</v>
      </c>
      <c r="DH52" s="228">
        <v>20.76</v>
      </c>
      <c r="DI52" s="228">
        <v>19.809999999999999</v>
      </c>
      <c r="DJ52" s="228">
        <v>0.95</v>
      </c>
      <c r="DK52" s="228">
        <v>0.95</v>
      </c>
      <c r="DL52" s="228">
        <v>19.68</v>
      </c>
      <c r="DM52" s="228">
        <v>19.89</v>
      </c>
      <c r="DN52" s="228">
        <v>-0.21</v>
      </c>
      <c r="DO52" s="228">
        <v>-0.21</v>
      </c>
      <c r="DP52" s="228">
        <v>0.54</v>
      </c>
      <c r="DQ52" s="228">
        <v>0.53</v>
      </c>
      <c r="DR52" s="228">
        <v>0.01</v>
      </c>
      <c r="DS52" s="229">
        <v>1.89E-2</v>
      </c>
      <c r="DT52" s="228">
        <v>550</v>
      </c>
      <c r="DU52" s="228">
        <v>460</v>
      </c>
      <c r="DV52" s="228">
        <v>0.36</v>
      </c>
      <c r="DW52" s="228">
        <v>0.28999999999999998</v>
      </c>
      <c r="DX52" s="228">
        <v>7.0000000000000007E-2</v>
      </c>
      <c r="DY52" s="229">
        <v>0.2414</v>
      </c>
      <c r="DZ52" s="229">
        <v>6.2899999999999998E-2</v>
      </c>
      <c r="EA52" s="230">
        <v>1100000</v>
      </c>
      <c r="EB52" s="229">
        <v>6.0000000000000001E-3</v>
      </c>
      <c r="EC52" s="229">
        <v>6.2899999999999998E-2</v>
      </c>
      <c r="ED52" s="228">
        <v>3.07</v>
      </c>
      <c r="EE52" s="229">
        <v>6.1999999999999998E-3</v>
      </c>
      <c r="EF52" s="230">
        <v>294672</v>
      </c>
      <c r="EG52" s="230">
        <v>864964</v>
      </c>
      <c r="EH52" s="229">
        <v>-0.6593</v>
      </c>
      <c r="EI52" s="229">
        <v>0.51739999999999997</v>
      </c>
      <c r="EJ52" s="231">
        <v>37703.57</v>
      </c>
      <c r="EK52" s="231">
        <v>12836.22</v>
      </c>
      <c r="EL52" s="231">
        <v>10109.6</v>
      </c>
      <c r="EM52" s="231">
        <v>2134</v>
      </c>
      <c r="EN52" s="231">
        <v>60649.39</v>
      </c>
      <c r="EO52" s="231">
        <v>161403.23000000001</v>
      </c>
      <c r="EP52" s="231">
        <v>-100753.84</v>
      </c>
      <c r="EQ52" s="229">
        <v>-0.62419999999999998</v>
      </c>
      <c r="ER52" s="231">
        <v>82047</v>
      </c>
      <c r="ES52" s="231">
        <v>40885</v>
      </c>
      <c r="ET52" s="231">
        <v>95460</v>
      </c>
      <c r="EU52" s="231">
        <v>89873278</v>
      </c>
      <c r="EV52" s="231">
        <v>218391</v>
      </c>
      <c r="EW52" s="231">
        <v>212041</v>
      </c>
      <c r="EX52" s="231">
        <v>6350</v>
      </c>
      <c r="EY52" s="229">
        <v>2.9899999999999999E-2</v>
      </c>
      <c r="EZ52" s="229">
        <v>0.48</v>
      </c>
      <c r="FA52" s="227" t="s">
        <v>567</v>
      </c>
      <c r="FB52" s="161">
        <f t="shared" si="0"/>
        <v>1213750</v>
      </c>
    </row>
    <row r="53" spans="1:158" ht="17.25" hidden="1" thickBot="1" x14ac:dyDescent="0.3">
      <c r="A53" s="226">
        <v>46008</v>
      </c>
      <c r="B53" s="227" t="s">
        <v>157</v>
      </c>
      <c r="C53" s="227" t="s">
        <v>524</v>
      </c>
      <c r="D53" s="228">
        <v>325</v>
      </c>
      <c r="E53" s="231">
        <v>2077.6</v>
      </c>
      <c r="F53" s="231">
        <v>2070.3000000000002</v>
      </c>
      <c r="G53" s="228">
        <v>7.3</v>
      </c>
      <c r="H53" s="229">
        <v>3.5000000000000001E-3</v>
      </c>
      <c r="I53" s="231">
        <v>2073.9</v>
      </c>
      <c r="J53" s="231">
        <v>2066.5</v>
      </c>
      <c r="K53" s="228">
        <v>7.4</v>
      </c>
      <c r="L53" s="229">
        <v>3.5999999999999999E-3</v>
      </c>
      <c r="M53" s="231">
        <v>2077.6</v>
      </c>
      <c r="N53" s="231">
        <v>2070.3000000000002</v>
      </c>
      <c r="O53" s="228">
        <v>7.3</v>
      </c>
      <c r="P53" s="229">
        <v>3.5000000000000001E-3</v>
      </c>
      <c r="Q53" s="231">
        <v>2091.1999999999998</v>
      </c>
      <c r="R53" s="231">
        <v>2082.6</v>
      </c>
      <c r="S53" s="228">
        <v>8.6</v>
      </c>
      <c r="T53" s="229">
        <v>4.1000000000000003E-3</v>
      </c>
      <c r="U53" s="231">
        <v>2090</v>
      </c>
      <c r="V53" s="231">
        <v>2090</v>
      </c>
      <c r="W53" s="228">
        <v>0</v>
      </c>
      <c r="X53" s="229">
        <v>0</v>
      </c>
      <c r="Y53" s="228">
        <v>3.7</v>
      </c>
      <c r="Z53" s="228">
        <v>3.8</v>
      </c>
      <c r="AA53" s="228">
        <v>-0.1</v>
      </c>
      <c r="AB53" s="229">
        <v>1.8E-3</v>
      </c>
      <c r="AC53" s="228">
        <v>3.7</v>
      </c>
      <c r="AD53" s="228">
        <v>3.8</v>
      </c>
      <c r="AE53" s="228">
        <v>-0.1</v>
      </c>
      <c r="AF53" s="229">
        <v>1.8E-3</v>
      </c>
      <c r="AG53" s="228">
        <v>17.3</v>
      </c>
      <c r="AH53" s="228">
        <v>16.100000000000001</v>
      </c>
      <c r="AI53" s="228">
        <v>1.2</v>
      </c>
      <c r="AJ53" s="229">
        <v>8.3000000000000001E-3</v>
      </c>
      <c r="AK53" s="228">
        <v>16.100000000000001</v>
      </c>
      <c r="AL53" s="228">
        <v>23.5</v>
      </c>
      <c r="AM53" s="228">
        <v>-7.4</v>
      </c>
      <c r="AN53" s="229">
        <v>7.7999999999999996E-3</v>
      </c>
      <c r="AO53" s="231">
        <v>2070.33</v>
      </c>
      <c r="AP53" s="231">
        <v>2083.42</v>
      </c>
      <c r="AQ53" s="228">
        <v>0</v>
      </c>
      <c r="AR53" s="230">
        <v>610350</v>
      </c>
      <c r="AS53" s="230">
        <v>650000</v>
      </c>
      <c r="AT53" s="230">
        <v>-39650</v>
      </c>
      <c r="AU53" s="229">
        <v>-6.0999999999999999E-2</v>
      </c>
      <c r="AV53" s="230">
        <v>427700</v>
      </c>
      <c r="AW53" s="230">
        <v>553150</v>
      </c>
      <c r="AX53" s="230">
        <v>-125450</v>
      </c>
      <c r="AY53" s="229">
        <v>-0.2268</v>
      </c>
      <c r="AZ53" s="230">
        <v>182650</v>
      </c>
      <c r="BA53" s="230">
        <v>95875</v>
      </c>
      <c r="BB53" s="230">
        <v>86775</v>
      </c>
      <c r="BC53" s="229">
        <v>0.90510000000000002</v>
      </c>
      <c r="BD53" s="228">
        <v>0</v>
      </c>
      <c r="BE53" s="228">
        <v>975</v>
      </c>
      <c r="BF53" s="228">
        <v>-975</v>
      </c>
      <c r="BG53" s="229">
        <v>-1</v>
      </c>
      <c r="BH53" s="230">
        <v>1201850</v>
      </c>
      <c r="BI53" s="230">
        <v>1415050</v>
      </c>
      <c r="BJ53" s="230">
        <v>-213200</v>
      </c>
      <c r="BK53" s="229">
        <v>-0.1507</v>
      </c>
      <c r="BL53" s="230">
        <v>478075</v>
      </c>
      <c r="BM53" s="230">
        <v>901550</v>
      </c>
      <c r="BN53" s="230">
        <v>-423475</v>
      </c>
      <c r="BO53" s="229">
        <v>-0.46970000000000001</v>
      </c>
      <c r="BP53" s="230">
        <v>2290275</v>
      </c>
      <c r="BQ53" s="230">
        <v>2966600</v>
      </c>
      <c r="BR53" s="230">
        <v>-676325</v>
      </c>
      <c r="BS53" s="229">
        <v>-0.22800000000000001</v>
      </c>
      <c r="BT53" s="230">
        <v>144195</v>
      </c>
      <c r="BU53" s="230">
        <v>266119</v>
      </c>
      <c r="BV53" s="230">
        <v>-121924</v>
      </c>
      <c r="BW53" s="229">
        <v>-0.4582</v>
      </c>
      <c r="BX53" s="230">
        <v>2441725</v>
      </c>
      <c r="BY53" s="230">
        <v>2349425</v>
      </c>
      <c r="BZ53" s="230">
        <v>92300</v>
      </c>
      <c r="CA53" s="229">
        <v>3.9300000000000002E-2</v>
      </c>
      <c r="CB53" s="230">
        <v>2205450</v>
      </c>
      <c r="CC53" s="230">
        <v>2217150</v>
      </c>
      <c r="CD53" s="230">
        <v>-11700</v>
      </c>
      <c r="CE53" s="229">
        <v>-5.3E-3</v>
      </c>
      <c r="CF53" s="230">
        <v>227500</v>
      </c>
      <c r="CG53" s="230">
        <v>123500</v>
      </c>
      <c r="CH53" s="230">
        <v>104000</v>
      </c>
      <c r="CI53" s="229">
        <v>0.84209999999999996</v>
      </c>
      <c r="CJ53" s="230">
        <v>8775</v>
      </c>
      <c r="CK53" s="230">
        <v>8775</v>
      </c>
      <c r="CL53" s="228">
        <v>0</v>
      </c>
      <c r="CM53" s="229">
        <v>0</v>
      </c>
      <c r="CN53" s="230">
        <v>1326325</v>
      </c>
      <c r="CO53" s="230">
        <v>1287000</v>
      </c>
      <c r="CP53" s="230">
        <v>39325</v>
      </c>
      <c r="CQ53" s="229">
        <v>3.0599999999999999E-2</v>
      </c>
      <c r="CR53" s="230">
        <v>1003925</v>
      </c>
      <c r="CS53" s="230">
        <v>1005550</v>
      </c>
      <c r="CT53" s="230">
        <v>-1625</v>
      </c>
      <c r="CU53" s="229">
        <v>-1.6000000000000001E-3</v>
      </c>
      <c r="CV53" s="230">
        <v>4771975</v>
      </c>
      <c r="CW53" s="230">
        <v>4641975</v>
      </c>
      <c r="CX53" s="230">
        <v>130000</v>
      </c>
      <c r="CY53" s="229">
        <v>2.8000000000000001E-2</v>
      </c>
      <c r="CZ53" s="228">
        <v>21.57</v>
      </c>
      <c r="DA53" s="228">
        <v>22.53</v>
      </c>
      <c r="DB53" s="228">
        <v>-0.96</v>
      </c>
      <c r="DC53" s="228">
        <v>-0.96</v>
      </c>
      <c r="DD53" s="228">
        <v>29.08</v>
      </c>
      <c r="DE53" s="228">
        <v>29.15</v>
      </c>
      <c r="DF53" s="228">
        <v>-7.51</v>
      </c>
      <c r="DG53" s="228">
        <v>-7.0000000000000007E-2</v>
      </c>
      <c r="DH53" s="228">
        <v>21.42</v>
      </c>
      <c r="DI53" s="228">
        <v>23.35</v>
      </c>
      <c r="DJ53" s="228">
        <v>-1.93</v>
      </c>
      <c r="DK53" s="228">
        <v>-1.93</v>
      </c>
      <c r="DL53" s="228">
        <v>21.95</v>
      </c>
      <c r="DM53" s="228">
        <v>21.24</v>
      </c>
      <c r="DN53" s="228">
        <v>0.71</v>
      </c>
      <c r="DO53" s="228">
        <v>0.71</v>
      </c>
      <c r="DP53" s="228">
        <v>0.76</v>
      </c>
      <c r="DQ53" s="228">
        <v>0.78</v>
      </c>
      <c r="DR53" s="228">
        <v>-0.02</v>
      </c>
      <c r="DS53" s="229">
        <v>-2.5600000000000001E-2</v>
      </c>
      <c r="DT53" s="231">
        <v>2200</v>
      </c>
      <c r="DU53" s="231">
        <v>2000</v>
      </c>
      <c r="DV53" s="228">
        <v>0.4</v>
      </c>
      <c r="DW53" s="228">
        <v>0.64</v>
      </c>
      <c r="DX53" s="228">
        <v>-0.24</v>
      </c>
      <c r="DY53" s="229">
        <v>-0.375</v>
      </c>
      <c r="DZ53" s="229">
        <v>9.6799999999999997E-2</v>
      </c>
      <c r="EA53" s="230">
        <v>132275</v>
      </c>
      <c r="EB53" s="229">
        <v>6.4999999999999997E-3</v>
      </c>
      <c r="EC53" s="229">
        <v>9.6799999999999997E-2</v>
      </c>
      <c r="ED53" s="228">
        <v>13.09</v>
      </c>
      <c r="EE53" s="229">
        <v>6.3E-3</v>
      </c>
      <c r="EF53" s="230">
        <v>67189</v>
      </c>
      <c r="EG53" s="230">
        <v>173603</v>
      </c>
      <c r="EH53" s="229">
        <v>-0.61299999999999999</v>
      </c>
      <c r="EI53" s="229">
        <v>0.46600000000000003</v>
      </c>
      <c r="EJ53" s="231">
        <v>25669.14</v>
      </c>
      <c r="EK53" s="231">
        <v>9649.2900000000009</v>
      </c>
      <c r="EL53" s="231">
        <v>12660.18</v>
      </c>
      <c r="EM53" s="231">
        <v>2690</v>
      </c>
      <c r="EN53" s="231">
        <v>47978.61</v>
      </c>
      <c r="EO53" s="231">
        <v>62878.89</v>
      </c>
      <c r="EP53" s="231">
        <v>-14900.28</v>
      </c>
      <c r="EQ53" s="229">
        <v>-0.23699999999999999</v>
      </c>
      <c r="ER53" s="231">
        <v>28515</v>
      </c>
      <c r="ES53" s="231">
        <v>19901</v>
      </c>
      <c r="ET53" s="231">
        <v>50761</v>
      </c>
      <c r="EU53" s="231">
        <v>12425041</v>
      </c>
      <c r="EV53" s="231">
        <v>99177</v>
      </c>
      <c r="EW53" s="231">
        <v>96239</v>
      </c>
      <c r="EX53" s="231">
        <v>2938</v>
      </c>
      <c r="EY53" s="229">
        <v>3.0499999999999999E-2</v>
      </c>
      <c r="EZ53" s="229">
        <v>0.3841</v>
      </c>
      <c r="FA53" s="227" t="s">
        <v>555</v>
      </c>
      <c r="FB53" s="161">
        <f t="shared" si="0"/>
        <v>236275</v>
      </c>
    </row>
    <row r="54" spans="1:158" ht="17.25" hidden="1" thickBot="1" x14ac:dyDescent="0.3">
      <c r="A54" s="226">
        <v>46008</v>
      </c>
      <c r="B54" s="227" t="s">
        <v>615</v>
      </c>
      <c r="C54" s="227" t="s">
        <v>600</v>
      </c>
      <c r="D54" s="228">
        <v>2075</v>
      </c>
      <c r="E54" s="228">
        <v>400.3</v>
      </c>
      <c r="F54" s="228">
        <v>402.95</v>
      </c>
      <c r="G54" s="228">
        <v>-2.65</v>
      </c>
      <c r="H54" s="229">
        <v>-6.6E-3</v>
      </c>
      <c r="I54" s="228">
        <v>399.8</v>
      </c>
      <c r="J54" s="228">
        <v>401.8</v>
      </c>
      <c r="K54" s="228">
        <v>-2</v>
      </c>
      <c r="L54" s="229">
        <v>-5.0000000000000001E-3</v>
      </c>
      <c r="M54" s="228">
        <v>400.3</v>
      </c>
      <c r="N54" s="228">
        <v>402.95</v>
      </c>
      <c r="O54" s="228">
        <v>-2.65</v>
      </c>
      <c r="P54" s="229">
        <v>-6.6E-3</v>
      </c>
      <c r="Q54" s="228">
        <v>402.75</v>
      </c>
      <c r="R54" s="228">
        <v>405.55</v>
      </c>
      <c r="S54" s="228">
        <v>-2.8</v>
      </c>
      <c r="T54" s="229">
        <v>-6.8999999999999999E-3</v>
      </c>
      <c r="U54" s="228">
        <v>406</v>
      </c>
      <c r="V54" s="228">
        <v>406.6</v>
      </c>
      <c r="W54" s="228">
        <v>-0.6</v>
      </c>
      <c r="X54" s="229">
        <v>-1.5E-3</v>
      </c>
      <c r="Y54" s="228">
        <v>0.5</v>
      </c>
      <c r="Z54" s="228">
        <v>1.1499999999999999</v>
      </c>
      <c r="AA54" s="228">
        <v>-0.65</v>
      </c>
      <c r="AB54" s="229">
        <v>1.2999999999999999E-3</v>
      </c>
      <c r="AC54" s="228">
        <v>0.5</v>
      </c>
      <c r="AD54" s="228">
        <v>1.1499999999999999</v>
      </c>
      <c r="AE54" s="228">
        <v>-0.65</v>
      </c>
      <c r="AF54" s="229">
        <v>1.2999999999999999E-3</v>
      </c>
      <c r="AG54" s="228">
        <v>2.95</v>
      </c>
      <c r="AH54" s="228">
        <v>3.75</v>
      </c>
      <c r="AI54" s="228">
        <v>-0.8</v>
      </c>
      <c r="AJ54" s="229">
        <v>7.4000000000000003E-3</v>
      </c>
      <c r="AK54" s="228">
        <v>6.2</v>
      </c>
      <c r="AL54" s="228">
        <v>4.8</v>
      </c>
      <c r="AM54" s="228">
        <v>1.4</v>
      </c>
      <c r="AN54" s="229">
        <v>1.55E-2</v>
      </c>
      <c r="AO54" s="228">
        <v>400.72</v>
      </c>
      <c r="AP54" s="228">
        <v>403.48</v>
      </c>
      <c r="AQ54" s="228">
        <v>0</v>
      </c>
      <c r="AR54" s="230">
        <v>2365500</v>
      </c>
      <c r="AS54" s="230">
        <v>3064775</v>
      </c>
      <c r="AT54" s="230">
        <v>-699275</v>
      </c>
      <c r="AU54" s="229">
        <v>-0.22819999999999999</v>
      </c>
      <c r="AV54" s="230">
        <v>1923525</v>
      </c>
      <c r="AW54" s="230">
        <v>2583375</v>
      </c>
      <c r="AX54" s="230">
        <v>-659850</v>
      </c>
      <c r="AY54" s="229">
        <v>-0.25540000000000002</v>
      </c>
      <c r="AZ54" s="230">
        <v>429525</v>
      </c>
      <c r="BA54" s="230">
        <v>464800</v>
      </c>
      <c r="BB54" s="230">
        <v>-35275</v>
      </c>
      <c r="BC54" s="229">
        <v>-7.5899999999999995E-2</v>
      </c>
      <c r="BD54" s="230">
        <v>12450</v>
      </c>
      <c r="BE54" s="230">
        <v>16600</v>
      </c>
      <c r="BF54" s="230">
        <v>-4150</v>
      </c>
      <c r="BG54" s="229">
        <v>-0.25</v>
      </c>
      <c r="BH54" s="230">
        <v>7237600</v>
      </c>
      <c r="BI54" s="230">
        <v>9625925</v>
      </c>
      <c r="BJ54" s="230">
        <v>-2388325</v>
      </c>
      <c r="BK54" s="229">
        <v>-0.24809999999999999</v>
      </c>
      <c r="BL54" s="230">
        <v>3606350</v>
      </c>
      <c r="BM54" s="230">
        <v>4583675</v>
      </c>
      <c r="BN54" s="230">
        <v>-977325</v>
      </c>
      <c r="BO54" s="229">
        <v>-0.2132</v>
      </c>
      <c r="BP54" s="230">
        <v>13209450</v>
      </c>
      <c r="BQ54" s="230">
        <v>17274375</v>
      </c>
      <c r="BR54" s="230">
        <v>-4064925</v>
      </c>
      <c r="BS54" s="229">
        <v>-0.23530000000000001</v>
      </c>
      <c r="BT54" s="230">
        <v>1173511</v>
      </c>
      <c r="BU54" s="230">
        <v>1605183</v>
      </c>
      <c r="BV54" s="230">
        <v>-431672</v>
      </c>
      <c r="BW54" s="229">
        <v>-0.26889999999999997</v>
      </c>
      <c r="BX54" s="230">
        <v>16450600</v>
      </c>
      <c r="BY54" s="230">
        <v>16185000</v>
      </c>
      <c r="BZ54" s="230">
        <v>265600</v>
      </c>
      <c r="CA54" s="229">
        <v>1.6400000000000001E-2</v>
      </c>
      <c r="CB54" s="230">
        <v>15386125</v>
      </c>
      <c r="CC54" s="230">
        <v>15195225</v>
      </c>
      <c r="CD54" s="230">
        <v>190900</v>
      </c>
      <c r="CE54" s="229">
        <v>1.26E-2</v>
      </c>
      <c r="CF54" s="230">
        <v>964875</v>
      </c>
      <c r="CG54" s="230">
        <v>892250</v>
      </c>
      <c r="CH54" s="230">
        <v>72625</v>
      </c>
      <c r="CI54" s="229">
        <v>8.14E-2</v>
      </c>
      <c r="CJ54" s="230">
        <v>99600</v>
      </c>
      <c r="CK54" s="230">
        <v>97525</v>
      </c>
      <c r="CL54" s="230">
        <v>2075</v>
      </c>
      <c r="CM54" s="229">
        <v>2.1299999999999999E-2</v>
      </c>
      <c r="CN54" s="230">
        <v>13804975</v>
      </c>
      <c r="CO54" s="230">
        <v>13576725</v>
      </c>
      <c r="CP54" s="230">
        <v>228250</v>
      </c>
      <c r="CQ54" s="229">
        <v>1.6799999999999999E-2</v>
      </c>
      <c r="CR54" s="230">
        <v>8966075</v>
      </c>
      <c r="CS54" s="230">
        <v>8727450</v>
      </c>
      <c r="CT54" s="230">
        <v>238625</v>
      </c>
      <c r="CU54" s="229">
        <v>2.7300000000000001E-2</v>
      </c>
      <c r="CV54" s="230">
        <v>39221650</v>
      </c>
      <c r="CW54" s="230">
        <v>38489175</v>
      </c>
      <c r="CX54" s="230">
        <v>732475</v>
      </c>
      <c r="CY54" s="229">
        <v>1.9E-2</v>
      </c>
      <c r="CZ54" s="228">
        <v>28.08</v>
      </c>
      <c r="DA54" s="228">
        <v>28.78</v>
      </c>
      <c r="DB54" s="228">
        <v>-0.7</v>
      </c>
      <c r="DC54" s="228">
        <v>-0.7</v>
      </c>
      <c r="DD54" s="228">
        <v>41.02</v>
      </c>
      <c r="DE54" s="228">
        <v>41.11</v>
      </c>
      <c r="DF54" s="228">
        <v>-12.94</v>
      </c>
      <c r="DG54" s="228">
        <v>-0.09</v>
      </c>
      <c r="DH54" s="228">
        <v>28.65</v>
      </c>
      <c r="DI54" s="228">
        <v>29.01</v>
      </c>
      <c r="DJ54" s="228">
        <v>-0.36</v>
      </c>
      <c r="DK54" s="228">
        <v>-0.36</v>
      </c>
      <c r="DL54" s="228">
        <v>26.94</v>
      </c>
      <c r="DM54" s="228">
        <v>28.29</v>
      </c>
      <c r="DN54" s="228">
        <v>-1.35</v>
      </c>
      <c r="DO54" s="228">
        <v>-1.35</v>
      </c>
      <c r="DP54" s="228">
        <v>0.65</v>
      </c>
      <c r="DQ54" s="228">
        <v>0.64</v>
      </c>
      <c r="DR54" s="228">
        <v>0.01</v>
      </c>
      <c r="DS54" s="229">
        <v>1.5599999999999999E-2</v>
      </c>
      <c r="DT54" s="228">
        <v>430</v>
      </c>
      <c r="DU54" s="228">
        <v>380</v>
      </c>
      <c r="DV54" s="228">
        <v>0.5</v>
      </c>
      <c r="DW54" s="228">
        <v>0.48</v>
      </c>
      <c r="DX54" s="228">
        <v>0.02</v>
      </c>
      <c r="DY54" s="229">
        <v>4.1700000000000001E-2</v>
      </c>
      <c r="DZ54" s="229">
        <v>6.4699999999999994E-2</v>
      </c>
      <c r="EA54" s="230">
        <v>989775</v>
      </c>
      <c r="EB54" s="229">
        <v>6.1000000000000004E-3</v>
      </c>
      <c r="EC54" s="229">
        <v>6.4699999999999994E-2</v>
      </c>
      <c r="ED54" s="228">
        <v>2.76</v>
      </c>
      <c r="EE54" s="229">
        <v>6.8999999999999999E-3</v>
      </c>
      <c r="EF54" s="230">
        <v>653606</v>
      </c>
      <c r="EG54" s="230">
        <v>815897</v>
      </c>
      <c r="EH54" s="229">
        <v>-0.19889999999999999</v>
      </c>
      <c r="EI54" s="229">
        <v>0.55700000000000005</v>
      </c>
      <c r="EJ54" s="231">
        <v>30676.43</v>
      </c>
      <c r="EK54" s="231">
        <v>14260</v>
      </c>
      <c r="EL54" s="231">
        <v>9491.5</v>
      </c>
      <c r="EM54" s="231">
        <v>1488</v>
      </c>
      <c r="EN54" s="231">
        <v>54427.93</v>
      </c>
      <c r="EO54" s="231">
        <v>71850.11</v>
      </c>
      <c r="EP54" s="231">
        <v>-17422.18</v>
      </c>
      <c r="EQ54" s="229">
        <v>-0.24249999999999999</v>
      </c>
      <c r="ER54" s="231">
        <v>60676</v>
      </c>
      <c r="ES54" s="231">
        <v>35733</v>
      </c>
      <c r="ET54" s="231">
        <v>65881</v>
      </c>
      <c r="EU54" s="231">
        <v>94196226</v>
      </c>
      <c r="EV54" s="231">
        <v>162290</v>
      </c>
      <c r="EW54" s="231">
        <v>160079</v>
      </c>
      <c r="EX54" s="231">
        <v>2211</v>
      </c>
      <c r="EY54" s="229">
        <v>1.38E-2</v>
      </c>
      <c r="EZ54" s="229">
        <v>0.41639999999999999</v>
      </c>
      <c r="FA54" s="227" t="s">
        <v>567</v>
      </c>
      <c r="FB54" s="161">
        <f t="shared" si="0"/>
        <v>1064475</v>
      </c>
    </row>
    <row r="55" spans="1:158" ht="17.25" hidden="1" thickBot="1" x14ac:dyDescent="0.3">
      <c r="A55" s="226">
        <v>46008</v>
      </c>
      <c r="B55" s="227" t="s">
        <v>170</v>
      </c>
      <c r="C55" s="227" t="s">
        <v>205</v>
      </c>
      <c r="D55" s="228">
        <v>100</v>
      </c>
      <c r="E55" s="231">
        <v>6299.5</v>
      </c>
      <c r="F55" s="231">
        <v>6343</v>
      </c>
      <c r="G55" s="228">
        <v>-43.5</v>
      </c>
      <c r="H55" s="229">
        <v>-6.8999999999999999E-3</v>
      </c>
      <c r="I55" s="231">
        <v>6293</v>
      </c>
      <c r="J55" s="231">
        <v>6335.5</v>
      </c>
      <c r="K55" s="228">
        <v>-42.5</v>
      </c>
      <c r="L55" s="229">
        <v>-6.7000000000000002E-3</v>
      </c>
      <c r="M55" s="231">
        <v>6299.5</v>
      </c>
      <c r="N55" s="231">
        <v>6343</v>
      </c>
      <c r="O55" s="228">
        <v>-43.5</v>
      </c>
      <c r="P55" s="229">
        <v>-6.8999999999999999E-3</v>
      </c>
      <c r="Q55" s="231">
        <v>6339</v>
      </c>
      <c r="R55" s="231">
        <v>6375.5</v>
      </c>
      <c r="S55" s="228">
        <v>-36.5</v>
      </c>
      <c r="T55" s="229">
        <v>-5.7000000000000002E-3</v>
      </c>
      <c r="U55" s="231">
        <v>6377</v>
      </c>
      <c r="V55" s="231">
        <v>6380</v>
      </c>
      <c r="W55" s="228">
        <v>-3</v>
      </c>
      <c r="X55" s="229">
        <v>-5.0000000000000001E-4</v>
      </c>
      <c r="Y55" s="228">
        <v>6.5</v>
      </c>
      <c r="Z55" s="228">
        <v>7.5</v>
      </c>
      <c r="AA55" s="228">
        <v>-1</v>
      </c>
      <c r="AB55" s="229">
        <v>1E-3</v>
      </c>
      <c r="AC55" s="228">
        <v>6.5</v>
      </c>
      <c r="AD55" s="228">
        <v>7.5</v>
      </c>
      <c r="AE55" s="228">
        <v>-1</v>
      </c>
      <c r="AF55" s="229">
        <v>1E-3</v>
      </c>
      <c r="AG55" s="228">
        <v>46</v>
      </c>
      <c r="AH55" s="228">
        <v>40</v>
      </c>
      <c r="AI55" s="228">
        <v>6</v>
      </c>
      <c r="AJ55" s="229">
        <v>7.3000000000000001E-3</v>
      </c>
      <c r="AK55" s="228">
        <v>84</v>
      </c>
      <c r="AL55" s="228">
        <v>44.5</v>
      </c>
      <c r="AM55" s="228">
        <v>39.5</v>
      </c>
      <c r="AN55" s="229">
        <v>1.3299999999999999E-2</v>
      </c>
      <c r="AO55" s="231">
        <v>6329.1</v>
      </c>
      <c r="AP55" s="231">
        <v>6355.04</v>
      </c>
      <c r="AQ55" s="228">
        <v>0</v>
      </c>
      <c r="AR55" s="230">
        <v>172300</v>
      </c>
      <c r="AS55" s="230">
        <v>240300</v>
      </c>
      <c r="AT55" s="230">
        <v>-68000</v>
      </c>
      <c r="AU55" s="229">
        <v>-0.28299999999999997</v>
      </c>
      <c r="AV55" s="230">
        <v>145400</v>
      </c>
      <c r="AW55" s="230">
        <v>225400</v>
      </c>
      <c r="AX55" s="230">
        <v>-80000</v>
      </c>
      <c r="AY55" s="229">
        <v>-0.35489999999999999</v>
      </c>
      <c r="AZ55" s="230">
        <v>26200</v>
      </c>
      <c r="BA55" s="230">
        <v>13800</v>
      </c>
      <c r="BB55" s="230">
        <v>12400</v>
      </c>
      <c r="BC55" s="229">
        <v>0.89859999999999995</v>
      </c>
      <c r="BD55" s="228">
        <v>700</v>
      </c>
      <c r="BE55" s="230">
        <v>1100</v>
      </c>
      <c r="BF55" s="228">
        <v>-400</v>
      </c>
      <c r="BG55" s="229">
        <v>-0.36359999999999998</v>
      </c>
      <c r="BH55" s="230">
        <v>529500</v>
      </c>
      <c r="BI55" s="230">
        <v>489600</v>
      </c>
      <c r="BJ55" s="230">
        <v>39900</v>
      </c>
      <c r="BK55" s="229">
        <v>8.1500000000000003E-2</v>
      </c>
      <c r="BL55" s="230">
        <v>236000</v>
      </c>
      <c r="BM55" s="230">
        <v>246600</v>
      </c>
      <c r="BN55" s="230">
        <v>-10600</v>
      </c>
      <c r="BO55" s="229">
        <v>-4.2999999999999997E-2</v>
      </c>
      <c r="BP55" s="230">
        <v>937800</v>
      </c>
      <c r="BQ55" s="230">
        <v>976500</v>
      </c>
      <c r="BR55" s="230">
        <v>-38700</v>
      </c>
      <c r="BS55" s="229">
        <v>-3.9600000000000003E-2</v>
      </c>
      <c r="BT55" s="230">
        <v>198427</v>
      </c>
      <c r="BU55" s="230">
        <v>177454</v>
      </c>
      <c r="BV55" s="230">
        <v>20973</v>
      </c>
      <c r="BW55" s="229">
        <v>0.1182</v>
      </c>
      <c r="BX55" s="230">
        <v>3031200</v>
      </c>
      <c r="BY55" s="230">
        <v>3008500</v>
      </c>
      <c r="BZ55" s="230">
        <v>22700</v>
      </c>
      <c r="CA55" s="229">
        <v>7.4999999999999997E-3</v>
      </c>
      <c r="CB55" s="230">
        <v>2929800</v>
      </c>
      <c r="CC55" s="230">
        <v>2924200</v>
      </c>
      <c r="CD55" s="230">
        <v>5600</v>
      </c>
      <c r="CE55" s="229">
        <v>1.9E-3</v>
      </c>
      <c r="CF55" s="230">
        <v>95900</v>
      </c>
      <c r="CG55" s="230">
        <v>78900</v>
      </c>
      <c r="CH55" s="230">
        <v>17000</v>
      </c>
      <c r="CI55" s="229">
        <v>0.2155</v>
      </c>
      <c r="CJ55" s="230">
        <v>5500</v>
      </c>
      <c r="CK55" s="230">
        <v>5400</v>
      </c>
      <c r="CL55" s="228">
        <v>100</v>
      </c>
      <c r="CM55" s="229">
        <v>1.8499999999999999E-2</v>
      </c>
      <c r="CN55" s="230">
        <v>954400</v>
      </c>
      <c r="CO55" s="230">
        <v>917700</v>
      </c>
      <c r="CP55" s="230">
        <v>36700</v>
      </c>
      <c r="CQ55" s="229">
        <v>0.04</v>
      </c>
      <c r="CR55" s="230">
        <v>672100</v>
      </c>
      <c r="CS55" s="230">
        <v>667500</v>
      </c>
      <c r="CT55" s="230">
        <v>4600</v>
      </c>
      <c r="CU55" s="229">
        <v>6.8999999999999999E-3</v>
      </c>
      <c r="CV55" s="230">
        <v>4657700</v>
      </c>
      <c r="CW55" s="230">
        <v>4593700</v>
      </c>
      <c r="CX55" s="230">
        <v>64000</v>
      </c>
      <c r="CY55" s="229">
        <v>1.3899999999999999E-2</v>
      </c>
      <c r="CZ55" s="228">
        <v>20.46</v>
      </c>
      <c r="DA55" s="228">
        <v>21.38</v>
      </c>
      <c r="DB55" s="228">
        <v>-0.92</v>
      </c>
      <c r="DC55" s="228">
        <v>-0.92</v>
      </c>
      <c r="DD55" s="228">
        <v>30.39</v>
      </c>
      <c r="DE55" s="228">
        <v>30.46</v>
      </c>
      <c r="DF55" s="228">
        <v>-9.93</v>
      </c>
      <c r="DG55" s="228">
        <v>-7.0000000000000007E-2</v>
      </c>
      <c r="DH55" s="228">
        <v>20.97</v>
      </c>
      <c r="DI55" s="228">
        <v>21.84</v>
      </c>
      <c r="DJ55" s="228">
        <v>-0.87</v>
      </c>
      <c r="DK55" s="228">
        <v>-0.87</v>
      </c>
      <c r="DL55" s="228">
        <v>19.32</v>
      </c>
      <c r="DM55" s="228">
        <v>20.48</v>
      </c>
      <c r="DN55" s="228">
        <v>-1.1599999999999999</v>
      </c>
      <c r="DO55" s="228">
        <v>-1.1599999999999999</v>
      </c>
      <c r="DP55" s="228">
        <v>0.7</v>
      </c>
      <c r="DQ55" s="228">
        <v>0.73</v>
      </c>
      <c r="DR55" s="228">
        <v>-0.03</v>
      </c>
      <c r="DS55" s="229">
        <v>-4.1099999999999998E-2</v>
      </c>
      <c r="DT55" s="231">
        <v>6500</v>
      </c>
      <c r="DU55" s="231">
        <v>5800</v>
      </c>
      <c r="DV55" s="228">
        <v>0.45</v>
      </c>
      <c r="DW55" s="228">
        <v>0.5</v>
      </c>
      <c r="DX55" s="228">
        <v>-0.05</v>
      </c>
      <c r="DY55" s="229">
        <v>-0.1</v>
      </c>
      <c r="DZ55" s="229">
        <v>3.3500000000000002E-2</v>
      </c>
      <c r="EA55" s="230">
        <v>84300</v>
      </c>
      <c r="EB55" s="229">
        <v>6.3E-3</v>
      </c>
      <c r="EC55" s="229">
        <v>3.3500000000000002E-2</v>
      </c>
      <c r="ED55" s="228">
        <v>25.94</v>
      </c>
      <c r="EE55" s="229">
        <v>4.1000000000000003E-3</v>
      </c>
      <c r="EF55" s="230">
        <v>133845</v>
      </c>
      <c r="EG55" s="230">
        <v>127081</v>
      </c>
      <c r="EH55" s="229">
        <v>5.3199999999999997E-2</v>
      </c>
      <c r="EI55" s="229">
        <v>0.67449999999999999</v>
      </c>
      <c r="EJ55" s="231">
        <v>34643.660000000003</v>
      </c>
      <c r="EK55" s="231">
        <v>14918.57</v>
      </c>
      <c r="EL55" s="231">
        <v>10912.24</v>
      </c>
      <c r="EM55" s="231">
        <v>3029</v>
      </c>
      <c r="EN55" s="231">
        <v>60474.47</v>
      </c>
      <c r="EO55" s="231">
        <v>63083</v>
      </c>
      <c r="EP55" s="231">
        <v>-2608.5300000000002</v>
      </c>
      <c r="EQ55" s="229">
        <v>-4.1399999999999999E-2</v>
      </c>
      <c r="ER55" s="231">
        <v>64178</v>
      </c>
      <c r="ES55" s="231">
        <v>41425</v>
      </c>
      <c r="ET55" s="231">
        <v>190993</v>
      </c>
      <c r="EU55" s="231">
        <v>16353614</v>
      </c>
      <c r="EV55" s="231">
        <v>296595</v>
      </c>
      <c r="EW55" s="231">
        <v>293829</v>
      </c>
      <c r="EX55" s="231">
        <v>2766</v>
      </c>
      <c r="EY55" s="229">
        <v>9.4000000000000004E-3</v>
      </c>
      <c r="EZ55" s="229">
        <v>0.2848</v>
      </c>
      <c r="FA55" s="227" t="s">
        <v>567</v>
      </c>
      <c r="FB55" s="161">
        <f t="shared" si="0"/>
        <v>101400</v>
      </c>
    </row>
    <row r="56" spans="1:158" ht="17.25" hidden="1" thickBot="1" x14ac:dyDescent="0.3">
      <c r="A56" s="226">
        <v>46008</v>
      </c>
      <c r="B56" s="227" t="s">
        <v>184</v>
      </c>
      <c r="C56" s="227" t="s">
        <v>512</v>
      </c>
      <c r="D56" s="228">
        <v>50</v>
      </c>
      <c r="E56" s="231">
        <v>13263</v>
      </c>
      <c r="F56" s="231">
        <v>13633</v>
      </c>
      <c r="G56" s="228">
        <v>-370</v>
      </c>
      <c r="H56" s="229">
        <v>-2.7099999999999999E-2</v>
      </c>
      <c r="I56" s="231">
        <v>13274</v>
      </c>
      <c r="J56" s="231">
        <v>13628</v>
      </c>
      <c r="K56" s="228">
        <v>-354</v>
      </c>
      <c r="L56" s="229">
        <v>-2.5999999999999999E-2</v>
      </c>
      <c r="M56" s="231">
        <v>13263</v>
      </c>
      <c r="N56" s="231">
        <v>13633</v>
      </c>
      <c r="O56" s="228">
        <v>-370</v>
      </c>
      <c r="P56" s="229">
        <v>-2.7099999999999999E-2</v>
      </c>
      <c r="Q56" s="231">
        <v>13342</v>
      </c>
      <c r="R56" s="231">
        <v>13698</v>
      </c>
      <c r="S56" s="228">
        <v>-356</v>
      </c>
      <c r="T56" s="229">
        <v>-2.5999999999999999E-2</v>
      </c>
      <c r="U56" s="231">
        <v>13434</v>
      </c>
      <c r="V56" s="231">
        <v>13778</v>
      </c>
      <c r="W56" s="228">
        <v>-344</v>
      </c>
      <c r="X56" s="229">
        <v>-2.5000000000000001E-2</v>
      </c>
      <c r="Y56" s="228">
        <v>-11</v>
      </c>
      <c r="Z56" s="228">
        <v>5</v>
      </c>
      <c r="AA56" s="228">
        <v>-16</v>
      </c>
      <c r="AB56" s="229">
        <v>-8.0000000000000004E-4</v>
      </c>
      <c r="AC56" s="228">
        <v>-11</v>
      </c>
      <c r="AD56" s="228">
        <v>5</v>
      </c>
      <c r="AE56" s="228">
        <v>-16</v>
      </c>
      <c r="AF56" s="229">
        <v>-8.0000000000000004E-4</v>
      </c>
      <c r="AG56" s="228">
        <v>68</v>
      </c>
      <c r="AH56" s="228">
        <v>70</v>
      </c>
      <c r="AI56" s="228">
        <v>-2</v>
      </c>
      <c r="AJ56" s="229">
        <v>5.1000000000000004E-3</v>
      </c>
      <c r="AK56" s="228">
        <v>160</v>
      </c>
      <c r="AL56" s="228">
        <v>150</v>
      </c>
      <c r="AM56" s="228">
        <v>10</v>
      </c>
      <c r="AN56" s="229">
        <v>1.21E-2</v>
      </c>
      <c r="AO56" s="231">
        <v>13361.81</v>
      </c>
      <c r="AP56" s="231">
        <v>13448.88</v>
      </c>
      <c r="AQ56" s="228">
        <v>0</v>
      </c>
      <c r="AR56" s="230">
        <v>698050</v>
      </c>
      <c r="AS56" s="230">
        <v>502000</v>
      </c>
      <c r="AT56" s="230">
        <v>196050</v>
      </c>
      <c r="AU56" s="229">
        <v>0.39050000000000001</v>
      </c>
      <c r="AV56" s="230">
        <v>580550</v>
      </c>
      <c r="AW56" s="230">
        <v>431250</v>
      </c>
      <c r="AX56" s="230">
        <v>149300</v>
      </c>
      <c r="AY56" s="229">
        <v>0.34620000000000001</v>
      </c>
      <c r="AZ56" s="230">
        <v>101800</v>
      </c>
      <c r="BA56" s="230">
        <v>62850</v>
      </c>
      <c r="BB56" s="230">
        <v>38950</v>
      </c>
      <c r="BC56" s="229">
        <v>0.61970000000000003</v>
      </c>
      <c r="BD56" s="230">
        <v>15700</v>
      </c>
      <c r="BE56" s="230">
        <v>7900</v>
      </c>
      <c r="BF56" s="230">
        <v>7800</v>
      </c>
      <c r="BG56" s="229">
        <v>0.98729999999999996</v>
      </c>
      <c r="BH56" s="230">
        <v>5696550</v>
      </c>
      <c r="BI56" s="230">
        <v>4769250</v>
      </c>
      <c r="BJ56" s="230">
        <v>927300</v>
      </c>
      <c r="BK56" s="229">
        <v>0.19439999999999999</v>
      </c>
      <c r="BL56" s="230">
        <v>6191450</v>
      </c>
      <c r="BM56" s="230">
        <v>3551300</v>
      </c>
      <c r="BN56" s="230">
        <v>2640150</v>
      </c>
      <c r="BO56" s="229">
        <v>0.74339999999999995</v>
      </c>
      <c r="BP56" s="230">
        <v>12586050</v>
      </c>
      <c r="BQ56" s="230">
        <v>8822550</v>
      </c>
      <c r="BR56" s="230">
        <v>3763500</v>
      </c>
      <c r="BS56" s="229">
        <v>0.42659999999999998</v>
      </c>
      <c r="BT56" s="230">
        <v>371954</v>
      </c>
      <c r="BU56" s="230">
        <v>336729</v>
      </c>
      <c r="BV56" s="230">
        <v>35225</v>
      </c>
      <c r="BW56" s="229">
        <v>0.1046</v>
      </c>
      <c r="BX56" s="230">
        <v>2218400</v>
      </c>
      <c r="BY56" s="230">
        <v>2143450</v>
      </c>
      <c r="BZ56" s="230">
        <v>74950</v>
      </c>
      <c r="CA56" s="229">
        <v>3.5000000000000003E-2</v>
      </c>
      <c r="CB56" s="230">
        <v>1946700</v>
      </c>
      <c r="CC56" s="230">
        <v>1893400</v>
      </c>
      <c r="CD56" s="230">
        <v>53300</v>
      </c>
      <c r="CE56" s="229">
        <v>2.8199999999999999E-2</v>
      </c>
      <c r="CF56" s="230">
        <v>225400</v>
      </c>
      <c r="CG56" s="230">
        <v>206750</v>
      </c>
      <c r="CH56" s="230">
        <v>18650</v>
      </c>
      <c r="CI56" s="229">
        <v>9.0200000000000002E-2</v>
      </c>
      <c r="CJ56" s="230">
        <v>46300</v>
      </c>
      <c r="CK56" s="230">
        <v>43300</v>
      </c>
      <c r="CL56" s="230">
        <v>3000</v>
      </c>
      <c r="CM56" s="229">
        <v>6.93E-2</v>
      </c>
      <c r="CN56" s="230">
        <v>3613050</v>
      </c>
      <c r="CO56" s="230">
        <v>3296750</v>
      </c>
      <c r="CP56" s="230">
        <v>316300</v>
      </c>
      <c r="CQ56" s="229">
        <v>9.5899999999999999E-2</v>
      </c>
      <c r="CR56" s="230">
        <v>1880350</v>
      </c>
      <c r="CS56" s="230">
        <v>1878000</v>
      </c>
      <c r="CT56" s="230">
        <v>2350</v>
      </c>
      <c r="CU56" s="229">
        <v>1.2999999999999999E-3</v>
      </c>
      <c r="CV56" s="230">
        <v>7711800</v>
      </c>
      <c r="CW56" s="230">
        <v>7318200</v>
      </c>
      <c r="CX56" s="230">
        <v>393600</v>
      </c>
      <c r="CY56" s="229">
        <v>5.3800000000000001E-2</v>
      </c>
      <c r="CZ56" s="228">
        <v>35.229999999999997</v>
      </c>
      <c r="DA56" s="228">
        <v>31.88</v>
      </c>
      <c r="DB56" s="228">
        <v>3.35</v>
      </c>
      <c r="DC56" s="228">
        <v>3.35</v>
      </c>
      <c r="DD56" s="228">
        <v>44.97</v>
      </c>
      <c r="DE56" s="228">
        <v>44.93</v>
      </c>
      <c r="DF56" s="228">
        <v>-9.74</v>
      </c>
      <c r="DG56" s="228">
        <v>0.04</v>
      </c>
      <c r="DH56" s="228">
        <v>35.28</v>
      </c>
      <c r="DI56" s="228">
        <v>31.8</v>
      </c>
      <c r="DJ56" s="228">
        <v>3.48</v>
      </c>
      <c r="DK56" s="228">
        <v>3.48</v>
      </c>
      <c r="DL56" s="228">
        <v>35.18</v>
      </c>
      <c r="DM56" s="228">
        <v>31.99</v>
      </c>
      <c r="DN56" s="228">
        <v>3.19</v>
      </c>
      <c r="DO56" s="228">
        <v>3.19</v>
      </c>
      <c r="DP56" s="228">
        <v>0.52</v>
      </c>
      <c r="DQ56" s="228">
        <v>0.56999999999999995</v>
      </c>
      <c r="DR56" s="228">
        <v>-0.05</v>
      </c>
      <c r="DS56" s="229">
        <v>-8.77E-2</v>
      </c>
      <c r="DT56" s="231">
        <v>15000</v>
      </c>
      <c r="DU56" s="231">
        <v>12000</v>
      </c>
      <c r="DV56" s="228">
        <v>1.0900000000000001</v>
      </c>
      <c r="DW56" s="228">
        <v>0.74</v>
      </c>
      <c r="DX56" s="228">
        <v>0.35</v>
      </c>
      <c r="DY56" s="229">
        <v>0.47299999999999998</v>
      </c>
      <c r="DZ56" s="229">
        <v>0.1225</v>
      </c>
      <c r="EA56" s="230">
        <v>250050</v>
      </c>
      <c r="EB56" s="229">
        <v>6.0000000000000001E-3</v>
      </c>
      <c r="EC56" s="229">
        <v>0.1225</v>
      </c>
      <c r="ED56" s="228">
        <v>87.07</v>
      </c>
      <c r="EE56" s="229">
        <v>6.4999999999999997E-3</v>
      </c>
      <c r="EF56" s="230">
        <v>104013</v>
      </c>
      <c r="EG56" s="230">
        <v>83757</v>
      </c>
      <c r="EH56" s="229">
        <v>0.24179999999999999</v>
      </c>
      <c r="EI56" s="229">
        <v>0.27960000000000002</v>
      </c>
      <c r="EJ56" s="231">
        <v>817123.62</v>
      </c>
      <c r="EK56" s="231">
        <v>797291.68</v>
      </c>
      <c r="EL56" s="231">
        <v>93387.24</v>
      </c>
      <c r="EM56" s="231">
        <v>21941</v>
      </c>
      <c r="EN56" s="231">
        <v>1707802.54</v>
      </c>
      <c r="EO56" s="231">
        <v>1227702.24</v>
      </c>
      <c r="EP56" s="231">
        <v>480100.3</v>
      </c>
      <c r="EQ56" s="229">
        <v>0.3911</v>
      </c>
      <c r="ER56" s="231">
        <v>534129</v>
      </c>
      <c r="ES56" s="231">
        <v>245049</v>
      </c>
      <c r="ET56" s="231">
        <v>294484</v>
      </c>
      <c r="EU56" s="231">
        <v>6445442</v>
      </c>
      <c r="EV56" s="231">
        <v>1073662</v>
      </c>
      <c r="EW56" s="231">
        <v>1027541</v>
      </c>
      <c r="EX56" s="231">
        <v>46121</v>
      </c>
      <c r="EY56" s="229">
        <v>4.4900000000000002E-2</v>
      </c>
      <c r="EZ56" s="229">
        <v>1.1964999999999999</v>
      </c>
      <c r="FA56" s="227" t="s">
        <v>567</v>
      </c>
      <c r="FB56" s="161">
        <f t="shared" si="0"/>
        <v>271700</v>
      </c>
    </row>
    <row r="57" spans="1:158" ht="17.25" hidden="1" thickBot="1" x14ac:dyDescent="0.3">
      <c r="A57" s="226">
        <v>46008</v>
      </c>
      <c r="B57" s="227" t="s">
        <v>206</v>
      </c>
      <c r="C57" s="227" t="s">
        <v>207</v>
      </c>
      <c r="D57" s="228">
        <v>825</v>
      </c>
      <c r="E57" s="228">
        <v>683.8</v>
      </c>
      <c r="F57" s="228">
        <v>692.6</v>
      </c>
      <c r="G57" s="228">
        <v>-8.8000000000000007</v>
      </c>
      <c r="H57" s="229">
        <v>-1.2699999999999999E-2</v>
      </c>
      <c r="I57" s="228">
        <v>683.1</v>
      </c>
      <c r="J57" s="228">
        <v>691.95</v>
      </c>
      <c r="K57" s="228">
        <v>-8.85</v>
      </c>
      <c r="L57" s="229">
        <v>-1.2800000000000001E-2</v>
      </c>
      <c r="M57" s="228">
        <v>683.8</v>
      </c>
      <c r="N57" s="228">
        <v>692.6</v>
      </c>
      <c r="O57" s="228">
        <v>-8.8000000000000007</v>
      </c>
      <c r="P57" s="229">
        <v>-1.2699999999999999E-2</v>
      </c>
      <c r="Q57" s="228">
        <v>687.75</v>
      </c>
      <c r="R57" s="228">
        <v>697.3</v>
      </c>
      <c r="S57" s="228">
        <v>-9.5500000000000007</v>
      </c>
      <c r="T57" s="229">
        <v>-1.37E-2</v>
      </c>
      <c r="U57" s="228">
        <v>691.85</v>
      </c>
      <c r="V57" s="228">
        <v>700.3</v>
      </c>
      <c r="W57" s="228">
        <v>-8.4499999999999993</v>
      </c>
      <c r="X57" s="229">
        <v>-1.21E-2</v>
      </c>
      <c r="Y57" s="228">
        <v>0.7</v>
      </c>
      <c r="Z57" s="228">
        <v>0.65</v>
      </c>
      <c r="AA57" s="228">
        <v>0.05</v>
      </c>
      <c r="AB57" s="229">
        <v>1E-3</v>
      </c>
      <c r="AC57" s="228">
        <v>0.7</v>
      </c>
      <c r="AD57" s="228">
        <v>0.65</v>
      </c>
      <c r="AE57" s="228">
        <v>0.05</v>
      </c>
      <c r="AF57" s="229">
        <v>1E-3</v>
      </c>
      <c r="AG57" s="228">
        <v>4.6500000000000004</v>
      </c>
      <c r="AH57" s="228">
        <v>5.35</v>
      </c>
      <c r="AI57" s="228">
        <v>-0.7</v>
      </c>
      <c r="AJ57" s="229">
        <v>6.7999999999999996E-3</v>
      </c>
      <c r="AK57" s="228">
        <v>8.75</v>
      </c>
      <c r="AL57" s="228">
        <v>8.35</v>
      </c>
      <c r="AM57" s="228">
        <v>0.4</v>
      </c>
      <c r="AN57" s="229">
        <v>1.2800000000000001E-2</v>
      </c>
      <c r="AO57" s="228">
        <v>685.71</v>
      </c>
      <c r="AP57" s="228">
        <v>690.41</v>
      </c>
      <c r="AQ57" s="228">
        <v>0</v>
      </c>
      <c r="AR57" s="230">
        <v>4733850</v>
      </c>
      <c r="AS57" s="230">
        <v>3193575</v>
      </c>
      <c r="AT57" s="230">
        <v>1540275</v>
      </c>
      <c r="AU57" s="229">
        <v>0.48230000000000001</v>
      </c>
      <c r="AV57" s="230">
        <v>3936075</v>
      </c>
      <c r="AW57" s="230">
        <v>2859450</v>
      </c>
      <c r="AX57" s="230">
        <v>1076625</v>
      </c>
      <c r="AY57" s="229">
        <v>0.3765</v>
      </c>
      <c r="AZ57" s="230">
        <v>749100</v>
      </c>
      <c r="BA57" s="230">
        <v>301950</v>
      </c>
      <c r="BB57" s="230">
        <v>447150</v>
      </c>
      <c r="BC57" s="229">
        <v>1.4809000000000001</v>
      </c>
      <c r="BD57" s="230">
        <v>48675</v>
      </c>
      <c r="BE57" s="230">
        <v>32175</v>
      </c>
      <c r="BF57" s="230">
        <v>16500</v>
      </c>
      <c r="BG57" s="229">
        <v>0.51280000000000003</v>
      </c>
      <c r="BH57" s="230">
        <v>18013050</v>
      </c>
      <c r="BI57" s="230">
        <v>12741300</v>
      </c>
      <c r="BJ57" s="230">
        <v>5271750</v>
      </c>
      <c r="BK57" s="229">
        <v>0.4138</v>
      </c>
      <c r="BL57" s="230">
        <v>6996825</v>
      </c>
      <c r="BM57" s="230">
        <v>3576375</v>
      </c>
      <c r="BN57" s="230">
        <v>3420450</v>
      </c>
      <c r="BO57" s="229">
        <v>0.95640000000000003</v>
      </c>
      <c r="BP57" s="230">
        <v>29743725</v>
      </c>
      <c r="BQ57" s="230">
        <v>19511250</v>
      </c>
      <c r="BR57" s="230">
        <v>10232475</v>
      </c>
      <c r="BS57" s="229">
        <v>0.52439999999999998</v>
      </c>
      <c r="BT57" s="230">
        <v>1793008</v>
      </c>
      <c r="BU57" s="230">
        <v>1335962</v>
      </c>
      <c r="BV57" s="230">
        <v>457046</v>
      </c>
      <c r="BW57" s="229">
        <v>0.34210000000000002</v>
      </c>
      <c r="BX57" s="230">
        <v>51046050</v>
      </c>
      <c r="BY57" s="230">
        <v>50364600</v>
      </c>
      <c r="BZ57" s="230">
        <v>681450</v>
      </c>
      <c r="CA57" s="229">
        <v>1.35E-2</v>
      </c>
      <c r="CB57" s="230">
        <v>48055425</v>
      </c>
      <c r="CC57" s="230">
        <v>47823600</v>
      </c>
      <c r="CD57" s="230">
        <v>231825</v>
      </c>
      <c r="CE57" s="229">
        <v>4.7999999999999996E-3</v>
      </c>
      <c r="CF57" s="230">
        <v>2543475</v>
      </c>
      <c r="CG57" s="230">
        <v>2086425</v>
      </c>
      <c r="CH57" s="230">
        <v>457050</v>
      </c>
      <c r="CI57" s="229">
        <v>0.21909999999999999</v>
      </c>
      <c r="CJ57" s="230">
        <v>447150</v>
      </c>
      <c r="CK57" s="230">
        <v>454575</v>
      </c>
      <c r="CL57" s="230">
        <v>-7425</v>
      </c>
      <c r="CM57" s="229">
        <v>-1.6299999999999999E-2</v>
      </c>
      <c r="CN57" s="230">
        <v>22903650</v>
      </c>
      <c r="CO57" s="230">
        <v>22516725</v>
      </c>
      <c r="CP57" s="230">
        <v>386925</v>
      </c>
      <c r="CQ57" s="229">
        <v>1.72E-2</v>
      </c>
      <c r="CR57" s="230">
        <v>14237850</v>
      </c>
      <c r="CS57" s="230">
        <v>14066250</v>
      </c>
      <c r="CT57" s="230">
        <v>171600</v>
      </c>
      <c r="CU57" s="229">
        <v>1.2200000000000001E-2</v>
      </c>
      <c r="CV57" s="230">
        <v>88187550</v>
      </c>
      <c r="CW57" s="230">
        <v>86947575</v>
      </c>
      <c r="CX57" s="230">
        <v>1239975</v>
      </c>
      <c r="CY57" s="229">
        <v>1.43E-2</v>
      </c>
      <c r="CZ57" s="228">
        <v>24.27</v>
      </c>
      <c r="DA57" s="228">
        <v>23.75</v>
      </c>
      <c r="DB57" s="228">
        <v>0.52</v>
      </c>
      <c r="DC57" s="228">
        <v>0.52</v>
      </c>
      <c r="DD57" s="228">
        <v>35.049999999999997</v>
      </c>
      <c r="DE57" s="228">
        <v>35.1</v>
      </c>
      <c r="DF57" s="228">
        <v>-10.78</v>
      </c>
      <c r="DG57" s="228">
        <v>-0.05</v>
      </c>
      <c r="DH57" s="228">
        <v>24.67</v>
      </c>
      <c r="DI57" s="228">
        <v>23.95</v>
      </c>
      <c r="DJ57" s="228">
        <v>0.72</v>
      </c>
      <c r="DK57" s="228">
        <v>0.72</v>
      </c>
      <c r="DL57" s="228">
        <v>23.23</v>
      </c>
      <c r="DM57" s="228">
        <v>23.06</v>
      </c>
      <c r="DN57" s="228">
        <v>0.17</v>
      </c>
      <c r="DO57" s="228">
        <v>0.17</v>
      </c>
      <c r="DP57" s="228">
        <v>0.62</v>
      </c>
      <c r="DQ57" s="228">
        <v>0.62</v>
      </c>
      <c r="DR57" s="228">
        <v>0</v>
      </c>
      <c r="DS57" s="229">
        <v>0</v>
      </c>
      <c r="DT57" s="228">
        <v>730</v>
      </c>
      <c r="DU57" s="228">
        <v>700</v>
      </c>
      <c r="DV57" s="228">
        <v>0.39</v>
      </c>
      <c r="DW57" s="228">
        <v>0.28000000000000003</v>
      </c>
      <c r="DX57" s="228">
        <v>0.11</v>
      </c>
      <c r="DY57" s="229">
        <v>0.39290000000000003</v>
      </c>
      <c r="DZ57" s="229">
        <v>5.8599999999999999E-2</v>
      </c>
      <c r="EA57" s="230">
        <v>2541000</v>
      </c>
      <c r="EB57" s="229">
        <v>5.7999999999999996E-3</v>
      </c>
      <c r="EC57" s="229">
        <v>5.8599999999999999E-2</v>
      </c>
      <c r="ED57" s="228">
        <v>4.7</v>
      </c>
      <c r="EE57" s="229">
        <v>6.8999999999999999E-3</v>
      </c>
      <c r="EF57" s="230">
        <v>864985</v>
      </c>
      <c r="EG57" s="230">
        <v>731601</v>
      </c>
      <c r="EH57" s="229">
        <v>0.18229999999999999</v>
      </c>
      <c r="EI57" s="229">
        <v>0.4824</v>
      </c>
      <c r="EJ57" s="231">
        <v>129535.64</v>
      </c>
      <c r="EK57" s="231">
        <v>48223.360000000001</v>
      </c>
      <c r="EL57" s="231">
        <v>32499.86</v>
      </c>
      <c r="EM57" s="231">
        <v>4767</v>
      </c>
      <c r="EN57" s="231">
        <v>210258.86</v>
      </c>
      <c r="EO57" s="231">
        <v>139013.68</v>
      </c>
      <c r="EP57" s="231">
        <v>71245.179999999993</v>
      </c>
      <c r="EQ57" s="229">
        <v>0.51249999999999996</v>
      </c>
      <c r="ER57" s="231">
        <v>168659</v>
      </c>
      <c r="ES57" s="231">
        <v>101156</v>
      </c>
      <c r="ET57" s="231">
        <v>349189</v>
      </c>
      <c r="EU57" s="231">
        <v>83667734</v>
      </c>
      <c r="EV57" s="231">
        <v>619004</v>
      </c>
      <c r="EW57" s="231">
        <v>615413</v>
      </c>
      <c r="EX57" s="231">
        <v>3591</v>
      </c>
      <c r="EY57" s="229">
        <v>5.7999999999999996E-3</v>
      </c>
      <c r="EZ57" s="229">
        <v>1.054</v>
      </c>
      <c r="FA57" s="227" t="s">
        <v>567</v>
      </c>
      <c r="FB57" s="161">
        <f t="shared" si="0"/>
        <v>2990625</v>
      </c>
    </row>
    <row r="58" spans="1:158" ht="17.25" hidden="1" thickBot="1" x14ac:dyDescent="0.3">
      <c r="A58" s="226">
        <v>46008</v>
      </c>
      <c r="B58" s="227" t="s">
        <v>615</v>
      </c>
      <c r="C58" s="227" t="s">
        <v>583</v>
      </c>
      <c r="D58" s="228">
        <v>150</v>
      </c>
      <c r="E58" s="231">
        <v>3825.1</v>
      </c>
      <c r="F58" s="231">
        <v>3860.5</v>
      </c>
      <c r="G58" s="228">
        <v>-35.4</v>
      </c>
      <c r="H58" s="229">
        <v>-9.1999999999999998E-3</v>
      </c>
      <c r="I58" s="231">
        <v>3826.2</v>
      </c>
      <c r="J58" s="231">
        <v>3856.8</v>
      </c>
      <c r="K58" s="228">
        <v>-30.6</v>
      </c>
      <c r="L58" s="229">
        <v>-7.9000000000000008E-3</v>
      </c>
      <c r="M58" s="231">
        <v>3825.1</v>
      </c>
      <c r="N58" s="231">
        <v>3860.5</v>
      </c>
      <c r="O58" s="228">
        <v>-35.4</v>
      </c>
      <c r="P58" s="229">
        <v>-9.1999999999999998E-3</v>
      </c>
      <c r="Q58" s="231">
        <v>3833.7</v>
      </c>
      <c r="R58" s="231">
        <v>3873.7</v>
      </c>
      <c r="S58" s="228">
        <v>-40</v>
      </c>
      <c r="T58" s="229">
        <v>-1.03E-2</v>
      </c>
      <c r="U58" s="231">
        <v>3847.8</v>
      </c>
      <c r="V58" s="231">
        <v>3891</v>
      </c>
      <c r="W58" s="228">
        <v>-43.2</v>
      </c>
      <c r="X58" s="229">
        <v>-1.11E-2</v>
      </c>
      <c r="Y58" s="228">
        <v>-1.1000000000000001</v>
      </c>
      <c r="Z58" s="228">
        <v>3.7</v>
      </c>
      <c r="AA58" s="228">
        <v>-4.8</v>
      </c>
      <c r="AB58" s="229">
        <v>-2.9999999999999997E-4</v>
      </c>
      <c r="AC58" s="228">
        <v>-1.1000000000000001</v>
      </c>
      <c r="AD58" s="228">
        <v>3.7</v>
      </c>
      <c r="AE58" s="228">
        <v>-4.8</v>
      </c>
      <c r="AF58" s="229">
        <v>-2.9999999999999997E-4</v>
      </c>
      <c r="AG58" s="228">
        <v>7.5</v>
      </c>
      <c r="AH58" s="228">
        <v>16.899999999999999</v>
      </c>
      <c r="AI58" s="228">
        <v>-9.4</v>
      </c>
      <c r="AJ58" s="229">
        <v>2E-3</v>
      </c>
      <c r="AK58" s="228">
        <v>21.6</v>
      </c>
      <c r="AL58" s="228">
        <v>34.200000000000003</v>
      </c>
      <c r="AM58" s="228">
        <v>-12.6</v>
      </c>
      <c r="AN58" s="229">
        <v>5.5999999999999999E-3</v>
      </c>
      <c r="AO58" s="231">
        <v>3830.97</v>
      </c>
      <c r="AP58" s="231">
        <v>3840.12</v>
      </c>
      <c r="AQ58" s="228">
        <v>0</v>
      </c>
      <c r="AR58" s="230">
        <v>651750</v>
      </c>
      <c r="AS58" s="230">
        <v>967050</v>
      </c>
      <c r="AT58" s="230">
        <v>-315300</v>
      </c>
      <c r="AU58" s="229">
        <v>-0.32600000000000001</v>
      </c>
      <c r="AV58" s="230">
        <v>477600</v>
      </c>
      <c r="AW58" s="230">
        <v>803400</v>
      </c>
      <c r="AX58" s="230">
        <v>-325800</v>
      </c>
      <c r="AY58" s="229">
        <v>-0.40550000000000003</v>
      </c>
      <c r="AZ58" s="230">
        <v>164100</v>
      </c>
      <c r="BA58" s="230">
        <v>148050</v>
      </c>
      <c r="BB58" s="230">
        <v>16050</v>
      </c>
      <c r="BC58" s="229">
        <v>0.1084</v>
      </c>
      <c r="BD58" s="230">
        <v>10050</v>
      </c>
      <c r="BE58" s="230">
        <v>15600</v>
      </c>
      <c r="BF58" s="230">
        <v>-5550</v>
      </c>
      <c r="BG58" s="229">
        <v>-0.35580000000000001</v>
      </c>
      <c r="BH58" s="230">
        <v>1898100</v>
      </c>
      <c r="BI58" s="230">
        <v>8598600</v>
      </c>
      <c r="BJ58" s="230">
        <v>-6700500</v>
      </c>
      <c r="BK58" s="229">
        <v>-0.77929999999999999</v>
      </c>
      <c r="BL58" s="230">
        <v>767850</v>
      </c>
      <c r="BM58" s="230">
        <v>2528250</v>
      </c>
      <c r="BN58" s="230">
        <v>-1760400</v>
      </c>
      <c r="BO58" s="229">
        <v>-0.69630000000000003</v>
      </c>
      <c r="BP58" s="230">
        <v>3317700</v>
      </c>
      <c r="BQ58" s="230">
        <v>12093900</v>
      </c>
      <c r="BR58" s="230">
        <v>-8776200</v>
      </c>
      <c r="BS58" s="229">
        <v>-0.72570000000000001</v>
      </c>
      <c r="BT58" s="230">
        <v>410186</v>
      </c>
      <c r="BU58" s="230">
        <v>691787</v>
      </c>
      <c r="BV58" s="230">
        <v>-281601</v>
      </c>
      <c r="BW58" s="229">
        <v>-0.40710000000000002</v>
      </c>
      <c r="BX58" s="230">
        <v>5844600</v>
      </c>
      <c r="BY58" s="230">
        <v>5708100</v>
      </c>
      <c r="BZ58" s="230">
        <v>136500</v>
      </c>
      <c r="CA58" s="229">
        <v>2.3900000000000001E-2</v>
      </c>
      <c r="CB58" s="230">
        <v>5401650</v>
      </c>
      <c r="CC58" s="230">
        <v>5353050</v>
      </c>
      <c r="CD58" s="230">
        <v>48600</v>
      </c>
      <c r="CE58" s="229">
        <v>9.1000000000000004E-3</v>
      </c>
      <c r="CF58" s="230">
        <v>401400</v>
      </c>
      <c r="CG58" s="230">
        <v>317550</v>
      </c>
      <c r="CH58" s="230">
        <v>83850</v>
      </c>
      <c r="CI58" s="229">
        <v>0.2641</v>
      </c>
      <c r="CJ58" s="230">
        <v>41550</v>
      </c>
      <c r="CK58" s="230">
        <v>37500</v>
      </c>
      <c r="CL58" s="230">
        <v>4050</v>
      </c>
      <c r="CM58" s="229">
        <v>0.108</v>
      </c>
      <c r="CN58" s="230">
        <v>2432400</v>
      </c>
      <c r="CO58" s="230">
        <v>2445900</v>
      </c>
      <c r="CP58" s="230">
        <v>-13500</v>
      </c>
      <c r="CQ58" s="229">
        <v>-5.4999999999999997E-3</v>
      </c>
      <c r="CR58" s="230">
        <v>1157850</v>
      </c>
      <c r="CS58" s="230">
        <v>1170000</v>
      </c>
      <c r="CT58" s="230">
        <v>-12150</v>
      </c>
      <c r="CU58" s="229">
        <v>-1.04E-2</v>
      </c>
      <c r="CV58" s="230">
        <v>9434850</v>
      </c>
      <c r="CW58" s="230">
        <v>9324000</v>
      </c>
      <c r="CX58" s="230">
        <v>110850</v>
      </c>
      <c r="CY58" s="229">
        <v>1.1900000000000001E-2</v>
      </c>
      <c r="CZ58" s="228">
        <v>22.57</v>
      </c>
      <c r="DA58" s="228">
        <v>21.98</v>
      </c>
      <c r="DB58" s="228">
        <v>0.59</v>
      </c>
      <c r="DC58" s="228">
        <v>0.59</v>
      </c>
      <c r="DD58" s="228">
        <v>30.73</v>
      </c>
      <c r="DE58" s="228">
        <v>30.79</v>
      </c>
      <c r="DF58" s="228">
        <v>-8.16</v>
      </c>
      <c r="DG58" s="228">
        <v>-0.06</v>
      </c>
      <c r="DH58" s="228">
        <v>22.89</v>
      </c>
      <c r="DI58" s="228">
        <v>22.12</v>
      </c>
      <c r="DJ58" s="228">
        <v>0.77</v>
      </c>
      <c r="DK58" s="228">
        <v>0.77</v>
      </c>
      <c r="DL58" s="228">
        <v>21.76</v>
      </c>
      <c r="DM58" s="228">
        <v>21.52</v>
      </c>
      <c r="DN58" s="228">
        <v>0.24</v>
      </c>
      <c r="DO58" s="228">
        <v>0.24</v>
      </c>
      <c r="DP58" s="228">
        <v>0.48</v>
      </c>
      <c r="DQ58" s="228">
        <v>0.48</v>
      </c>
      <c r="DR58" s="228">
        <v>0</v>
      </c>
      <c r="DS58" s="229">
        <v>0</v>
      </c>
      <c r="DT58" s="231">
        <v>4000</v>
      </c>
      <c r="DU58" s="231">
        <v>4000</v>
      </c>
      <c r="DV58" s="228">
        <v>0.4</v>
      </c>
      <c r="DW58" s="228">
        <v>0.28999999999999998</v>
      </c>
      <c r="DX58" s="228">
        <v>0.11</v>
      </c>
      <c r="DY58" s="229">
        <v>0.37930000000000003</v>
      </c>
      <c r="DZ58" s="229">
        <v>7.5800000000000006E-2</v>
      </c>
      <c r="EA58" s="230">
        <v>355050</v>
      </c>
      <c r="EB58" s="229">
        <v>2.2000000000000001E-3</v>
      </c>
      <c r="EC58" s="229">
        <v>7.5800000000000006E-2</v>
      </c>
      <c r="ED58" s="228">
        <v>9.15</v>
      </c>
      <c r="EE58" s="229">
        <v>2.3999999999999998E-3</v>
      </c>
      <c r="EF58" s="230">
        <v>274582</v>
      </c>
      <c r="EG58" s="230">
        <v>189972</v>
      </c>
      <c r="EH58" s="229">
        <v>0.44540000000000002</v>
      </c>
      <c r="EI58" s="229">
        <v>0.6694</v>
      </c>
      <c r="EJ58" s="231">
        <v>76140.789999999994</v>
      </c>
      <c r="EK58" s="231">
        <v>29109.74</v>
      </c>
      <c r="EL58" s="231">
        <v>24985.919999999998</v>
      </c>
      <c r="EM58" s="231">
        <v>4250</v>
      </c>
      <c r="EN58" s="231">
        <v>130236.45</v>
      </c>
      <c r="EO58" s="231">
        <v>479584.41</v>
      </c>
      <c r="EP58" s="231">
        <v>-349347.96</v>
      </c>
      <c r="EQ58" s="229">
        <v>-0.72840000000000005</v>
      </c>
      <c r="ER58" s="231">
        <v>98739</v>
      </c>
      <c r="ES58" s="231">
        <v>44352</v>
      </c>
      <c r="ET58" s="231">
        <v>223606</v>
      </c>
      <c r="EU58" s="231">
        <v>22136392</v>
      </c>
      <c r="EV58" s="231">
        <v>366697</v>
      </c>
      <c r="EW58" s="231">
        <v>364592</v>
      </c>
      <c r="EX58" s="231">
        <v>2105</v>
      </c>
      <c r="EY58" s="229">
        <v>5.7999999999999996E-3</v>
      </c>
      <c r="EZ58" s="229">
        <v>0.42620000000000002</v>
      </c>
      <c r="FA58" s="227" t="s">
        <v>567</v>
      </c>
      <c r="FB58" s="161">
        <f t="shared" si="0"/>
        <v>442950</v>
      </c>
    </row>
    <row r="59" spans="1:158" ht="17.25" hidden="1" thickBot="1" x14ac:dyDescent="0.3">
      <c r="A59" s="226">
        <v>46008</v>
      </c>
      <c r="B59" s="227" t="s">
        <v>170</v>
      </c>
      <c r="C59" s="227" t="s">
        <v>208</v>
      </c>
      <c r="D59" s="228">
        <v>625</v>
      </c>
      <c r="E59" s="231">
        <v>1273.2</v>
      </c>
      <c r="F59" s="231">
        <v>1277.9000000000001</v>
      </c>
      <c r="G59" s="228">
        <v>-4.7</v>
      </c>
      <c r="H59" s="229">
        <v>-3.7000000000000002E-3</v>
      </c>
      <c r="I59" s="231">
        <v>1272</v>
      </c>
      <c r="J59" s="231">
        <v>1276.9000000000001</v>
      </c>
      <c r="K59" s="228">
        <v>-4.9000000000000004</v>
      </c>
      <c r="L59" s="229">
        <v>-3.8E-3</v>
      </c>
      <c r="M59" s="231">
        <v>1273.2</v>
      </c>
      <c r="N59" s="231">
        <v>1277.9000000000001</v>
      </c>
      <c r="O59" s="228">
        <v>-4.7</v>
      </c>
      <c r="P59" s="229">
        <v>-3.7000000000000002E-3</v>
      </c>
      <c r="Q59" s="231">
        <v>1279.4000000000001</v>
      </c>
      <c r="R59" s="231">
        <v>1285.2</v>
      </c>
      <c r="S59" s="228">
        <v>-5.8</v>
      </c>
      <c r="T59" s="229">
        <v>-4.4999999999999997E-3</v>
      </c>
      <c r="U59" s="231">
        <v>1291</v>
      </c>
      <c r="V59" s="231">
        <v>1291</v>
      </c>
      <c r="W59" s="228">
        <v>0</v>
      </c>
      <c r="X59" s="229">
        <v>0</v>
      </c>
      <c r="Y59" s="228">
        <v>1.2</v>
      </c>
      <c r="Z59" s="228">
        <v>1</v>
      </c>
      <c r="AA59" s="228">
        <v>0.2</v>
      </c>
      <c r="AB59" s="229">
        <v>8.9999999999999998E-4</v>
      </c>
      <c r="AC59" s="228">
        <v>1.2</v>
      </c>
      <c r="AD59" s="228">
        <v>1</v>
      </c>
      <c r="AE59" s="228">
        <v>0.2</v>
      </c>
      <c r="AF59" s="229">
        <v>8.9999999999999998E-4</v>
      </c>
      <c r="AG59" s="228">
        <v>7.4</v>
      </c>
      <c r="AH59" s="228">
        <v>8.3000000000000007</v>
      </c>
      <c r="AI59" s="228">
        <v>-0.9</v>
      </c>
      <c r="AJ59" s="229">
        <v>5.7999999999999996E-3</v>
      </c>
      <c r="AK59" s="228">
        <v>19</v>
      </c>
      <c r="AL59" s="228">
        <v>14.1</v>
      </c>
      <c r="AM59" s="228">
        <v>4.9000000000000004</v>
      </c>
      <c r="AN59" s="229">
        <v>1.49E-2</v>
      </c>
      <c r="AO59" s="231">
        <v>1275.02</v>
      </c>
      <c r="AP59" s="231">
        <v>1280.18</v>
      </c>
      <c r="AQ59" s="228">
        <v>0</v>
      </c>
      <c r="AR59" s="230">
        <v>1308125</v>
      </c>
      <c r="AS59" s="230">
        <v>1110625</v>
      </c>
      <c r="AT59" s="230">
        <v>197500</v>
      </c>
      <c r="AU59" s="229">
        <v>0.17780000000000001</v>
      </c>
      <c r="AV59" s="230">
        <v>1061875</v>
      </c>
      <c r="AW59" s="230">
        <v>971250</v>
      </c>
      <c r="AX59" s="230">
        <v>90625</v>
      </c>
      <c r="AY59" s="229">
        <v>9.3299999999999994E-2</v>
      </c>
      <c r="AZ59" s="230">
        <v>243750</v>
      </c>
      <c r="BA59" s="230">
        <v>137500</v>
      </c>
      <c r="BB59" s="230">
        <v>106250</v>
      </c>
      <c r="BC59" s="229">
        <v>0.77270000000000005</v>
      </c>
      <c r="BD59" s="230">
        <v>2500</v>
      </c>
      <c r="BE59" s="230">
        <v>1875</v>
      </c>
      <c r="BF59" s="228">
        <v>625</v>
      </c>
      <c r="BG59" s="229">
        <v>0.33329999999999999</v>
      </c>
      <c r="BH59" s="230">
        <v>3399375</v>
      </c>
      <c r="BI59" s="230">
        <v>3087500</v>
      </c>
      <c r="BJ59" s="230">
        <v>311875</v>
      </c>
      <c r="BK59" s="229">
        <v>0.10100000000000001</v>
      </c>
      <c r="BL59" s="230">
        <v>1796875</v>
      </c>
      <c r="BM59" s="230">
        <v>1618125</v>
      </c>
      <c r="BN59" s="230">
        <v>178750</v>
      </c>
      <c r="BO59" s="229">
        <v>0.1105</v>
      </c>
      <c r="BP59" s="230">
        <v>6504375</v>
      </c>
      <c r="BQ59" s="230">
        <v>5816250</v>
      </c>
      <c r="BR59" s="230">
        <v>688125</v>
      </c>
      <c r="BS59" s="229">
        <v>0.1183</v>
      </c>
      <c r="BT59" s="230">
        <v>916042</v>
      </c>
      <c r="BU59" s="230">
        <v>1088423</v>
      </c>
      <c r="BV59" s="230">
        <v>-172381</v>
      </c>
      <c r="BW59" s="229">
        <v>-0.15840000000000001</v>
      </c>
      <c r="BX59" s="230">
        <v>13625000</v>
      </c>
      <c r="BY59" s="230">
        <v>13495625</v>
      </c>
      <c r="BZ59" s="230">
        <v>129375</v>
      </c>
      <c r="CA59" s="229">
        <v>9.5999999999999992E-3</v>
      </c>
      <c r="CB59" s="230">
        <v>12516875</v>
      </c>
      <c r="CC59" s="230">
        <v>12537500</v>
      </c>
      <c r="CD59" s="230">
        <v>-20625</v>
      </c>
      <c r="CE59" s="229">
        <v>-1.6000000000000001E-3</v>
      </c>
      <c r="CF59" s="230">
        <v>1066250</v>
      </c>
      <c r="CG59" s="230">
        <v>917500</v>
      </c>
      <c r="CH59" s="230">
        <v>148750</v>
      </c>
      <c r="CI59" s="229">
        <v>0.16209999999999999</v>
      </c>
      <c r="CJ59" s="230">
        <v>41875</v>
      </c>
      <c r="CK59" s="230">
        <v>40625</v>
      </c>
      <c r="CL59" s="230">
        <v>1250</v>
      </c>
      <c r="CM59" s="229">
        <v>3.0800000000000001E-2</v>
      </c>
      <c r="CN59" s="230">
        <v>6792500</v>
      </c>
      <c r="CO59" s="230">
        <v>6909375</v>
      </c>
      <c r="CP59" s="230">
        <v>-116875</v>
      </c>
      <c r="CQ59" s="229">
        <v>-1.6899999999999998E-2</v>
      </c>
      <c r="CR59" s="230">
        <v>3322500</v>
      </c>
      <c r="CS59" s="230">
        <v>3450625</v>
      </c>
      <c r="CT59" s="230">
        <v>-128125</v>
      </c>
      <c r="CU59" s="229">
        <v>-3.7100000000000001E-2</v>
      </c>
      <c r="CV59" s="230">
        <v>23740000</v>
      </c>
      <c r="CW59" s="230">
        <v>23855625</v>
      </c>
      <c r="CX59" s="230">
        <v>-115625</v>
      </c>
      <c r="CY59" s="229">
        <v>-4.7999999999999996E-3</v>
      </c>
      <c r="CZ59" s="228">
        <v>14.89</v>
      </c>
      <c r="DA59" s="228">
        <v>15.03</v>
      </c>
      <c r="DB59" s="228">
        <v>-0.14000000000000001</v>
      </c>
      <c r="DC59" s="228">
        <v>-0.14000000000000001</v>
      </c>
      <c r="DD59" s="228">
        <v>24.02</v>
      </c>
      <c r="DE59" s="228">
        <v>24.08</v>
      </c>
      <c r="DF59" s="228">
        <v>-9.1300000000000008</v>
      </c>
      <c r="DG59" s="228">
        <v>-0.06</v>
      </c>
      <c r="DH59" s="228">
        <v>14.74</v>
      </c>
      <c r="DI59" s="228">
        <v>14.72</v>
      </c>
      <c r="DJ59" s="228">
        <v>0.02</v>
      </c>
      <c r="DK59" s="228">
        <v>0.02</v>
      </c>
      <c r="DL59" s="228">
        <v>15.17</v>
      </c>
      <c r="DM59" s="228">
        <v>15.63</v>
      </c>
      <c r="DN59" s="228">
        <v>-0.46</v>
      </c>
      <c r="DO59" s="228">
        <v>-0.46</v>
      </c>
      <c r="DP59" s="228">
        <v>0.49</v>
      </c>
      <c r="DQ59" s="228">
        <v>0.5</v>
      </c>
      <c r="DR59" s="228">
        <v>-0.01</v>
      </c>
      <c r="DS59" s="229">
        <v>-0.02</v>
      </c>
      <c r="DT59" s="231">
        <v>1300</v>
      </c>
      <c r="DU59" s="231">
        <v>1140</v>
      </c>
      <c r="DV59" s="228">
        <v>0.53</v>
      </c>
      <c r="DW59" s="228">
        <v>0.52</v>
      </c>
      <c r="DX59" s="228">
        <v>0.01</v>
      </c>
      <c r="DY59" s="229">
        <v>1.9199999999999998E-2</v>
      </c>
      <c r="DZ59" s="229">
        <v>8.1299999999999997E-2</v>
      </c>
      <c r="EA59" s="230">
        <v>958125</v>
      </c>
      <c r="EB59" s="229">
        <v>4.8999999999999998E-3</v>
      </c>
      <c r="EC59" s="229">
        <v>8.1299999999999997E-2</v>
      </c>
      <c r="ED59" s="228">
        <v>5.16</v>
      </c>
      <c r="EE59" s="229">
        <v>4.0000000000000001E-3</v>
      </c>
      <c r="EF59" s="230">
        <v>533813</v>
      </c>
      <c r="EG59" s="230">
        <v>759331</v>
      </c>
      <c r="EH59" s="229">
        <v>-0.29699999999999999</v>
      </c>
      <c r="EI59" s="229">
        <v>0.5827</v>
      </c>
      <c r="EJ59" s="231">
        <v>44294.39</v>
      </c>
      <c r="EK59" s="231">
        <v>22730.12</v>
      </c>
      <c r="EL59" s="231">
        <v>16691.84</v>
      </c>
      <c r="EM59" s="231">
        <v>2173</v>
      </c>
      <c r="EN59" s="231">
        <v>83716.350000000006</v>
      </c>
      <c r="EO59" s="231">
        <v>75001.710000000006</v>
      </c>
      <c r="EP59" s="231">
        <v>8714.64</v>
      </c>
      <c r="EQ59" s="229">
        <v>0.1162</v>
      </c>
      <c r="ER59" s="231">
        <v>88971</v>
      </c>
      <c r="ES59" s="231">
        <v>40191</v>
      </c>
      <c r="ET59" s="231">
        <v>173547</v>
      </c>
      <c r="EU59" s="231">
        <v>61006521</v>
      </c>
      <c r="EV59" s="231">
        <v>302710</v>
      </c>
      <c r="EW59" s="231">
        <v>304810</v>
      </c>
      <c r="EX59" s="231">
        <v>-2100</v>
      </c>
      <c r="EY59" s="229">
        <v>-6.8999999999999999E-3</v>
      </c>
      <c r="EZ59" s="229">
        <v>0.3891</v>
      </c>
      <c r="FA59" s="227" t="s">
        <v>567</v>
      </c>
      <c r="FB59" s="161">
        <f t="shared" si="0"/>
        <v>1108125</v>
      </c>
    </row>
    <row r="60" spans="1:158" ht="17.25" hidden="1" thickBot="1" x14ac:dyDescent="0.3">
      <c r="A60" s="226">
        <v>46008</v>
      </c>
      <c r="B60" s="227" t="s">
        <v>162</v>
      </c>
      <c r="C60" s="227" t="s">
        <v>209</v>
      </c>
      <c r="D60" s="228">
        <v>175</v>
      </c>
      <c r="E60" s="231">
        <v>7144</v>
      </c>
      <c r="F60" s="231">
        <v>7077</v>
      </c>
      <c r="G60" s="228">
        <v>67</v>
      </c>
      <c r="H60" s="229">
        <v>9.4999999999999998E-3</v>
      </c>
      <c r="I60" s="231">
        <v>7134.5</v>
      </c>
      <c r="J60" s="231">
        <v>7061.5</v>
      </c>
      <c r="K60" s="228">
        <v>73</v>
      </c>
      <c r="L60" s="229">
        <v>1.03E-2</v>
      </c>
      <c r="M60" s="231">
        <v>7144</v>
      </c>
      <c r="N60" s="231">
        <v>7077</v>
      </c>
      <c r="O60" s="228">
        <v>67</v>
      </c>
      <c r="P60" s="229">
        <v>9.4999999999999998E-3</v>
      </c>
      <c r="Q60" s="231">
        <v>7192</v>
      </c>
      <c r="R60" s="231">
        <v>7129</v>
      </c>
      <c r="S60" s="228">
        <v>63</v>
      </c>
      <c r="T60" s="229">
        <v>8.8000000000000005E-3</v>
      </c>
      <c r="U60" s="231">
        <v>7238</v>
      </c>
      <c r="V60" s="231">
        <v>7172</v>
      </c>
      <c r="W60" s="228">
        <v>66</v>
      </c>
      <c r="X60" s="229">
        <v>9.1999999999999998E-3</v>
      </c>
      <c r="Y60" s="228">
        <v>9.5</v>
      </c>
      <c r="Z60" s="228">
        <v>15.5</v>
      </c>
      <c r="AA60" s="228">
        <v>-6</v>
      </c>
      <c r="AB60" s="229">
        <v>1.2999999999999999E-3</v>
      </c>
      <c r="AC60" s="228">
        <v>9.5</v>
      </c>
      <c r="AD60" s="228">
        <v>15.5</v>
      </c>
      <c r="AE60" s="228">
        <v>-6</v>
      </c>
      <c r="AF60" s="229">
        <v>1.2999999999999999E-3</v>
      </c>
      <c r="AG60" s="228">
        <v>57.5</v>
      </c>
      <c r="AH60" s="228">
        <v>67.5</v>
      </c>
      <c r="AI60" s="228">
        <v>-10</v>
      </c>
      <c r="AJ60" s="229">
        <v>8.0999999999999996E-3</v>
      </c>
      <c r="AK60" s="228">
        <v>103.5</v>
      </c>
      <c r="AL60" s="228">
        <v>110.5</v>
      </c>
      <c r="AM60" s="228">
        <v>-7</v>
      </c>
      <c r="AN60" s="229">
        <v>1.4500000000000001E-2</v>
      </c>
      <c r="AO60" s="231">
        <v>7149.69</v>
      </c>
      <c r="AP60" s="231">
        <v>7195.33</v>
      </c>
      <c r="AQ60" s="228">
        <v>0</v>
      </c>
      <c r="AR60" s="230">
        <v>1008875</v>
      </c>
      <c r="AS60" s="230">
        <v>613025</v>
      </c>
      <c r="AT60" s="230">
        <v>395850</v>
      </c>
      <c r="AU60" s="229">
        <v>0.64570000000000005</v>
      </c>
      <c r="AV60" s="230">
        <v>779625</v>
      </c>
      <c r="AW60" s="230">
        <v>554925</v>
      </c>
      <c r="AX60" s="230">
        <v>224700</v>
      </c>
      <c r="AY60" s="229">
        <v>0.40489999999999998</v>
      </c>
      <c r="AZ60" s="230">
        <v>222775</v>
      </c>
      <c r="BA60" s="230">
        <v>55825</v>
      </c>
      <c r="BB60" s="230">
        <v>166950</v>
      </c>
      <c r="BC60" s="229">
        <v>2.9906000000000001</v>
      </c>
      <c r="BD60" s="230">
        <v>6475</v>
      </c>
      <c r="BE60" s="230">
        <v>2275</v>
      </c>
      <c r="BF60" s="230">
        <v>4200</v>
      </c>
      <c r="BG60" s="229">
        <v>1.8462000000000001</v>
      </c>
      <c r="BH60" s="230">
        <v>4751075</v>
      </c>
      <c r="BI60" s="230">
        <v>2685900</v>
      </c>
      <c r="BJ60" s="230">
        <v>2065175</v>
      </c>
      <c r="BK60" s="229">
        <v>0.76890000000000003</v>
      </c>
      <c r="BL60" s="230">
        <v>2514225</v>
      </c>
      <c r="BM60" s="230">
        <v>2282175</v>
      </c>
      <c r="BN60" s="230">
        <v>232050</v>
      </c>
      <c r="BO60" s="229">
        <v>0.1017</v>
      </c>
      <c r="BP60" s="230">
        <v>8274175</v>
      </c>
      <c r="BQ60" s="230">
        <v>5581100</v>
      </c>
      <c r="BR60" s="230">
        <v>2693075</v>
      </c>
      <c r="BS60" s="229">
        <v>0.48249999999999998</v>
      </c>
      <c r="BT60" s="230">
        <v>910440</v>
      </c>
      <c r="BU60" s="230">
        <v>509202</v>
      </c>
      <c r="BV60" s="230">
        <v>401238</v>
      </c>
      <c r="BW60" s="229">
        <v>0.78800000000000003</v>
      </c>
      <c r="BX60" s="230">
        <v>3183225</v>
      </c>
      <c r="BY60" s="230">
        <v>3136425</v>
      </c>
      <c r="BZ60" s="230">
        <v>46800</v>
      </c>
      <c r="CA60" s="229">
        <v>1.49E-2</v>
      </c>
      <c r="CB60" s="230">
        <v>2906925</v>
      </c>
      <c r="CC60" s="230">
        <v>2956625</v>
      </c>
      <c r="CD60" s="230">
        <v>-49700</v>
      </c>
      <c r="CE60" s="229">
        <v>-1.6799999999999999E-2</v>
      </c>
      <c r="CF60" s="230">
        <v>257900</v>
      </c>
      <c r="CG60" s="230">
        <v>162600</v>
      </c>
      <c r="CH60" s="230">
        <v>95300</v>
      </c>
      <c r="CI60" s="229">
        <v>0.58609999999999995</v>
      </c>
      <c r="CJ60" s="230">
        <v>18400</v>
      </c>
      <c r="CK60" s="230">
        <v>17200</v>
      </c>
      <c r="CL60" s="230">
        <v>1200</v>
      </c>
      <c r="CM60" s="229">
        <v>6.9800000000000001E-2</v>
      </c>
      <c r="CN60" s="230">
        <v>2747750</v>
      </c>
      <c r="CO60" s="230">
        <v>2850800</v>
      </c>
      <c r="CP60" s="230">
        <v>-103050</v>
      </c>
      <c r="CQ60" s="229">
        <v>-3.61E-2</v>
      </c>
      <c r="CR60" s="230">
        <v>2040575</v>
      </c>
      <c r="CS60" s="230">
        <v>1970450</v>
      </c>
      <c r="CT60" s="230">
        <v>70125</v>
      </c>
      <c r="CU60" s="229">
        <v>3.56E-2</v>
      </c>
      <c r="CV60" s="230">
        <v>7971550</v>
      </c>
      <c r="CW60" s="230">
        <v>7957675</v>
      </c>
      <c r="CX60" s="230">
        <v>13875</v>
      </c>
      <c r="CY60" s="229">
        <v>1.6999999999999999E-3</v>
      </c>
      <c r="CZ60" s="228">
        <v>20.09</v>
      </c>
      <c r="DA60" s="228">
        <v>20.23</v>
      </c>
      <c r="DB60" s="228">
        <v>-0.14000000000000001</v>
      </c>
      <c r="DC60" s="228">
        <v>-0.14000000000000001</v>
      </c>
      <c r="DD60" s="228">
        <v>27.15</v>
      </c>
      <c r="DE60" s="228">
        <v>27.19</v>
      </c>
      <c r="DF60" s="228">
        <v>-7.06</v>
      </c>
      <c r="DG60" s="228">
        <v>-0.04</v>
      </c>
      <c r="DH60" s="228">
        <v>20.12</v>
      </c>
      <c r="DI60" s="228">
        <v>20.61</v>
      </c>
      <c r="DJ60" s="228">
        <v>-0.49</v>
      </c>
      <c r="DK60" s="228">
        <v>-0.49</v>
      </c>
      <c r="DL60" s="228">
        <v>20.05</v>
      </c>
      <c r="DM60" s="228">
        <v>19.78</v>
      </c>
      <c r="DN60" s="228">
        <v>0.27</v>
      </c>
      <c r="DO60" s="228">
        <v>0.27</v>
      </c>
      <c r="DP60" s="228">
        <v>0.74</v>
      </c>
      <c r="DQ60" s="228">
        <v>0.69</v>
      </c>
      <c r="DR60" s="228">
        <v>0.05</v>
      </c>
      <c r="DS60" s="229">
        <v>7.2499999999999995E-2</v>
      </c>
      <c r="DT60" s="231">
        <v>7300</v>
      </c>
      <c r="DU60" s="231">
        <v>6300</v>
      </c>
      <c r="DV60" s="228">
        <v>0.53</v>
      </c>
      <c r="DW60" s="228">
        <v>0.85</v>
      </c>
      <c r="DX60" s="228">
        <v>-0.32</v>
      </c>
      <c r="DY60" s="229">
        <v>-0.3765</v>
      </c>
      <c r="DZ60" s="229">
        <v>8.6800000000000002E-2</v>
      </c>
      <c r="EA60" s="230">
        <v>179800</v>
      </c>
      <c r="EB60" s="229">
        <v>6.7000000000000002E-3</v>
      </c>
      <c r="EC60" s="229">
        <v>8.6800000000000002E-2</v>
      </c>
      <c r="ED60" s="228">
        <v>45.64</v>
      </c>
      <c r="EE60" s="229">
        <v>6.4000000000000003E-3</v>
      </c>
      <c r="EF60" s="230">
        <v>676193</v>
      </c>
      <c r="EG60" s="230">
        <v>388550</v>
      </c>
      <c r="EH60" s="229">
        <v>0.74029999999999996</v>
      </c>
      <c r="EI60" s="229">
        <v>0.74270000000000003</v>
      </c>
      <c r="EJ60" s="231">
        <v>348605.99</v>
      </c>
      <c r="EK60" s="231">
        <v>176525.85</v>
      </c>
      <c r="EL60" s="231">
        <v>65168.32</v>
      </c>
      <c r="EM60" s="231">
        <v>4353</v>
      </c>
      <c r="EN60" s="231">
        <v>590300.16000000003</v>
      </c>
      <c r="EO60" s="231">
        <v>398908.93</v>
      </c>
      <c r="EP60" s="231">
        <v>191391.23</v>
      </c>
      <c r="EQ60" s="229">
        <v>0.4798</v>
      </c>
      <c r="ER60" s="231">
        <v>204572</v>
      </c>
      <c r="ES60" s="231">
        <v>138179</v>
      </c>
      <c r="ET60" s="231">
        <v>227551</v>
      </c>
      <c r="EU60" s="231">
        <v>20353850</v>
      </c>
      <c r="EV60" s="231">
        <v>570302</v>
      </c>
      <c r="EW60" s="231">
        <v>567274</v>
      </c>
      <c r="EX60" s="231">
        <v>3028</v>
      </c>
      <c r="EY60" s="229">
        <v>5.3E-3</v>
      </c>
      <c r="EZ60" s="229">
        <v>0.3916</v>
      </c>
      <c r="FA60" s="227" t="s">
        <v>555</v>
      </c>
      <c r="FB60" s="161">
        <f t="shared" si="0"/>
        <v>276300</v>
      </c>
    </row>
    <row r="61" spans="1:158" ht="17.25" hidden="1" thickBot="1" x14ac:dyDescent="0.3">
      <c r="A61" s="226">
        <v>46008</v>
      </c>
      <c r="B61" s="227" t="s">
        <v>615</v>
      </c>
      <c r="C61" s="227" t="s">
        <v>668</v>
      </c>
      <c r="D61" s="228">
        <v>2425</v>
      </c>
      <c r="E61" s="228">
        <v>285</v>
      </c>
      <c r="F61" s="228">
        <v>284.95</v>
      </c>
      <c r="G61" s="228">
        <v>0.05</v>
      </c>
      <c r="H61" s="229">
        <v>2.0000000000000001E-4</v>
      </c>
      <c r="I61" s="228">
        <v>284.45</v>
      </c>
      <c r="J61" s="228">
        <v>284.45</v>
      </c>
      <c r="K61" s="228">
        <v>0</v>
      </c>
      <c r="L61" s="229">
        <v>0</v>
      </c>
      <c r="M61" s="228">
        <v>285</v>
      </c>
      <c r="N61" s="228">
        <v>284.95</v>
      </c>
      <c r="O61" s="228">
        <v>0.05</v>
      </c>
      <c r="P61" s="229">
        <v>2.0000000000000001E-4</v>
      </c>
      <c r="Q61" s="228">
        <v>286.95</v>
      </c>
      <c r="R61" s="228">
        <v>286.64999999999998</v>
      </c>
      <c r="S61" s="228">
        <v>0.3</v>
      </c>
      <c r="T61" s="229">
        <v>1E-3</v>
      </c>
      <c r="U61" s="228">
        <v>288.5</v>
      </c>
      <c r="V61" s="228">
        <v>288.3</v>
      </c>
      <c r="W61" s="228">
        <v>0.2</v>
      </c>
      <c r="X61" s="229">
        <v>6.9999999999999999E-4</v>
      </c>
      <c r="Y61" s="228">
        <v>0.55000000000000004</v>
      </c>
      <c r="Z61" s="228">
        <v>0.5</v>
      </c>
      <c r="AA61" s="228">
        <v>0.05</v>
      </c>
      <c r="AB61" s="229">
        <v>1.9E-3</v>
      </c>
      <c r="AC61" s="228">
        <v>0.55000000000000004</v>
      </c>
      <c r="AD61" s="228">
        <v>0.5</v>
      </c>
      <c r="AE61" s="228">
        <v>0.05</v>
      </c>
      <c r="AF61" s="229">
        <v>1.9E-3</v>
      </c>
      <c r="AG61" s="228">
        <v>2.5</v>
      </c>
      <c r="AH61" s="228">
        <v>2.2000000000000002</v>
      </c>
      <c r="AI61" s="228">
        <v>0.3</v>
      </c>
      <c r="AJ61" s="229">
        <v>8.8000000000000005E-3</v>
      </c>
      <c r="AK61" s="228">
        <v>4.05</v>
      </c>
      <c r="AL61" s="228">
        <v>3.85</v>
      </c>
      <c r="AM61" s="228">
        <v>0.2</v>
      </c>
      <c r="AN61" s="229">
        <v>1.4200000000000001E-2</v>
      </c>
      <c r="AO61" s="228">
        <v>286.7</v>
      </c>
      <c r="AP61" s="228">
        <v>288.35000000000002</v>
      </c>
      <c r="AQ61" s="228">
        <v>0</v>
      </c>
      <c r="AR61" s="230">
        <v>26381575</v>
      </c>
      <c r="AS61" s="230">
        <v>64109725</v>
      </c>
      <c r="AT61" s="230">
        <v>-37728150</v>
      </c>
      <c r="AU61" s="229">
        <v>-0.58850000000000002</v>
      </c>
      <c r="AV61" s="230">
        <v>22021425</v>
      </c>
      <c r="AW61" s="230">
        <v>55277875</v>
      </c>
      <c r="AX61" s="230">
        <v>-33256450</v>
      </c>
      <c r="AY61" s="229">
        <v>-0.60160000000000002</v>
      </c>
      <c r="AZ61" s="230">
        <v>4120075</v>
      </c>
      <c r="BA61" s="230">
        <v>8181950</v>
      </c>
      <c r="BB61" s="230">
        <v>-4061875</v>
      </c>
      <c r="BC61" s="229">
        <v>-0.49640000000000001</v>
      </c>
      <c r="BD61" s="230">
        <v>240075</v>
      </c>
      <c r="BE61" s="230">
        <v>649900</v>
      </c>
      <c r="BF61" s="230">
        <v>-409825</v>
      </c>
      <c r="BG61" s="229">
        <v>-0.63060000000000005</v>
      </c>
      <c r="BH61" s="230">
        <v>102351975</v>
      </c>
      <c r="BI61" s="230">
        <v>271888575</v>
      </c>
      <c r="BJ61" s="230">
        <v>-169536600</v>
      </c>
      <c r="BK61" s="229">
        <v>-0.62360000000000004</v>
      </c>
      <c r="BL61" s="230">
        <v>61131825</v>
      </c>
      <c r="BM61" s="230">
        <v>204286850</v>
      </c>
      <c r="BN61" s="230">
        <v>-143155025</v>
      </c>
      <c r="BO61" s="229">
        <v>-0.70079999999999998</v>
      </c>
      <c r="BP61" s="230">
        <v>189865375</v>
      </c>
      <c r="BQ61" s="230">
        <v>540285150</v>
      </c>
      <c r="BR61" s="230">
        <v>-350419775</v>
      </c>
      <c r="BS61" s="229">
        <v>-0.64859999999999995</v>
      </c>
      <c r="BT61" s="230">
        <v>28795494</v>
      </c>
      <c r="BU61" s="230">
        <v>61442156</v>
      </c>
      <c r="BV61" s="230">
        <v>-32646662</v>
      </c>
      <c r="BW61" s="229">
        <v>-0.53129999999999999</v>
      </c>
      <c r="BX61" s="230">
        <v>305237175</v>
      </c>
      <c r="BY61" s="230">
        <v>305525750</v>
      </c>
      <c r="BZ61" s="230">
        <v>-288575</v>
      </c>
      <c r="CA61" s="229">
        <v>-8.9999999999999998E-4</v>
      </c>
      <c r="CB61" s="230">
        <v>286647125</v>
      </c>
      <c r="CC61" s="230">
        <v>289106075</v>
      </c>
      <c r="CD61" s="230">
        <v>-2458950</v>
      </c>
      <c r="CE61" s="229">
        <v>-8.5000000000000006E-3</v>
      </c>
      <c r="CF61" s="230">
        <v>16858600</v>
      </c>
      <c r="CG61" s="230">
        <v>14746425</v>
      </c>
      <c r="CH61" s="230">
        <v>2112175</v>
      </c>
      <c r="CI61" s="229">
        <v>0.14319999999999999</v>
      </c>
      <c r="CJ61" s="230">
        <v>1731450</v>
      </c>
      <c r="CK61" s="230">
        <v>1673250</v>
      </c>
      <c r="CL61" s="230">
        <v>58200</v>
      </c>
      <c r="CM61" s="229">
        <v>3.4799999999999998E-2</v>
      </c>
      <c r="CN61" s="230">
        <v>97048500</v>
      </c>
      <c r="CO61" s="230">
        <v>93963900</v>
      </c>
      <c r="CP61" s="230">
        <v>3084600</v>
      </c>
      <c r="CQ61" s="229">
        <v>3.2800000000000003E-2</v>
      </c>
      <c r="CR61" s="230">
        <v>51509425</v>
      </c>
      <c r="CS61" s="230">
        <v>51536100</v>
      </c>
      <c r="CT61" s="230">
        <v>-26675</v>
      </c>
      <c r="CU61" s="229">
        <v>-5.0000000000000001E-4</v>
      </c>
      <c r="CV61" s="230">
        <v>453795100</v>
      </c>
      <c r="CW61" s="230">
        <v>451025750</v>
      </c>
      <c r="CX61" s="230">
        <v>2769350</v>
      </c>
      <c r="CY61" s="229">
        <v>6.1000000000000004E-3</v>
      </c>
      <c r="CZ61" s="228">
        <v>29.47</v>
      </c>
      <c r="DA61" s="228">
        <v>29.93</v>
      </c>
      <c r="DB61" s="228">
        <v>-0.46</v>
      </c>
      <c r="DC61" s="228">
        <v>-0.46</v>
      </c>
      <c r="DD61" s="228">
        <v>43.94</v>
      </c>
      <c r="DE61" s="228">
        <v>44.05</v>
      </c>
      <c r="DF61" s="228">
        <v>-14.47</v>
      </c>
      <c r="DG61" s="228">
        <v>-0.11</v>
      </c>
      <c r="DH61" s="228">
        <v>30.08</v>
      </c>
      <c r="DI61" s="228">
        <v>30.74</v>
      </c>
      <c r="DJ61" s="228">
        <v>-0.66</v>
      </c>
      <c r="DK61" s="228">
        <v>-0.66</v>
      </c>
      <c r="DL61" s="228">
        <v>28.43</v>
      </c>
      <c r="DM61" s="228">
        <v>28.86</v>
      </c>
      <c r="DN61" s="228">
        <v>-0.43</v>
      </c>
      <c r="DO61" s="228">
        <v>-0.43</v>
      </c>
      <c r="DP61" s="228">
        <v>0.53</v>
      </c>
      <c r="DQ61" s="228">
        <v>0.55000000000000004</v>
      </c>
      <c r="DR61" s="228">
        <v>-0.02</v>
      </c>
      <c r="DS61" s="229">
        <v>-3.6400000000000002E-2</v>
      </c>
      <c r="DT61" s="228">
        <v>310</v>
      </c>
      <c r="DU61" s="228">
        <v>290</v>
      </c>
      <c r="DV61" s="228">
        <v>0.6</v>
      </c>
      <c r="DW61" s="228">
        <v>0.75</v>
      </c>
      <c r="DX61" s="228">
        <v>-0.15</v>
      </c>
      <c r="DY61" s="229">
        <v>-0.2</v>
      </c>
      <c r="DZ61" s="229">
        <v>6.0900000000000003E-2</v>
      </c>
      <c r="EA61" s="230">
        <v>16419675</v>
      </c>
      <c r="EB61" s="229">
        <v>6.7999999999999996E-3</v>
      </c>
      <c r="EC61" s="229">
        <v>6.0900000000000003E-2</v>
      </c>
      <c r="ED61" s="228">
        <v>1.65</v>
      </c>
      <c r="EE61" s="229">
        <v>5.7999999999999996E-3</v>
      </c>
      <c r="EF61" s="230">
        <v>17217413</v>
      </c>
      <c r="EG61" s="230">
        <v>31494680</v>
      </c>
      <c r="EH61" s="229">
        <v>-0.45329999999999998</v>
      </c>
      <c r="EI61" s="229">
        <v>0.59789999999999999</v>
      </c>
      <c r="EJ61" s="231">
        <v>309483.37</v>
      </c>
      <c r="EK61" s="231">
        <v>172368</v>
      </c>
      <c r="EL61" s="231">
        <v>75711.55</v>
      </c>
      <c r="EM61" s="231">
        <v>12738</v>
      </c>
      <c r="EN61" s="231">
        <v>557562.92000000004</v>
      </c>
      <c r="EO61" s="231">
        <v>1594490.04</v>
      </c>
      <c r="EP61" s="231">
        <v>-1036927.12</v>
      </c>
      <c r="EQ61" s="229">
        <v>-0.65029999999999999</v>
      </c>
      <c r="ER61" s="231">
        <v>299694</v>
      </c>
      <c r="ES61" s="231">
        <v>147857</v>
      </c>
      <c r="ET61" s="231">
        <v>870315</v>
      </c>
      <c r="EU61" s="231">
        <v>1361988292</v>
      </c>
      <c r="EV61" s="231">
        <v>1317866</v>
      </c>
      <c r="EW61" s="231">
        <v>1309757</v>
      </c>
      <c r="EX61" s="231">
        <v>8109</v>
      </c>
      <c r="EY61" s="229">
        <v>6.1999999999999998E-3</v>
      </c>
      <c r="EZ61" s="229">
        <v>0.3332</v>
      </c>
      <c r="FA61" s="227" t="s">
        <v>556</v>
      </c>
      <c r="FB61" s="161">
        <f t="shared" si="0"/>
        <v>18590050</v>
      </c>
    </row>
    <row r="62" spans="1:158" ht="17.25" hidden="1" thickBot="1" x14ac:dyDescent="0.3">
      <c r="A62" s="226">
        <v>46008</v>
      </c>
      <c r="B62" s="227" t="s">
        <v>162</v>
      </c>
      <c r="C62" s="227" t="s">
        <v>211</v>
      </c>
      <c r="D62" s="228">
        <v>1800</v>
      </c>
      <c r="E62" s="228">
        <v>364.1</v>
      </c>
      <c r="F62" s="228">
        <v>366.45</v>
      </c>
      <c r="G62" s="228">
        <v>-2.35</v>
      </c>
      <c r="H62" s="229">
        <v>-6.4000000000000003E-3</v>
      </c>
      <c r="I62" s="228">
        <v>363.8</v>
      </c>
      <c r="J62" s="228">
        <v>366.25</v>
      </c>
      <c r="K62" s="228">
        <v>-2.4500000000000002</v>
      </c>
      <c r="L62" s="229">
        <v>-6.7000000000000002E-3</v>
      </c>
      <c r="M62" s="228">
        <v>364.1</v>
      </c>
      <c r="N62" s="228">
        <v>366.45</v>
      </c>
      <c r="O62" s="228">
        <v>-2.35</v>
      </c>
      <c r="P62" s="229">
        <v>-6.4000000000000003E-3</v>
      </c>
      <c r="Q62" s="228">
        <v>366.25</v>
      </c>
      <c r="R62" s="228">
        <v>368.55</v>
      </c>
      <c r="S62" s="228">
        <v>-2.2999999999999998</v>
      </c>
      <c r="T62" s="229">
        <v>-6.1999999999999998E-3</v>
      </c>
      <c r="U62" s="228">
        <v>368.75</v>
      </c>
      <c r="V62" s="228">
        <v>370.05</v>
      </c>
      <c r="W62" s="228">
        <v>-1.3</v>
      </c>
      <c r="X62" s="229">
        <v>-3.5000000000000001E-3</v>
      </c>
      <c r="Y62" s="228">
        <v>0.3</v>
      </c>
      <c r="Z62" s="228">
        <v>0.2</v>
      </c>
      <c r="AA62" s="228">
        <v>0.1</v>
      </c>
      <c r="AB62" s="229">
        <v>8.0000000000000004E-4</v>
      </c>
      <c r="AC62" s="228">
        <v>0.3</v>
      </c>
      <c r="AD62" s="228">
        <v>0.2</v>
      </c>
      <c r="AE62" s="228">
        <v>0.1</v>
      </c>
      <c r="AF62" s="229">
        <v>8.0000000000000004E-4</v>
      </c>
      <c r="AG62" s="228">
        <v>2.4500000000000002</v>
      </c>
      <c r="AH62" s="228">
        <v>2.2999999999999998</v>
      </c>
      <c r="AI62" s="228">
        <v>0.15</v>
      </c>
      <c r="AJ62" s="229">
        <v>6.7000000000000002E-3</v>
      </c>
      <c r="AK62" s="228">
        <v>4.95</v>
      </c>
      <c r="AL62" s="228">
        <v>3.8</v>
      </c>
      <c r="AM62" s="228">
        <v>1.1499999999999999</v>
      </c>
      <c r="AN62" s="229">
        <v>1.3599999999999999E-2</v>
      </c>
      <c r="AO62" s="228">
        <v>363.88</v>
      </c>
      <c r="AP62" s="228">
        <v>366.1</v>
      </c>
      <c r="AQ62" s="228">
        <v>0</v>
      </c>
      <c r="AR62" s="230">
        <v>2070000</v>
      </c>
      <c r="AS62" s="230">
        <v>3265200</v>
      </c>
      <c r="AT62" s="230">
        <v>-1195200</v>
      </c>
      <c r="AU62" s="229">
        <v>-0.36599999999999999</v>
      </c>
      <c r="AV62" s="230">
        <v>1629000</v>
      </c>
      <c r="AW62" s="230">
        <v>2669400</v>
      </c>
      <c r="AX62" s="230">
        <v>-1040400</v>
      </c>
      <c r="AY62" s="229">
        <v>-0.38979999999999998</v>
      </c>
      <c r="AZ62" s="230">
        <v>410400</v>
      </c>
      <c r="BA62" s="230">
        <v>545400</v>
      </c>
      <c r="BB62" s="230">
        <v>-135000</v>
      </c>
      <c r="BC62" s="229">
        <v>-0.2475</v>
      </c>
      <c r="BD62" s="230">
        <v>30600</v>
      </c>
      <c r="BE62" s="230">
        <v>50400</v>
      </c>
      <c r="BF62" s="230">
        <v>-19800</v>
      </c>
      <c r="BG62" s="229">
        <v>-0.39290000000000003</v>
      </c>
      <c r="BH62" s="230">
        <v>10245600</v>
      </c>
      <c r="BI62" s="230">
        <v>11829600</v>
      </c>
      <c r="BJ62" s="230">
        <v>-1584000</v>
      </c>
      <c r="BK62" s="229">
        <v>-0.13389999999999999</v>
      </c>
      <c r="BL62" s="230">
        <v>4233600</v>
      </c>
      <c r="BM62" s="230">
        <v>4735800</v>
      </c>
      <c r="BN62" s="230">
        <v>-502200</v>
      </c>
      <c r="BO62" s="229">
        <v>-0.106</v>
      </c>
      <c r="BP62" s="230">
        <v>16549200</v>
      </c>
      <c r="BQ62" s="230">
        <v>19830600</v>
      </c>
      <c r="BR62" s="230">
        <v>-3281400</v>
      </c>
      <c r="BS62" s="229">
        <v>-0.16550000000000001</v>
      </c>
      <c r="BT62" s="230">
        <v>990424</v>
      </c>
      <c r="BU62" s="230">
        <v>1450168</v>
      </c>
      <c r="BV62" s="230">
        <v>-459744</v>
      </c>
      <c r="BW62" s="229">
        <v>-0.317</v>
      </c>
      <c r="BX62" s="230">
        <v>31055400</v>
      </c>
      <c r="BY62" s="230">
        <v>30904200</v>
      </c>
      <c r="BZ62" s="230">
        <v>151200</v>
      </c>
      <c r="CA62" s="229">
        <v>4.8999999999999998E-3</v>
      </c>
      <c r="CB62" s="230">
        <v>28863000</v>
      </c>
      <c r="CC62" s="230">
        <v>28911600</v>
      </c>
      <c r="CD62" s="230">
        <v>-48600</v>
      </c>
      <c r="CE62" s="229">
        <v>-1.6999999999999999E-3</v>
      </c>
      <c r="CF62" s="230">
        <v>1947600</v>
      </c>
      <c r="CG62" s="230">
        <v>1769400</v>
      </c>
      <c r="CH62" s="230">
        <v>178200</v>
      </c>
      <c r="CI62" s="229">
        <v>0.1007</v>
      </c>
      <c r="CJ62" s="230">
        <v>244800</v>
      </c>
      <c r="CK62" s="230">
        <v>223200</v>
      </c>
      <c r="CL62" s="230">
        <v>21600</v>
      </c>
      <c r="CM62" s="229">
        <v>9.6799999999999997E-2</v>
      </c>
      <c r="CN62" s="230">
        <v>11291400</v>
      </c>
      <c r="CO62" s="230">
        <v>10737000</v>
      </c>
      <c r="CP62" s="230">
        <v>554400</v>
      </c>
      <c r="CQ62" s="229">
        <v>5.16E-2</v>
      </c>
      <c r="CR62" s="230">
        <v>7963200</v>
      </c>
      <c r="CS62" s="230">
        <v>7623000</v>
      </c>
      <c r="CT62" s="230">
        <v>340200</v>
      </c>
      <c r="CU62" s="229">
        <v>4.4600000000000001E-2</v>
      </c>
      <c r="CV62" s="230">
        <v>50310000</v>
      </c>
      <c r="CW62" s="230">
        <v>49264200</v>
      </c>
      <c r="CX62" s="230">
        <v>1045800</v>
      </c>
      <c r="CY62" s="229">
        <v>2.12E-2</v>
      </c>
      <c r="CZ62" s="228">
        <v>22.73</v>
      </c>
      <c r="DA62" s="228">
        <v>21.83</v>
      </c>
      <c r="DB62" s="228">
        <v>0.9</v>
      </c>
      <c r="DC62" s="228">
        <v>0.9</v>
      </c>
      <c r="DD62" s="228">
        <v>33.479999999999997</v>
      </c>
      <c r="DE62" s="228">
        <v>33.549999999999997</v>
      </c>
      <c r="DF62" s="228">
        <v>-10.75</v>
      </c>
      <c r="DG62" s="228">
        <v>-7.0000000000000007E-2</v>
      </c>
      <c r="DH62" s="228">
        <v>22.9</v>
      </c>
      <c r="DI62" s="228">
        <v>22.7</v>
      </c>
      <c r="DJ62" s="228">
        <v>0.2</v>
      </c>
      <c r="DK62" s="228">
        <v>0.2</v>
      </c>
      <c r="DL62" s="228">
        <v>22.3</v>
      </c>
      <c r="DM62" s="228">
        <v>19.649999999999999</v>
      </c>
      <c r="DN62" s="228">
        <v>2.65</v>
      </c>
      <c r="DO62" s="228">
        <v>2.65</v>
      </c>
      <c r="DP62" s="228">
        <v>0.71</v>
      </c>
      <c r="DQ62" s="228">
        <v>0.71</v>
      </c>
      <c r="DR62" s="228">
        <v>0</v>
      </c>
      <c r="DS62" s="229">
        <v>0</v>
      </c>
      <c r="DT62" s="228">
        <v>380</v>
      </c>
      <c r="DU62" s="228">
        <v>370</v>
      </c>
      <c r="DV62" s="228">
        <v>0.41</v>
      </c>
      <c r="DW62" s="228">
        <v>0.4</v>
      </c>
      <c r="DX62" s="228">
        <v>0.01</v>
      </c>
      <c r="DY62" s="229">
        <v>2.5000000000000001E-2</v>
      </c>
      <c r="DZ62" s="229">
        <v>7.0599999999999996E-2</v>
      </c>
      <c r="EA62" s="230">
        <v>1992600</v>
      </c>
      <c r="EB62" s="229">
        <v>5.8999999999999999E-3</v>
      </c>
      <c r="EC62" s="229">
        <v>7.0599999999999996E-2</v>
      </c>
      <c r="ED62" s="228">
        <v>2.2200000000000002</v>
      </c>
      <c r="EE62" s="229">
        <v>6.1000000000000004E-3</v>
      </c>
      <c r="EF62" s="230">
        <v>447994</v>
      </c>
      <c r="EG62" s="230">
        <v>686565</v>
      </c>
      <c r="EH62" s="229">
        <v>-0.34749999999999998</v>
      </c>
      <c r="EI62" s="229">
        <v>0.45229999999999998</v>
      </c>
      <c r="EJ62" s="231">
        <v>38840.639999999999</v>
      </c>
      <c r="EK62" s="231">
        <v>15240.41</v>
      </c>
      <c r="EL62" s="231">
        <v>7542.86</v>
      </c>
      <c r="EM62" s="231">
        <v>1228</v>
      </c>
      <c r="EN62" s="231">
        <v>61623.91</v>
      </c>
      <c r="EO62" s="231">
        <v>74825.75</v>
      </c>
      <c r="EP62" s="231">
        <v>-13201.84</v>
      </c>
      <c r="EQ62" s="229">
        <v>-0.1764</v>
      </c>
      <c r="ER62" s="231">
        <v>43652</v>
      </c>
      <c r="ES62" s="231">
        <v>29636</v>
      </c>
      <c r="ET62" s="231">
        <v>113126</v>
      </c>
      <c r="EU62" s="231">
        <v>68856800</v>
      </c>
      <c r="EV62" s="231">
        <v>186415</v>
      </c>
      <c r="EW62" s="231">
        <v>183454</v>
      </c>
      <c r="EX62" s="231">
        <v>2961</v>
      </c>
      <c r="EY62" s="229">
        <v>1.61E-2</v>
      </c>
      <c r="EZ62" s="229">
        <v>0.73060000000000003</v>
      </c>
      <c r="FA62" s="227" t="s">
        <v>567</v>
      </c>
      <c r="FB62" s="161">
        <f t="shared" si="0"/>
        <v>2192400</v>
      </c>
    </row>
    <row r="63" spans="1:158" ht="17.25" hidden="1" thickBot="1" x14ac:dyDescent="0.3">
      <c r="A63" s="226">
        <v>46008</v>
      </c>
      <c r="B63" s="227" t="s">
        <v>172</v>
      </c>
      <c r="C63" s="227" t="s">
        <v>212</v>
      </c>
      <c r="D63" s="228">
        <v>5000</v>
      </c>
      <c r="E63" s="228">
        <v>264.3</v>
      </c>
      <c r="F63" s="228">
        <v>263.10000000000002</v>
      </c>
      <c r="G63" s="228">
        <v>1.2</v>
      </c>
      <c r="H63" s="229">
        <v>4.5999999999999999E-3</v>
      </c>
      <c r="I63" s="228">
        <v>263.60000000000002</v>
      </c>
      <c r="J63" s="228">
        <v>262.2</v>
      </c>
      <c r="K63" s="228">
        <v>1.4</v>
      </c>
      <c r="L63" s="229">
        <v>5.3E-3</v>
      </c>
      <c r="M63" s="228">
        <v>264.3</v>
      </c>
      <c r="N63" s="228">
        <v>263.10000000000002</v>
      </c>
      <c r="O63" s="228">
        <v>1.2</v>
      </c>
      <c r="P63" s="229">
        <v>4.5999999999999999E-3</v>
      </c>
      <c r="Q63" s="228">
        <v>265.75</v>
      </c>
      <c r="R63" s="228">
        <v>264.5</v>
      </c>
      <c r="S63" s="228">
        <v>1.25</v>
      </c>
      <c r="T63" s="229">
        <v>4.7000000000000002E-3</v>
      </c>
      <c r="U63" s="228">
        <v>266.60000000000002</v>
      </c>
      <c r="V63" s="228">
        <v>265.14999999999998</v>
      </c>
      <c r="W63" s="228">
        <v>1.45</v>
      </c>
      <c r="X63" s="229">
        <v>5.4999999999999997E-3</v>
      </c>
      <c r="Y63" s="228">
        <v>0.7</v>
      </c>
      <c r="Z63" s="228">
        <v>0.9</v>
      </c>
      <c r="AA63" s="228">
        <v>-0.2</v>
      </c>
      <c r="AB63" s="229">
        <v>2.7000000000000001E-3</v>
      </c>
      <c r="AC63" s="228">
        <v>0.7</v>
      </c>
      <c r="AD63" s="228">
        <v>0.9</v>
      </c>
      <c r="AE63" s="228">
        <v>-0.2</v>
      </c>
      <c r="AF63" s="229">
        <v>2.7000000000000001E-3</v>
      </c>
      <c r="AG63" s="228">
        <v>2.15</v>
      </c>
      <c r="AH63" s="228">
        <v>2.2999999999999998</v>
      </c>
      <c r="AI63" s="228">
        <v>-0.15</v>
      </c>
      <c r="AJ63" s="229">
        <v>8.2000000000000007E-3</v>
      </c>
      <c r="AK63" s="228">
        <v>3</v>
      </c>
      <c r="AL63" s="228">
        <v>2.95</v>
      </c>
      <c r="AM63" s="228">
        <v>0.05</v>
      </c>
      <c r="AN63" s="229">
        <v>1.14E-2</v>
      </c>
      <c r="AO63" s="228">
        <v>264.05</v>
      </c>
      <c r="AP63" s="228">
        <v>265.44</v>
      </c>
      <c r="AQ63" s="228">
        <v>0</v>
      </c>
      <c r="AR63" s="230">
        <v>11685000</v>
      </c>
      <c r="AS63" s="230">
        <v>15720000</v>
      </c>
      <c r="AT63" s="230">
        <v>-4035000</v>
      </c>
      <c r="AU63" s="229">
        <v>-0.25669999999999998</v>
      </c>
      <c r="AV63" s="230">
        <v>9120000</v>
      </c>
      <c r="AW63" s="230">
        <v>12565000</v>
      </c>
      <c r="AX63" s="230">
        <v>-3445000</v>
      </c>
      <c r="AY63" s="229">
        <v>-0.2742</v>
      </c>
      <c r="AZ63" s="230">
        <v>2410000</v>
      </c>
      <c r="BA63" s="230">
        <v>3000000</v>
      </c>
      <c r="BB63" s="230">
        <v>-590000</v>
      </c>
      <c r="BC63" s="229">
        <v>-0.19670000000000001</v>
      </c>
      <c r="BD63" s="230">
        <v>155000</v>
      </c>
      <c r="BE63" s="230">
        <v>155000</v>
      </c>
      <c r="BF63" s="228">
        <v>0</v>
      </c>
      <c r="BG63" s="229">
        <v>0</v>
      </c>
      <c r="BH63" s="230">
        <v>47700000</v>
      </c>
      <c r="BI63" s="230">
        <v>52195000</v>
      </c>
      <c r="BJ63" s="230">
        <v>-4495000</v>
      </c>
      <c r="BK63" s="229">
        <v>-8.6099999999999996E-2</v>
      </c>
      <c r="BL63" s="230">
        <v>27965000</v>
      </c>
      <c r="BM63" s="230">
        <v>28615000</v>
      </c>
      <c r="BN63" s="230">
        <v>-650000</v>
      </c>
      <c r="BO63" s="229">
        <v>-2.2700000000000001E-2</v>
      </c>
      <c r="BP63" s="230">
        <v>87350000</v>
      </c>
      <c r="BQ63" s="230">
        <v>96530000</v>
      </c>
      <c r="BR63" s="230">
        <v>-9180000</v>
      </c>
      <c r="BS63" s="229">
        <v>-9.5100000000000004E-2</v>
      </c>
      <c r="BT63" s="230">
        <v>3883202</v>
      </c>
      <c r="BU63" s="230">
        <v>6964244</v>
      </c>
      <c r="BV63" s="230">
        <v>-3081042</v>
      </c>
      <c r="BW63" s="229">
        <v>-0.44240000000000002</v>
      </c>
      <c r="BX63" s="230">
        <v>67220000</v>
      </c>
      <c r="BY63" s="230">
        <v>66565000</v>
      </c>
      <c r="BZ63" s="230">
        <v>655000</v>
      </c>
      <c r="CA63" s="229">
        <v>9.7999999999999997E-3</v>
      </c>
      <c r="CB63" s="230">
        <v>58725000</v>
      </c>
      <c r="CC63" s="230">
        <v>59100000</v>
      </c>
      <c r="CD63" s="230">
        <v>-375000</v>
      </c>
      <c r="CE63" s="229">
        <v>-6.3E-3</v>
      </c>
      <c r="CF63" s="230">
        <v>7880000</v>
      </c>
      <c r="CG63" s="230">
        <v>6885000</v>
      </c>
      <c r="CH63" s="230">
        <v>995000</v>
      </c>
      <c r="CI63" s="229">
        <v>0.14449999999999999</v>
      </c>
      <c r="CJ63" s="230">
        <v>615000</v>
      </c>
      <c r="CK63" s="230">
        <v>580000</v>
      </c>
      <c r="CL63" s="230">
        <v>35000</v>
      </c>
      <c r="CM63" s="229">
        <v>6.0299999999999999E-2</v>
      </c>
      <c r="CN63" s="230">
        <v>44210000</v>
      </c>
      <c r="CO63" s="230">
        <v>42660000</v>
      </c>
      <c r="CP63" s="230">
        <v>1550000</v>
      </c>
      <c r="CQ63" s="229">
        <v>3.6299999999999999E-2</v>
      </c>
      <c r="CR63" s="230">
        <v>43555000</v>
      </c>
      <c r="CS63" s="230">
        <v>42595000</v>
      </c>
      <c r="CT63" s="230">
        <v>960000</v>
      </c>
      <c r="CU63" s="229">
        <v>2.2499999999999999E-2</v>
      </c>
      <c r="CV63" s="230">
        <v>154985000</v>
      </c>
      <c r="CW63" s="230">
        <v>151820000</v>
      </c>
      <c r="CX63" s="230">
        <v>3165000</v>
      </c>
      <c r="CY63" s="229">
        <v>2.0799999999999999E-2</v>
      </c>
      <c r="CZ63" s="228">
        <v>19.47</v>
      </c>
      <c r="DA63" s="228">
        <v>20.11</v>
      </c>
      <c r="DB63" s="228">
        <v>-0.64</v>
      </c>
      <c r="DC63" s="228">
        <v>-0.64</v>
      </c>
      <c r="DD63" s="228">
        <v>28.37</v>
      </c>
      <c r="DE63" s="228">
        <v>28.43</v>
      </c>
      <c r="DF63" s="228">
        <v>-8.9</v>
      </c>
      <c r="DG63" s="228">
        <v>-0.06</v>
      </c>
      <c r="DH63" s="228">
        <v>19.079999999999998</v>
      </c>
      <c r="DI63" s="228">
        <v>20.14</v>
      </c>
      <c r="DJ63" s="228">
        <v>-1.06</v>
      </c>
      <c r="DK63" s="228">
        <v>-1.06</v>
      </c>
      <c r="DL63" s="228">
        <v>20.13</v>
      </c>
      <c r="DM63" s="228">
        <v>20.04</v>
      </c>
      <c r="DN63" s="228">
        <v>0.09</v>
      </c>
      <c r="DO63" s="228">
        <v>0.09</v>
      </c>
      <c r="DP63" s="228">
        <v>0.99</v>
      </c>
      <c r="DQ63" s="228">
        <v>1</v>
      </c>
      <c r="DR63" s="228">
        <v>-0.01</v>
      </c>
      <c r="DS63" s="229">
        <v>-0.01</v>
      </c>
      <c r="DT63" s="228">
        <v>265</v>
      </c>
      <c r="DU63" s="228">
        <v>250</v>
      </c>
      <c r="DV63" s="228">
        <v>0.59</v>
      </c>
      <c r="DW63" s="228">
        <v>0.55000000000000004</v>
      </c>
      <c r="DX63" s="228">
        <v>0.04</v>
      </c>
      <c r="DY63" s="229">
        <v>7.2700000000000001E-2</v>
      </c>
      <c r="DZ63" s="229">
        <v>0.12640000000000001</v>
      </c>
      <c r="EA63" s="230">
        <v>7465000</v>
      </c>
      <c r="EB63" s="229">
        <v>5.4999999999999997E-3</v>
      </c>
      <c r="EC63" s="229">
        <v>0.12640000000000001</v>
      </c>
      <c r="ED63" s="228">
        <v>1.39</v>
      </c>
      <c r="EE63" s="229">
        <v>5.3E-3</v>
      </c>
      <c r="EF63" s="230">
        <v>2247034</v>
      </c>
      <c r="EG63" s="230">
        <v>4826241</v>
      </c>
      <c r="EH63" s="229">
        <v>-0.53439999999999999</v>
      </c>
      <c r="EI63" s="229">
        <v>0.57869999999999999</v>
      </c>
      <c r="EJ63" s="231">
        <v>129647.94</v>
      </c>
      <c r="EK63" s="231">
        <v>72762.34</v>
      </c>
      <c r="EL63" s="231">
        <v>30891.41</v>
      </c>
      <c r="EM63" s="231">
        <v>2826</v>
      </c>
      <c r="EN63" s="231">
        <v>233301.69</v>
      </c>
      <c r="EO63" s="231">
        <v>258480.25</v>
      </c>
      <c r="EP63" s="231">
        <v>-25178.560000000001</v>
      </c>
      <c r="EQ63" s="229">
        <v>-9.74E-2</v>
      </c>
      <c r="ER63" s="231">
        <v>117705</v>
      </c>
      <c r="ES63" s="231">
        <v>108754</v>
      </c>
      <c r="ET63" s="231">
        <v>177791</v>
      </c>
      <c r="EU63" s="231">
        <v>338654719</v>
      </c>
      <c r="EV63" s="231">
        <v>404249</v>
      </c>
      <c r="EW63" s="231">
        <v>394954</v>
      </c>
      <c r="EX63" s="231">
        <v>9295</v>
      </c>
      <c r="EY63" s="229">
        <v>2.35E-2</v>
      </c>
      <c r="EZ63" s="229">
        <v>0.45760000000000001</v>
      </c>
      <c r="FA63" s="227" t="s">
        <v>555</v>
      </c>
      <c r="FB63" s="161">
        <f t="shared" si="0"/>
        <v>8495000</v>
      </c>
    </row>
    <row r="64" spans="1:158" ht="17.25" hidden="1" thickBot="1" x14ac:dyDescent="0.3">
      <c r="A64" s="226">
        <v>46008</v>
      </c>
      <c r="B64" s="227" t="s">
        <v>181</v>
      </c>
      <c r="C64" s="227" t="s">
        <v>480</v>
      </c>
      <c r="D64" s="228">
        <v>65</v>
      </c>
      <c r="E64" s="231">
        <v>27375.7</v>
      </c>
      <c r="F64" s="231">
        <v>27505.1</v>
      </c>
      <c r="G64" s="228">
        <v>-129.4</v>
      </c>
      <c r="H64" s="229">
        <v>-4.7000000000000002E-3</v>
      </c>
      <c r="I64" s="231">
        <v>27251.95</v>
      </c>
      <c r="J64" s="231">
        <v>27385.55</v>
      </c>
      <c r="K64" s="228">
        <v>-133.6</v>
      </c>
      <c r="L64" s="229">
        <v>-4.8999999999999998E-3</v>
      </c>
      <c r="M64" s="231">
        <v>27375.7</v>
      </c>
      <c r="N64" s="231">
        <v>27505.1</v>
      </c>
      <c r="O64" s="228">
        <v>-129.4</v>
      </c>
      <c r="P64" s="229">
        <v>-4.7000000000000002E-3</v>
      </c>
      <c r="Q64" s="231">
        <v>27554</v>
      </c>
      <c r="R64" s="231">
        <v>27699.8</v>
      </c>
      <c r="S64" s="228">
        <v>-145.80000000000001</v>
      </c>
      <c r="T64" s="229">
        <v>-5.3E-3</v>
      </c>
      <c r="U64" s="228">
        <v>0</v>
      </c>
      <c r="V64" s="228">
        <v>0</v>
      </c>
      <c r="W64" s="228">
        <v>0</v>
      </c>
      <c r="X64" s="229">
        <v>0</v>
      </c>
      <c r="Y64" s="228">
        <v>123.75</v>
      </c>
      <c r="Z64" s="228">
        <v>119.55</v>
      </c>
      <c r="AA64" s="228">
        <v>4.2</v>
      </c>
      <c r="AB64" s="229">
        <v>4.4999999999999997E-3</v>
      </c>
      <c r="AC64" s="228">
        <v>123.75</v>
      </c>
      <c r="AD64" s="228">
        <v>119.55</v>
      </c>
      <c r="AE64" s="228">
        <v>4.2</v>
      </c>
      <c r="AF64" s="229">
        <v>4.4999999999999997E-3</v>
      </c>
      <c r="AG64" s="228">
        <v>302.05</v>
      </c>
      <c r="AH64" s="228">
        <v>314.25</v>
      </c>
      <c r="AI64" s="228">
        <v>-12.2</v>
      </c>
      <c r="AJ64" s="229">
        <v>1.11E-2</v>
      </c>
      <c r="AK64" s="228">
        <v>0</v>
      </c>
      <c r="AL64" s="228">
        <v>0</v>
      </c>
      <c r="AM64" s="228">
        <v>0</v>
      </c>
      <c r="AN64" s="229">
        <v>0</v>
      </c>
      <c r="AO64" s="231">
        <v>27380.63</v>
      </c>
      <c r="AP64" s="231">
        <v>27526.92</v>
      </c>
      <c r="AQ64" s="228">
        <v>0</v>
      </c>
      <c r="AR64" s="230">
        <v>27690</v>
      </c>
      <c r="AS64" s="230">
        <v>24115</v>
      </c>
      <c r="AT64" s="230">
        <v>3575</v>
      </c>
      <c r="AU64" s="229">
        <v>0.1482</v>
      </c>
      <c r="AV64" s="230">
        <v>24310</v>
      </c>
      <c r="AW64" s="230">
        <v>23595</v>
      </c>
      <c r="AX64" s="228">
        <v>715</v>
      </c>
      <c r="AY64" s="229">
        <v>3.0300000000000001E-2</v>
      </c>
      <c r="AZ64" s="230">
        <v>3380</v>
      </c>
      <c r="BA64" s="228">
        <v>520</v>
      </c>
      <c r="BB64" s="230">
        <v>2860</v>
      </c>
      <c r="BC64" s="229">
        <v>5.5</v>
      </c>
      <c r="BD64" s="228">
        <v>0</v>
      </c>
      <c r="BE64" s="228">
        <v>0</v>
      </c>
      <c r="BF64" s="228">
        <v>0</v>
      </c>
      <c r="BG64" s="229">
        <v>0</v>
      </c>
      <c r="BH64" s="230">
        <v>1789060</v>
      </c>
      <c r="BI64" s="230">
        <v>1328470</v>
      </c>
      <c r="BJ64" s="230">
        <v>460590</v>
      </c>
      <c r="BK64" s="229">
        <v>0.34670000000000001</v>
      </c>
      <c r="BL64" s="230">
        <v>1179035</v>
      </c>
      <c r="BM64" s="230">
        <v>927225</v>
      </c>
      <c r="BN64" s="230">
        <v>251810</v>
      </c>
      <c r="BO64" s="229">
        <v>0.27160000000000001</v>
      </c>
      <c r="BP64" s="230">
        <v>2995785</v>
      </c>
      <c r="BQ64" s="230">
        <v>2279810</v>
      </c>
      <c r="BR64" s="230">
        <v>715975</v>
      </c>
      <c r="BS64" s="229">
        <v>0.31409999999999999</v>
      </c>
      <c r="BT64" s="228">
        <v>0</v>
      </c>
      <c r="BU64" s="228">
        <v>0</v>
      </c>
      <c r="BV64" s="228">
        <v>0</v>
      </c>
      <c r="BW64" s="229">
        <v>0</v>
      </c>
      <c r="BX64" s="230">
        <v>43600</v>
      </c>
      <c r="BY64" s="230">
        <v>37650</v>
      </c>
      <c r="BZ64" s="230">
        <v>5950</v>
      </c>
      <c r="CA64" s="229">
        <v>0.158</v>
      </c>
      <c r="CB64" s="230">
        <v>39520</v>
      </c>
      <c r="CC64" s="230">
        <v>36270</v>
      </c>
      <c r="CD64" s="230">
        <v>3250</v>
      </c>
      <c r="CE64" s="229">
        <v>8.9599999999999999E-2</v>
      </c>
      <c r="CF64" s="230">
        <v>4080</v>
      </c>
      <c r="CG64" s="230">
        <v>1380</v>
      </c>
      <c r="CH64" s="230">
        <v>2700</v>
      </c>
      <c r="CI64" s="229">
        <v>1.9564999999999999</v>
      </c>
      <c r="CJ64" s="228">
        <v>0</v>
      </c>
      <c r="CK64" s="228">
        <v>0</v>
      </c>
      <c r="CL64" s="228">
        <v>0</v>
      </c>
      <c r="CM64" s="229">
        <v>0</v>
      </c>
      <c r="CN64" s="230">
        <v>946980</v>
      </c>
      <c r="CO64" s="230">
        <v>819320</v>
      </c>
      <c r="CP64" s="230">
        <v>127660</v>
      </c>
      <c r="CQ64" s="229">
        <v>0.15579999999999999</v>
      </c>
      <c r="CR64" s="230">
        <v>540640</v>
      </c>
      <c r="CS64" s="230">
        <v>514760</v>
      </c>
      <c r="CT64" s="230">
        <v>25880</v>
      </c>
      <c r="CU64" s="229">
        <v>5.0299999999999997E-2</v>
      </c>
      <c r="CV64" s="230">
        <v>1531220</v>
      </c>
      <c r="CW64" s="230">
        <v>1371730</v>
      </c>
      <c r="CX64" s="230">
        <v>159490</v>
      </c>
      <c r="CY64" s="229">
        <v>0.1163</v>
      </c>
      <c r="CZ64" s="228">
        <v>10.71</v>
      </c>
      <c r="DA64" s="228">
        <v>11.06</v>
      </c>
      <c r="DB64" s="228">
        <v>-0.35</v>
      </c>
      <c r="DC64" s="228">
        <v>-0.35</v>
      </c>
      <c r="DD64" s="228">
        <v>16.63</v>
      </c>
      <c r="DE64" s="228">
        <v>16.66</v>
      </c>
      <c r="DF64" s="228">
        <v>-5.92</v>
      </c>
      <c r="DG64" s="228">
        <v>-0.03</v>
      </c>
      <c r="DH64" s="228">
        <v>10.62</v>
      </c>
      <c r="DI64" s="228">
        <v>11.09</v>
      </c>
      <c r="DJ64" s="228">
        <v>-0.47</v>
      </c>
      <c r="DK64" s="228">
        <v>-0.47</v>
      </c>
      <c r="DL64" s="228">
        <v>10.85</v>
      </c>
      <c r="DM64" s="228">
        <v>11.01</v>
      </c>
      <c r="DN64" s="228">
        <v>-0.16</v>
      </c>
      <c r="DO64" s="228">
        <v>-0.16</v>
      </c>
      <c r="DP64" s="228">
        <v>0.56999999999999995</v>
      </c>
      <c r="DQ64" s="228">
        <v>0.63</v>
      </c>
      <c r="DR64" s="228">
        <v>-0.06</v>
      </c>
      <c r="DS64" s="229">
        <v>-9.5200000000000007E-2</v>
      </c>
      <c r="DT64" s="231">
        <v>27500</v>
      </c>
      <c r="DU64" s="231">
        <v>27500</v>
      </c>
      <c r="DV64" s="228">
        <v>0.66</v>
      </c>
      <c r="DW64" s="228">
        <v>0.7</v>
      </c>
      <c r="DX64" s="228">
        <v>-0.04</v>
      </c>
      <c r="DY64" s="229">
        <v>-5.7099999999999998E-2</v>
      </c>
      <c r="DZ64" s="229">
        <v>9.3600000000000003E-2</v>
      </c>
      <c r="EA64" s="230">
        <v>1380</v>
      </c>
      <c r="EB64" s="229">
        <v>6.4999999999999997E-3</v>
      </c>
      <c r="EC64" s="229">
        <v>9.3600000000000003E-2</v>
      </c>
      <c r="ED64" s="228">
        <v>146.29</v>
      </c>
      <c r="EE64" s="229">
        <v>5.3E-3</v>
      </c>
      <c r="EF64" s="228">
        <v>0</v>
      </c>
      <c r="EG64" s="228">
        <v>0</v>
      </c>
      <c r="EH64" s="229">
        <v>0</v>
      </c>
      <c r="EI64" s="229">
        <v>0</v>
      </c>
      <c r="EJ64" s="231">
        <v>498740.2</v>
      </c>
      <c r="EK64" s="231">
        <v>322118.65999999997</v>
      </c>
      <c r="EL64" s="231">
        <v>7515.07</v>
      </c>
      <c r="EM64" s="228">
        <v>0</v>
      </c>
      <c r="EN64" s="231">
        <v>828373.93</v>
      </c>
      <c r="EO64" s="231">
        <v>633843.59</v>
      </c>
      <c r="EP64" s="231">
        <v>194530.34</v>
      </c>
      <c r="EQ64" s="229">
        <v>0.30690000000000001</v>
      </c>
      <c r="ER64" s="231">
        <v>265356</v>
      </c>
      <c r="ES64" s="231">
        <v>147752</v>
      </c>
      <c r="ET64" s="231">
        <v>11943</v>
      </c>
      <c r="EU64" s="228">
        <v>0</v>
      </c>
      <c r="EV64" s="231">
        <v>425051</v>
      </c>
      <c r="EW64" s="231">
        <v>381425</v>
      </c>
      <c r="EX64" s="231">
        <v>43626</v>
      </c>
      <c r="EY64" s="229">
        <v>0.1144</v>
      </c>
      <c r="EZ64" s="229">
        <v>0</v>
      </c>
      <c r="FA64" s="227" t="s">
        <v>567</v>
      </c>
      <c r="FB64" s="161">
        <f t="shared" si="0"/>
        <v>4080</v>
      </c>
    </row>
    <row r="65" spans="1:158" ht="17.25" hidden="1" thickBot="1" x14ac:dyDescent="0.3">
      <c r="A65" s="226">
        <v>46008</v>
      </c>
      <c r="B65" s="227" t="s">
        <v>170</v>
      </c>
      <c r="C65" s="227" t="s">
        <v>678</v>
      </c>
      <c r="D65" s="228">
        <v>775</v>
      </c>
      <c r="E65" s="228">
        <v>871.65</v>
      </c>
      <c r="F65" s="228">
        <v>876.25</v>
      </c>
      <c r="G65" s="228">
        <v>-4.5999999999999996</v>
      </c>
      <c r="H65" s="229">
        <v>-5.1999999999999998E-3</v>
      </c>
      <c r="I65" s="228">
        <v>870.95</v>
      </c>
      <c r="J65" s="228">
        <v>875</v>
      </c>
      <c r="K65" s="228">
        <v>-4.05</v>
      </c>
      <c r="L65" s="229">
        <v>-4.5999999999999999E-3</v>
      </c>
      <c r="M65" s="228">
        <v>871.65</v>
      </c>
      <c r="N65" s="228">
        <v>876.25</v>
      </c>
      <c r="O65" s="228">
        <v>-4.5999999999999996</v>
      </c>
      <c r="P65" s="229">
        <v>-5.1999999999999998E-3</v>
      </c>
      <c r="Q65" s="228">
        <v>876.2</v>
      </c>
      <c r="R65" s="228">
        <v>880.6</v>
      </c>
      <c r="S65" s="228">
        <v>-4.4000000000000004</v>
      </c>
      <c r="T65" s="229">
        <v>-5.0000000000000001E-3</v>
      </c>
      <c r="U65" s="228">
        <v>879</v>
      </c>
      <c r="V65" s="228">
        <v>884.5</v>
      </c>
      <c r="W65" s="228">
        <v>-5.5</v>
      </c>
      <c r="X65" s="229">
        <v>-6.1999999999999998E-3</v>
      </c>
      <c r="Y65" s="228">
        <v>0.7</v>
      </c>
      <c r="Z65" s="228">
        <v>1.25</v>
      </c>
      <c r="AA65" s="228">
        <v>-0.55000000000000004</v>
      </c>
      <c r="AB65" s="229">
        <v>8.0000000000000004E-4</v>
      </c>
      <c r="AC65" s="228">
        <v>0.7</v>
      </c>
      <c r="AD65" s="228">
        <v>1.25</v>
      </c>
      <c r="AE65" s="228">
        <v>-0.55000000000000004</v>
      </c>
      <c r="AF65" s="229">
        <v>8.0000000000000004E-4</v>
      </c>
      <c r="AG65" s="228">
        <v>5.25</v>
      </c>
      <c r="AH65" s="228">
        <v>5.6</v>
      </c>
      <c r="AI65" s="228">
        <v>-0.35</v>
      </c>
      <c r="AJ65" s="229">
        <v>6.0000000000000001E-3</v>
      </c>
      <c r="AK65" s="228">
        <v>8.0500000000000007</v>
      </c>
      <c r="AL65" s="228">
        <v>9.5</v>
      </c>
      <c r="AM65" s="228">
        <v>-1.45</v>
      </c>
      <c r="AN65" s="229">
        <v>9.1999999999999998E-3</v>
      </c>
      <c r="AO65" s="228">
        <v>873.04</v>
      </c>
      <c r="AP65" s="228">
        <v>876.76</v>
      </c>
      <c r="AQ65" s="228">
        <v>0</v>
      </c>
      <c r="AR65" s="230">
        <v>2116525</v>
      </c>
      <c r="AS65" s="230">
        <v>2199450</v>
      </c>
      <c r="AT65" s="230">
        <v>-82925</v>
      </c>
      <c r="AU65" s="229">
        <v>-3.7699999999999997E-2</v>
      </c>
      <c r="AV65" s="230">
        <v>1732125</v>
      </c>
      <c r="AW65" s="230">
        <v>2018875</v>
      </c>
      <c r="AX65" s="230">
        <v>-286750</v>
      </c>
      <c r="AY65" s="229">
        <v>-0.14199999999999999</v>
      </c>
      <c r="AZ65" s="230">
        <v>379750</v>
      </c>
      <c r="BA65" s="230">
        <v>174375</v>
      </c>
      <c r="BB65" s="230">
        <v>205375</v>
      </c>
      <c r="BC65" s="229">
        <v>1.1778</v>
      </c>
      <c r="BD65" s="230">
        <v>4650</v>
      </c>
      <c r="BE65" s="230">
        <v>6200</v>
      </c>
      <c r="BF65" s="230">
        <v>-1550</v>
      </c>
      <c r="BG65" s="229">
        <v>-0.25</v>
      </c>
      <c r="BH65" s="230">
        <v>2927950</v>
      </c>
      <c r="BI65" s="230">
        <v>8187875</v>
      </c>
      <c r="BJ65" s="230">
        <v>-5259925</v>
      </c>
      <c r="BK65" s="229">
        <v>-0.64239999999999997</v>
      </c>
      <c r="BL65" s="230">
        <v>1178000</v>
      </c>
      <c r="BM65" s="230">
        <v>2063825</v>
      </c>
      <c r="BN65" s="230">
        <v>-885825</v>
      </c>
      <c r="BO65" s="229">
        <v>-0.42920000000000003</v>
      </c>
      <c r="BP65" s="230">
        <v>6222475</v>
      </c>
      <c r="BQ65" s="230">
        <v>12451150</v>
      </c>
      <c r="BR65" s="230">
        <v>-6228675</v>
      </c>
      <c r="BS65" s="229">
        <v>-0.50019999999999998</v>
      </c>
      <c r="BT65" s="230">
        <v>1641590</v>
      </c>
      <c r="BU65" s="230">
        <v>2158940</v>
      </c>
      <c r="BV65" s="230">
        <v>-517350</v>
      </c>
      <c r="BW65" s="229">
        <v>-0.23960000000000001</v>
      </c>
      <c r="BX65" s="230">
        <v>14476225</v>
      </c>
      <c r="BY65" s="230">
        <v>14482425</v>
      </c>
      <c r="BZ65" s="230">
        <v>-6200</v>
      </c>
      <c r="CA65" s="229">
        <v>-4.0000000000000002E-4</v>
      </c>
      <c r="CB65" s="230">
        <v>13619850</v>
      </c>
      <c r="CC65" s="230">
        <v>13678750</v>
      </c>
      <c r="CD65" s="230">
        <v>-58900</v>
      </c>
      <c r="CE65" s="229">
        <v>-4.3E-3</v>
      </c>
      <c r="CF65" s="230">
        <v>823825</v>
      </c>
      <c r="CG65" s="230">
        <v>770350</v>
      </c>
      <c r="CH65" s="230">
        <v>53475</v>
      </c>
      <c r="CI65" s="229">
        <v>6.9400000000000003E-2</v>
      </c>
      <c r="CJ65" s="230">
        <v>32550</v>
      </c>
      <c r="CK65" s="230">
        <v>33325</v>
      </c>
      <c r="CL65" s="228">
        <v>-775</v>
      </c>
      <c r="CM65" s="229">
        <v>-2.3300000000000001E-2</v>
      </c>
      <c r="CN65" s="230">
        <v>6654925</v>
      </c>
      <c r="CO65" s="230">
        <v>6852550</v>
      </c>
      <c r="CP65" s="230">
        <v>-197625</v>
      </c>
      <c r="CQ65" s="229">
        <v>-2.8799999999999999E-2</v>
      </c>
      <c r="CR65" s="230">
        <v>2961275</v>
      </c>
      <c r="CS65" s="230">
        <v>2891525</v>
      </c>
      <c r="CT65" s="230">
        <v>69750</v>
      </c>
      <c r="CU65" s="229">
        <v>2.41E-2</v>
      </c>
      <c r="CV65" s="230">
        <v>24092425</v>
      </c>
      <c r="CW65" s="230">
        <v>24226500</v>
      </c>
      <c r="CX65" s="230">
        <v>-134075</v>
      </c>
      <c r="CY65" s="229">
        <v>-5.4999999999999997E-3</v>
      </c>
      <c r="CZ65" s="228">
        <v>23.33</v>
      </c>
      <c r="DA65" s="228">
        <v>23.53</v>
      </c>
      <c r="DB65" s="228">
        <v>-0.2</v>
      </c>
      <c r="DC65" s="228">
        <v>-0.2</v>
      </c>
      <c r="DD65" s="228">
        <v>35.270000000000003</v>
      </c>
      <c r="DE65" s="228">
        <v>35.35</v>
      </c>
      <c r="DF65" s="228">
        <v>-11.94</v>
      </c>
      <c r="DG65" s="228">
        <v>-0.08</v>
      </c>
      <c r="DH65" s="228">
        <v>23.52</v>
      </c>
      <c r="DI65" s="228">
        <v>23.62</v>
      </c>
      <c r="DJ65" s="228">
        <v>-0.1</v>
      </c>
      <c r="DK65" s="228">
        <v>-0.1</v>
      </c>
      <c r="DL65" s="228">
        <v>22.86</v>
      </c>
      <c r="DM65" s="228">
        <v>23.16</v>
      </c>
      <c r="DN65" s="228">
        <v>-0.3</v>
      </c>
      <c r="DO65" s="228">
        <v>-0.3</v>
      </c>
      <c r="DP65" s="228">
        <v>0.44</v>
      </c>
      <c r="DQ65" s="228">
        <v>0.42</v>
      </c>
      <c r="DR65" s="228">
        <v>0.02</v>
      </c>
      <c r="DS65" s="229">
        <v>4.7600000000000003E-2</v>
      </c>
      <c r="DT65" s="231">
        <v>1000</v>
      </c>
      <c r="DU65" s="228">
        <v>850</v>
      </c>
      <c r="DV65" s="228">
        <v>0.4</v>
      </c>
      <c r="DW65" s="228">
        <v>0.25</v>
      </c>
      <c r="DX65" s="228">
        <v>0.15</v>
      </c>
      <c r="DY65" s="229">
        <v>0.6</v>
      </c>
      <c r="DZ65" s="229">
        <v>5.9200000000000003E-2</v>
      </c>
      <c r="EA65" s="230">
        <v>803675</v>
      </c>
      <c r="EB65" s="229">
        <v>5.1999999999999998E-3</v>
      </c>
      <c r="EC65" s="229">
        <v>5.9200000000000003E-2</v>
      </c>
      <c r="ED65" s="228">
        <v>3.72</v>
      </c>
      <c r="EE65" s="229">
        <v>4.3E-3</v>
      </c>
      <c r="EF65" s="230">
        <v>1118962</v>
      </c>
      <c r="EG65" s="230">
        <v>1227639</v>
      </c>
      <c r="EH65" s="229">
        <v>-8.8499999999999995E-2</v>
      </c>
      <c r="EI65" s="229">
        <v>0.68159999999999998</v>
      </c>
      <c r="EJ65" s="231">
        <v>26733.61</v>
      </c>
      <c r="EK65" s="231">
        <v>10170.58</v>
      </c>
      <c r="EL65" s="231">
        <v>18492.62</v>
      </c>
      <c r="EM65" s="231">
        <v>2777</v>
      </c>
      <c r="EN65" s="231">
        <v>55396.81</v>
      </c>
      <c r="EO65" s="231">
        <v>112211.43</v>
      </c>
      <c r="EP65" s="231">
        <v>-56814.62</v>
      </c>
      <c r="EQ65" s="229">
        <v>-0.50629999999999997</v>
      </c>
      <c r="ER65" s="231">
        <v>62690</v>
      </c>
      <c r="ES65" s="231">
        <v>26169</v>
      </c>
      <c r="ET65" s="231">
        <v>126222</v>
      </c>
      <c r="EU65" s="231">
        <v>62490435</v>
      </c>
      <c r="EV65" s="231">
        <v>215081</v>
      </c>
      <c r="EW65" s="231">
        <v>217117</v>
      </c>
      <c r="EX65" s="231">
        <v>-2036</v>
      </c>
      <c r="EY65" s="229">
        <v>-9.4000000000000004E-3</v>
      </c>
      <c r="EZ65" s="229">
        <v>0.38550000000000001</v>
      </c>
      <c r="FA65" s="227" t="s">
        <v>568</v>
      </c>
      <c r="FB65" s="161">
        <f t="shared" si="0"/>
        <v>856375</v>
      </c>
    </row>
    <row r="66" spans="1:158" ht="17.25" hidden="1" thickBot="1" x14ac:dyDescent="0.3">
      <c r="A66" s="226">
        <v>46008</v>
      </c>
      <c r="B66" s="227" t="s">
        <v>193</v>
      </c>
      <c r="C66" s="227" t="s">
        <v>213</v>
      </c>
      <c r="D66" s="228">
        <v>3150</v>
      </c>
      <c r="E66" s="228">
        <v>169.34</v>
      </c>
      <c r="F66" s="228">
        <v>168.97</v>
      </c>
      <c r="G66" s="228">
        <v>0.37</v>
      </c>
      <c r="H66" s="229">
        <v>2.2000000000000001E-3</v>
      </c>
      <c r="I66" s="228">
        <v>169.07</v>
      </c>
      <c r="J66" s="228">
        <v>168.32</v>
      </c>
      <c r="K66" s="228">
        <v>0.75</v>
      </c>
      <c r="L66" s="229">
        <v>4.4999999999999997E-3</v>
      </c>
      <c r="M66" s="228">
        <v>169.34</v>
      </c>
      <c r="N66" s="228">
        <v>168.97</v>
      </c>
      <c r="O66" s="228">
        <v>0.37</v>
      </c>
      <c r="P66" s="229">
        <v>2.2000000000000001E-3</v>
      </c>
      <c r="Q66" s="228">
        <v>170.31</v>
      </c>
      <c r="R66" s="228">
        <v>169.98</v>
      </c>
      <c r="S66" s="228">
        <v>0.33</v>
      </c>
      <c r="T66" s="229">
        <v>1.9E-3</v>
      </c>
      <c r="U66" s="228">
        <v>170.9</v>
      </c>
      <c r="V66" s="228">
        <v>170.88</v>
      </c>
      <c r="W66" s="228">
        <v>0.02</v>
      </c>
      <c r="X66" s="229">
        <v>1E-4</v>
      </c>
      <c r="Y66" s="228">
        <v>0.27</v>
      </c>
      <c r="Z66" s="228">
        <v>0.65</v>
      </c>
      <c r="AA66" s="228">
        <v>-0.38</v>
      </c>
      <c r="AB66" s="229">
        <v>1.6000000000000001E-3</v>
      </c>
      <c r="AC66" s="228">
        <v>0.27</v>
      </c>
      <c r="AD66" s="228">
        <v>0.65</v>
      </c>
      <c r="AE66" s="228">
        <v>-0.38</v>
      </c>
      <c r="AF66" s="229">
        <v>1.6000000000000001E-3</v>
      </c>
      <c r="AG66" s="228">
        <v>1.24</v>
      </c>
      <c r="AH66" s="228">
        <v>1.66</v>
      </c>
      <c r="AI66" s="228">
        <v>-0.42</v>
      </c>
      <c r="AJ66" s="229">
        <v>7.3000000000000001E-3</v>
      </c>
      <c r="AK66" s="228">
        <v>1.83</v>
      </c>
      <c r="AL66" s="228">
        <v>2.56</v>
      </c>
      <c r="AM66" s="228">
        <v>-0.73</v>
      </c>
      <c r="AN66" s="229">
        <v>1.0800000000000001E-2</v>
      </c>
      <c r="AO66" s="228">
        <v>169.63</v>
      </c>
      <c r="AP66" s="228">
        <v>170.57</v>
      </c>
      <c r="AQ66" s="228">
        <v>0</v>
      </c>
      <c r="AR66" s="230">
        <v>7440300</v>
      </c>
      <c r="AS66" s="230">
        <v>12114900</v>
      </c>
      <c r="AT66" s="230">
        <v>-4674600</v>
      </c>
      <c r="AU66" s="229">
        <v>-0.38590000000000002</v>
      </c>
      <c r="AV66" s="230">
        <v>6492150</v>
      </c>
      <c r="AW66" s="230">
        <v>9027900</v>
      </c>
      <c r="AX66" s="230">
        <v>-2535750</v>
      </c>
      <c r="AY66" s="229">
        <v>-0.28089999999999998</v>
      </c>
      <c r="AZ66" s="230">
        <v>809550</v>
      </c>
      <c r="BA66" s="230">
        <v>2847600</v>
      </c>
      <c r="BB66" s="230">
        <v>-2038050</v>
      </c>
      <c r="BC66" s="229">
        <v>-0.7157</v>
      </c>
      <c r="BD66" s="230">
        <v>138600</v>
      </c>
      <c r="BE66" s="230">
        <v>239400</v>
      </c>
      <c r="BF66" s="230">
        <v>-100800</v>
      </c>
      <c r="BG66" s="229">
        <v>-0.42109999999999997</v>
      </c>
      <c r="BH66" s="230">
        <v>24453450</v>
      </c>
      <c r="BI66" s="230">
        <v>22642200</v>
      </c>
      <c r="BJ66" s="230">
        <v>1811250</v>
      </c>
      <c r="BK66" s="229">
        <v>0.08</v>
      </c>
      <c r="BL66" s="230">
        <v>9418500</v>
      </c>
      <c r="BM66" s="230">
        <v>13374900</v>
      </c>
      <c r="BN66" s="230">
        <v>-3956400</v>
      </c>
      <c r="BO66" s="229">
        <v>-0.29580000000000001</v>
      </c>
      <c r="BP66" s="230">
        <v>41312250</v>
      </c>
      <c r="BQ66" s="230">
        <v>48132000</v>
      </c>
      <c r="BR66" s="230">
        <v>-6819750</v>
      </c>
      <c r="BS66" s="229">
        <v>-0.14169999999999999</v>
      </c>
      <c r="BT66" s="230">
        <v>3466200</v>
      </c>
      <c r="BU66" s="230">
        <v>7737597</v>
      </c>
      <c r="BV66" s="230">
        <v>-4271397</v>
      </c>
      <c r="BW66" s="229">
        <v>-0.55200000000000005</v>
      </c>
      <c r="BX66" s="230">
        <v>99470700</v>
      </c>
      <c r="BY66" s="230">
        <v>100204650</v>
      </c>
      <c r="BZ66" s="230">
        <v>-733950</v>
      </c>
      <c r="CA66" s="229">
        <v>-7.3000000000000001E-3</v>
      </c>
      <c r="CB66" s="230">
        <v>89097750</v>
      </c>
      <c r="CC66" s="230">
        <v>89982900</v>
      </c>
      <c r="CD66" s="230">
        <v>-885150</v>
      </c>
      <c r="CE66" s="229">
        <v>-9.7999999999999997E-3</v>
      </c>
      <c r="CF66" s="230">
        <v>9119250</v>
      </c>
      <c r="CG66" s="230">
        <v>8952300</v>
      </c>
      <c r="CH66" s="230">
        <v>166950</v>
      </c>
      <c r="CI66" s="229">
        <v>1.8599999999999998E-2</v>
      </c>
      <c r="CJ66" s="230">
        <v>1253700</v>
      </c>
      <c r="CK66" s="230">
        <v>1269450</v>
      </c>
      <c r="CL66" s="230">
        <v>-15750</v>
      </c>
      <c r="CM66" s="229">
        <v>-1.24E-2</v>
      </c>
      <c r="CN66" s="230">
        <v>68389650</v>
      </c>
      <c r="CO66" s="230">
        <v>69652800</v>
      </c>
      <c r="CP66" s="230">
        <v>-1263150</v>
      </c>
      <c r="CQ66" s="229">
        <v>-1.8100000000000002E-2</v>
      </c>
      <c r="CR66" s="230">
        <v>45413550</v>
      </c>
      <c r="CS66" s="230">
        <v>45375750</v>
      </c>
      <c r="CT66" s="230">
        <v>37800</v>
      </c>
      <c r="CU66" s="229">
        <v>8.0000000000000004E-4</v>
      </c>
      <c r="CV66" s="230">
        <v>213273900</v>
      </c>
      <c r="CW66" s="230">
        <v>215233200</v>
      </c>
      <c r="CX66" s="230">
        <v>-1959300</v>
      </c>
      <c r="CY66" s="229">
        <v>-9.1000000000000004E-3</v>
      </c>
      <c r="CZ66" s="228">
        <v>23.5</v>
      </c>
      <c r="DA66" s="228">
        <v>23.1</v>
      </c>
      <c r="DB66" s="228">
        <v>0.4</v>
      </c>
      <c r="DC66" s="228">
        <v>0.4</v>
      </c>
      <c r="DD66" s="228">
        <v>34.51</v>
      </c>
      <c r="DE66" s="228">
        <v>34.6</v>
      </c>
      <c r="DF66" s="228">
        <v>-11.01</v>
      </c>
      <c r="DG66" s="228">
        <v>-0.09</v>
      </c>
      <c r="DH66" s="228">
        <v>23.98</v>
      </c>
      <c r="DI66" s="228">
        <v>23.69</v>
      </c>
      <c r="DJ66" s="228">
        <v>0.28999999999999998</v>
      </c>
      <c r="DK66" s="228">
        <v>0.28999999999999998</v>
      </c>
      <c r="DL66" s="228">
        <v>22.26</v>
      </c>
      <c r="DM66" s="228">
        <v>22.11</v>
      </c>
      <c r="DN66" s="228">
        <v>0.15</v>
      </c>
      <c r="DO66" s="228">
        <v>0.15</v>
      </c>
      <c r="DP66" s="228">
        <v>0.66</v>
      </c>
      <c r="DQ66" s="228">
        <v>0.65</v>
      </c>
      <c r="DR66" s="228">
        <v>0.01</v>
      </c>
      <c r="DS66" s="229">
        <v>1.54E-2</v>
      </c>
      <c r="DT66" s="228">
        <v>180</v>
      </c>
      <c r="DU66" s="228">
        <v>170</v>
      </c>
      <c r="DV66" s="228">
        <v>0.39</v>
      </c>
      <c r="DW66" s="228">
        <v>0.59</v>
      </c>
      <c r="DX66" s="228">
        <v>-0.2</v>
      </c>
      <c r="DY66" s="229">
        <v>-0.33900000000000002</v>
      </c>
      <c r="DZ66" s="229">
        <v>0.1043</v>
      </c>
      <c r="EA66" s="230">
        <v>10221750</v>
      </c>
      <c r="EB66" s="229">
        <v>5.7000000000000002E-3</v>
      </c>
      <c r="EC66" s="229">
        <v>0.1043</v>
      </c>
      <c r="ED66" s="228">
        <v>0.94</v>
      </c>
      <c r="EE66" s="229">
        <v>5.4999999999999997E-3</v>
      </c>
      <c r="EF66" s="230">
        <v>1720862</v>
      </c>
      <c r="EG66" s="230">
        <v>5333955</v>
      </c>
      <c r="EH66" s="229">
        <v>-0.6774</v>
      </c>
      <c r="EI66" s="229">
        <v>0.4965</v>
      </c>
      <c r="EJ66" s="231">
        <v>43508.75</v>
      </c>
      <c r="EK66" s="231">
        <v>15846.92</v>
      </c>
      <c r="EL66" s="231">
        <v>12631.69</v>
      </c>
      <c r="EM66" s="231">
        <v>4294</v>
      </c>
      <c r="EN66" s="231">
        <v>71987.360000000001</v>
      </c>
      <c r="EO66" s="231">
        <v>82990.36</v>
      </c>
      <c r="EP66" s="231">
        <v>-11003</v>
      </c>
      <c r="EQ66" s="229">
        <v>-0.1326</v>
      </c>
      <c r="ER66" s="231">
        <v>123854</v>
      </c>
      <c r="ES66" s="231">
        <v>79006</v>
      </c>
      <c r="ET66" s="231">
        <v>168552</v>
      </c>
      <c r="EU66" s="231">
        <v>402429848</v>
      </c>
      <c r="EV66" s="231">
        <v>371412</v>
      </c>
      <c r="EW66" s="231">
        <v>374738</v>
      </c>
      <c r="EX66" s="231">
        <v>-3326</v>
      </c>
      <c r="EY66" s="229">
        <v>-8.8999999999999999E-3</v>
      </c>
      <c r="EZ66" s="229">
        <v>0.53</v>
      </c>
      <c r="FA66" s="227" t="s">
        <v>556</v>
      </c>
      <c r="FB66" s="161">
        <f t="shared" si="0"/>
        <v>10372950</v>
      </c>
    </row>
    <row r="67" spans="1:158" ht="17.25" hidden="1" thickBot="1" x14ac:dyDescent="0.3">
      <c r="A67" s="226">
        <v>46008</v>
      </c>
      <c r="B67" s="227" t="s">
        <v>170</v>
      </c>
      <c r="C67" s="227" t="s">
        <v>214</v>
      </c>
      <c r="D67" s="228">
        <v>375</v>
      </c>
      <c r="E67" s="231">
        <v>1951.9</v>
      </c>
      <c r="F67" s="231">
        <v>1968</v>
      </c>
      <c r="G67" s="228">
        <v>-16.100000000000001</v>
      </c>
      <c r="H67" s="229">
        <v>-8.2000000000000007E-3</v>
      </c>
      <c r="I67" s="231">
        <v>1948.4</v>
      </c>
      <c r="J67" s="231">
        <v>1966.5</v>
      </c>
      <c r="K67" s="228">
        <v>-18.100000000000001</v>
      </c>
      <c r="L67" s="229">
        <v>-9.1999999999999998E-3</v>
      </c>
      <c r="M67" s="231">
        <v>1951.9</v>
      </c>
      <c r="N67" s="231">
        <v>1968</v>
      </c>
      <c r="O67" s="228">
        <v>-16.100000000000001</v>
      </c>
      <c r="P67" s="229">
        <v>-8.2000000000000007E-3</v>
      </c>
      <c r="Q67" s="231">
        <v>1964.3</v>
      </c>
      <c r="R67" s="231">
        <v>1980.1</v>
      </c>
      <c r="S67" s="228">
        <v>-15.8</v>
      </c>
      <c r="T67" s="229">
        <v>-8.0000000000000002E-3</v>
      </c>
      <c r="U67" s="231">
        <v>1981</v>
      </c>
      <c r="V67" s="231">
        <v>1993.5</v>
      </c>
      <c r="W67" s="228">
        <v>-12.5</v>
      </c>
      <c r="X67" s="229">
        <v>-6.3E-3</v>
      </c>
      <c r="Y67" s="228">
        <v>3.5</v>
      </c>
      <c r="Z67" s="228">
        <v>1.5</v>
      </c>
      <c r="AA67" s="228">
        <v>2</v>
      </c>
      <c r="AB67" s="229">
        <v>1.8E-3</v>
      </c>
      <c r="AC67" s="228">
        <v>3.5</v>
      </c>
      <c r="AD67" s="228">
        <v>1.5</v>
      </c>
      <c r="AE67" s="228">
        <v>2</v>
      </c>
      <c r="AF67" s="229">
        <v>1.8E-3</v>
      </c>
      <c r="AG67" s="228">
        <v>15.9</v>
      </c>
      <c r="AH67" s="228">
        <v>13.6</v>
      </c>
      <c r="AI67" s="228">
        <v>2.2999999999999998</v>
      </c>
      <c r="AJ67" s="229">
        <v>8.2000000000000007E-3</v>
      </c>
      <c r="AK67" s="228">
        <v>32.6</v>
      </c>
      <c r="AL67" s="228">
        <v>27</v>
      </c>
      <c r="AM67" s="228">
        <v>5.6</v>
      </c>
      <c r="AN67" s="229">
        <v>1.67E-2</v>
      </c>
      <c r="AO67" s="231">
        <v>1957.45</v>
      </c>
      <c r="AP67" s="231">
        <v>1967.37</v>
      </c>
      <c r="AQ67" s="228">
        <v>0</v>
      </c>
      <c r="AR67" s="230">
        <v>1385625</v>
      </c>
      <c r="AS67" s="230">
        <v>1369875</v>
      </c>
      <c r="AT67" s="230">
        <v>15750</v>
      </c>
      <c r="AU67" s="229">
        <v>1.15E-2</v>
      </c>
      <c r="AV67" s="230">
        <v>1273875</v>
      </c>
      <c r="AW67" s="230">
        <v>1260750</v>
      </c>
      <c r="AX67" s="230">
        <v>13125</v>
      </c>
      <c r="AY67" s="229">
        <v>1.04E-2</v>
      </c>
      <c r="AZ67" s="230">
        <v>108375</v>
      </c>
      <c r="BA67" s="230">
        <v>105000</v>
      </c>
      <c r="BB67" s="230">
        <v>3375</v>
      </c>
      <c r="BC67" s="229">
        <v>3.2099999999999997E-2</v>
      </c>
      <c r="BD67" s="230">
        <v>3375</v>
      </c>
      <c r="BE67" s="230">
        <v>4125</v>
      </c>
      <c r="BF67" s="228">
        <v>-750</v>
      </c>
      <c r="BG67" s="229">
        <v>-0.18179999999999999</v>
      </c>
      <c r="BH67" s="230">
        <v>3508875</v>
      </c>
      <c r="BI67" s="230">
        <v>2685750</v>
      </c>
      <c r="BJ67" s="230">
        <v>823125</v>
      </c>
      <c r="BK67" s="229">
        <v>0.30649999999999999</v>
      </c>
      <c r="BL67" s="230">
        <v>1699125</v>
      </c>
      <c r="BM67" s="230">
        <v>1749000</v>
      </c>
      <c r="BN67" s="230">
        <v>-49875</v>
      </c>
      <c r="BO67" s="229">
        <v>-2.8500000000000001E-2</v>
      </c>
      <c r="BP67" s="230">
        <v>6593625</v>
      </c>
      <c r="BQ67" s="230">
        <v>5804625</v>
      </c>
      <c r="BR67" s="230">
        <v>789000</v>
      </c>
      <c r="BS67" s="229">
        <v>0.13589999999999999</v>
      </c>
      <c r="BT67" s="230">
        <v>290956</v>
      </c>
      <c r="BU67" s="230">
        <v>512530</v>
      </c>
      <c r="BV67" s="230">
        <v>-221574</v>
      </c>
      <c r="BW67" s="229">
        <v>-0.43230000000000002</v>
      </c>
      <c r="BX67" s="230">
        <v>14554125</v>
      </c>
      <c r="BY67" s="230">
        <v>14465625</v>
      </c>
      <c r="BZ67" s="230">
        <v>88500</v>
      </c>
      <c r="CA67" s="229">
        <v>6.1000000000000004E-3</v>
      </c>
      <c r="CB67" s="230">
        <v>14258250</v>
      </c>
      <c r="CC67" s="230">
        <v>14217375</v>
      </c>
      <c r="CD67" s="230">
        <v>40875</v>
      </c>
      <c r="CE67" s="229">
        <v>2.8999999999999998E-3</v>
      </c>
      <c r="CF67" s="230">
        <v>273750</v>
      </c>
      <c r="CG67" s="230">
        <v>227625</v>
      </c>
      <c r="CH67" s="230">
        <v>46125</v>
      </c>
      <c r="CI67" s="229">
        <v>0.2026</v>
      </c>
      <c r="CJ67" s="230">
        <v>22125</v>
      </c>
      <c r="CK67" s="230">
        <v>20625</v>
      </c>
      <c r="CL67" s="230">
        <v>1500</v>
      </c>
      <c r="CM67" s="229">
        <v>7.2700000000000001E-2</v>
      </c>
      <c r="CN67" s="230">
        <v>4193250</v>
      </c>
      <c r="CO67" s="230">
        <v>4183125</v>
      </c>
      <c r="CP67" s="230">
        <v>10125</v>
      </c>
      <c r="CQ67" s="229">
        <v>2.3999999999999998E-3</v>
      </c>
      <c r="CR67" s="230">
        <v>3005625</v>
      </c>
      <c r="CS67" s="230">
        <v>3073500</v>
      </c>
      <c r="CT67" s="230">
        <v>-67875</v>
      </c>
      <c r="CU67" s="229">
        <v>-2.2100000000000002E-2</v>
      </c>
      <c r="CV67" s="230">
        <v>21753000</v>
      </c>
      <c r="CW67" s="230">
        <v>21722250</v>
      </c>
      <c r="CX67" s="230">
        <v>30750</v>
      </c>
      <c r="CY67" s="229">
        <v>1.4E-3</v>
      </c>
      <c r="CZ67" s="228">
        <v>23.41</v>
      </c>
      <c r="DA67" s="228">
        <v>24.02</v>
      </c>
      <c r="DB67" s="228">
        <v>-0.61</v>
      </c>
      <c r="DC67" s="228">
        <v>-0.61</v>
      </c>
      <c r="DD67" s="228">
        <v>35.950000000000003</v>
      </c>
      <c r="DE67" s="228">
        <v>36.020000000000003</v>
      </c>
      <c r="DF67" s="228">
        <v>-12.54</v>
      </c>
      <c r="DG67" s="228">
        <v>-7.0000000000000007E-2</v>
      </c>
      <c r="DH67" s="228">
        <v>23.62</v>
      </c>
      <c r="DI67" s="228">
        <v>24.31</v>
      </c>
      <c r="DJ67" s="228">
        <v>-0.69</v>
      </c>
      <c r="DK67" s="228">
        <v>-0.69</v>
      </c>
      <c r="DL67" s="228">
        <v>22.97</v>
      </c>
      <c r="DM67" s="228">
        <v>23.57</v>
      </c>
      <c r="DN67" s="228">
        <v>-0.6</v>
      </c>
      <c r="DO67" s="228">
        <v>-0.6</v>
      </c>
      <c r="DP67" s="228">
        <v>0.72</v>
      </c>
      <c r="DQ67" s="228">
        <v>0.73</v>
      </c>
      <c r="DR67" s="228">
        <v>-0.01</v>
      </c>
      <c r="DS67" s="229">
        <v>-1.37E-2</v>
      </c>
      <c r="DT67" s="231">
        <v>2000</v>
      </c>
      <c r="DU67" s="231">
        <v>1900</v>
      </c>
      <c r="DV67" s="228">
        <v>0.48</v>
      </c>
      <c r="DW67" s="228">
        <v>0.65</v>
      </c>
      <c r="DX67" s="228">
        <v>-0.17</v>
      </c>
      <c r="DY67" s="229">
        <v>-0.26150000000000001</v>
      </c>
      <c r="DZ67" s="229">
        <v>2.0299999999999999E-2</v>
      </c>
      <c r="EA67" s="230">
        <v>248250</v>
      </c>
      <c r="EB67" s="229">
        <v>6.4000000000000003E-3</v>
      </c>
      <c r="EC67" s="229">
        <v>2.0299999999999999E-2</v>
      </c>
      <c r="ED67" s="228">
        <v>9.92</v>
      </c>
      <c r="EE67" s="229">
        <v>5.1000000000000004E-3</v>
      </c>
      <c r="EF67" s="230">
        <v>111160</v>
      </c>
      <c r="EG67" s="230">
        <v>269277</v>
      </c>
      <c r="EH67" s="229">
        <v>-0.58720000000000006</v>
      </c>
      <c r="EI67" s="229">
        <v>0.3821</v>
      </c>
      <c r="EJ67" s="231">
        <v>70933.83</v>
      </c>
      <c r="EK67" s="231">
        <v>33417.56</v>
      </c>
      <c r="EL67" s="231">
        <v>27134.400000000001</v>
      </c>
      <c r="EM67" s="231">
        <v>3723</v>
      </c>
      <c r="EN67" s="231">
        <v>131485.79</v>
      </c>
      <c r="EO67" s="231">
        <v>116028.07</v>
      </c>
      <c r="EP67" s="231">
        <v>15457.72</v>
      </c>
      <c r="EQ67" s="229">
        <v>0.13320000000000001</v>
      </c>
      <c r="ER67" s="231">
        <v>83871</v>
      </c>
      <c r="ES67" s="231">
        <v>56728</v>
      </c>
      <c r="ET67" s="231">
        <v>284122</v>
      </c>
      <c r="EU67" s="231">
        <v>22585180</v>
      </c>
      <c r="EV67" s="231">
        <v>424721</v>
      </c>
      <c r="EW67" s="231">
        <v>426529</v>
      </c>
      <c r="EX67" s="231">
        <v>-1808</v>
      </c>
      <c r="EY67" s="229">
        <v>-4.1999999999999997E-3</v>
      </c>
      <c r="EZ67" s="229">
        <v>0.96319999999999995</v>
      </c>
      <c r="FA67" s="227" t="s">
        <v>567</v>
      </c>
      <c r="FB67" s="161">
        <f t="shared" ref="FB67:FB130" si="1">BX67-CB67</f>
        <v>295875</v>
      </c>
    </row>
    <row r="68" spans="1:158" ht="17.25" hidden="1" thickBot="1" x14ac:dyDescent="0.3">
      <c r="A68" s="226">
        <v>46008</v>
      </c>
      <c r="B68" s="227" t="s">
        <v>215</v>
      </c>
      <c r="C68" s="227" t="s">
        <v>631</v>
      </c>
      <c r="D68" s="228">
        <v>6975</v>
      </c>
      <c r="E68" s="228">
        <v>101.13</v>
      </c>
      <c r="F68" s="228">
        <v>103.61</v>
      </c>
      <c r="G68" s="228">
        <v>-2.48</v>
      </c>
      <c r="H68" s="229">
        <v>-2.3900000000000001E-2</v>
      </c>
      <c r="I68" s="228">
        <v>100.95</v>
      </c>
      <c r="J68" s="228">
        <v>103.52</v>
      </c>
      <c r="K68" s="228">
        <v>-2.57</v>
      </c>
      <c r="L68" s="229">
        <v>-2.4799999999999999E-2</v>
      </c>
      <c r="M68" s="228">
        <v>101.13</v>
      </c>
      <c r="N68" s="228">
        <v>103.61</v>
      </c>
      <c r="O68" s="228">
        <v>-2.48</v>
      </c>
      <c r="P68" s="229">
        <v>-2.3900000000000001E-2</v>
      </c>
      <c r="Q68" s="228">
        <v>101.77</v>
      </c>
      <c r="R68" s="228">
        <v>104.15</v>
      </c>
      <c r="S68" s="228">
        <v>-2.38</v>
      </c>
      <c r="T68" s="229">
        <v>-2.29E-2</v>
      </c>
      <c r="U68" s="228">
        <v>102.09</v>
      </c>
      <c r="V68" s="228">
        <v>104.65</v>
      </c>
      <c r="W68" s="228">
        <v>-2.56</v>
      </c>
      <c r="X68" s="229">
        <v>-2.4500000000000001E-2</v>
      </c>
      <c r="Y68" s="228">
        <v>0.18</v>
      </c>
      <c r="Z68" s="228">
        <v>0.09</v>
      </c>
      <c r="AA68" s="228">
        <v>0.09</v>
      </c>
      <c r="AB68" s="229">
        <v>1.8E-3</v>
      </c>
      <c r="AC68" s="228">
        <v>0.18</v>
      </c>
      <c r="AD68" s="228">
        <v>0.09</v>
      </c>
      <c r="AE68" s="228">
        <v>0.09</v>
      </c>
      <c r="AF68" s="229">
        <v>1.8E-3</v>
      </c>
      <c r="AG68" s="228">
        <v>0.82</v>
      </c>
      <c r="AH68" s="228">
        <v>0.63</v>
      </c>
      <c r="AI68" s="228">
        <v>0.19</v>
      </c>
      <c r="AJ68" s="229">
        <v>8.0999999999999996E-3</v>
      </c>
      <c r="AK68" s="228">
        <v>1.1399999999999999</v>
      </c>
      <c r="AL68" s="228">
        <v>1.1299999999999999</v>
      </c>
      <c r="AM68" s="228">
        <v>0.01</v>
      </c>
      <c r="AN68" s="229">
        <v>1.1299999999999999E-2</v>
      </c>
      <c r="AO68" s="228">
        <v>101.82</v>
      </c>
      <c r="AP68" s="228">
        <v>102.58</v>
      </c>
      <c r="AQ68" s="228">
        <v>0</v>
      </c>
      <c r="AR68" s="230">
        <v>29594925</v>
      </c>
      <c r="AS68" s="230">
        <v>37441800</v>
      </c>
      <c r="AT68" s="230">
        <v>-7846875</v>
      </c>
      <c r="AU68" s="229">
        <v>-0.20960000000000001</v>
      </c>
      <c r="AV68" s="230">
        <v>24147450</v>
      </c>
      <c r="AW68" s="230">
        <v>30341250</v>
      </c>
      <c r="AX68" s="230">
        <v>-6193800</v>
      </c>
      <c r="AY68" s="229">
        <v>-0.2041</v>
      </c>
      <c r="AZ68" s="230">
        <v>4959225</v>
      </c>
      <c r="BA68" s="230">
        <v>6702975</v>
      </c>
      <c r="BB68" s="230">
        <v>-1743750</v>
      </c>
      <c r="BC68" s="229">
        <v>-0.2601</v>
      </c>
      <c r="BD68" s="230">
        <v>488250</v>
      </c>
      <c r="BE68" s="230">
        <v>397575</v>
      </c>
      <c r="BF68" s="230">
        <v>90675</v>
      </c>
      <c r="BG68" s="229">
        <v>0.2281</v>
      </c>
      <c r="BH68" s="230">
        <v>128953800</v>
      </c>
      <c r="BI68" s="230">
        <v>145631025</v>
      </c>
      <c r="BJ68" s="230">
        <v>-16677225</v>
      </c>
      <c r="BK68" s="229">
        <v>-0.1145</v>
      </c>
      <c r="BL68" s="230">
        <v>59706000</v>
      </c>
      <c r="BM68" s="230">
        <v>58485375</v>
      </c>
      <c r="BN68" s="230">
        <v>1220625</v>
      </c>
      <c r="BO68" s="229">
        <v>2.0899999999999998E-2</v>
      </c>
      <c r="BP68" s="230">
        <v>218254725</v>
      </c>
      <c r="BQ68" s="230">
        <v>241558200</v>
      </c>
      <c r="BR68" s="230">
        <v>-23303475</v>
      </c>
      <c r="BS68" s="229">
        <v>-9.6500000000000002E-2</v>
      </c>
      <c r="BT68" s="230">
        <v>11526107</v>
      </c>
      <c r="BU68" s="230">
        <v>13369715</v>
      </c>
      <c r="BV68" s="230">
        <v>-1843608</v>
      </c>
      <c r="BW68" s="229">
        <v>-0.13789999999999999</v>
      </c>
      <c r="BX68" s="230">
        <v>173314800</v>
      </c>
      <c r="BY68" s="230">
        <v>176830200</v>
      </c>
      <c r="BZ68" s="230">
        <v>-3515400</v>
      </c>
      <c r="CA68" s="229">
        <v>-1.9900000000000001E-2</v>
      </c>
      <c r="CB68" s="230">
        <v>154838025</v>
      </c>
      <c r="CC68" s="230">
        <v>160215750</v>
      </c>
      <c r="CD68" s="230">
        <v>-5377725</v>
      </c>
      <c r="CE68" s="229">
        <v>-3.3599999999999998E-2</v>
      </c>
      <c r="CF68" s="230">
        <v>16063425</v>
      </c>
      <c r="CG68" s="230">
        <v>14152275</v>
      </c>
      <c r="CH68" s="230">
        <v>1911150</v>
      </c>
      <c r="CI68" s="229">
        <v>0.13500000000000001</v>
      </c>
      <c r="CJ68" s="230">
        <v>2413350</v>
      </c>
      <c r="CK68" s="230">
        <v>2462175</v>
      </c>
      <c r="CL68" s="230">
        <v>-48825</v>
      </c>
      <c r="CM68" s="229">
        <v>-1.9800000000000002E-2</v>
      </c>
      <c r="CN68" s="230">
        <v>150053175</v>
      </c>
      <c r="CO68" s="230">
        <v>144738225</v>
      </c>
      <c r="CP68" s="230">
        <v>5314950</v>
      </c>
      <c r="CQ68" s="229">
        <v>3.6700000000000003E-2</v>
      </c>
      <c r="CR68" s="230">
        <v>81719100</v>
      </c>
      <c r="CS68" s="230">
        <v>80463600</v>
      </c>
      <c r="CT68" s="230">
        <v>1255500</v>
      </c>
      <c r="CU68" s="229">
        <v>1.5599999999999999E-2</v>
      </c>
      <c r="CV68" s="230">
        <v>405087075</v>
      </c>
      <c r="CW68" s="230">
        <v>402032025</v>
      </c>
      <c r="CX68" s="230">
        <v>3055050</v>
      </c>
      <c r="CY68" s="229">
        <v>7.6E-3</v>
      </c>
      <c r="CZ68" s="228">
        <v>28.38</v>
      </c>
      <c r="DA68" s="228">
        <v>29.25</v>
      </c>
      <c r="DB68" s="228">
        <v>-0.87</v>
      </c>
      <c r="DC68" s="228">
        <v>-0.87</v>
      </c>
      <c r="DD68" s="228">
        <v>37.19</v>
      </c>
      <c r="DE68" s="228">
        <v>37.14</v>
      </c>
      <c r="DF68" s="228">
        <v>-8.81</v>
      </c>
      <c r="DG68" s="228">
        <v>0.05</v>
      </c>
      <c r="DH68" s="228">
        <v>29.75</v>
      </c>
      <c r="DI68" s="228">
        <v>30.22</v>
      </c>
      <c r="DJ68" s="228">
        <v>-0.47</v>
      </c>
      <c r="DK68" s="228">
        <v>-0.47</v>
      </c>
      <c r="DL68" s="228">
        <v>25.43</v>
      </c>
      <c r="DM68" s="228">
        <v>26.81</v>
      </c>
      <c r="DN68" s="228">
        <v>-1.38</v>
      </c>
      <c r="DO68" s="228">
        <v>-1.38</v>
      </c>
      <c r="DP68" s="228">
        <v>0.54</v>
      </c>
      <c r="DQ68" s="228">
        <v>0.56000000000000005</v>
      </c>
      <c r="DR68" s="228">
        <v>-0.02</v>
      </c>
      <c r="DS68" s="229">
        <v>-3.5700000000000003E-2</v>
      </c>
      <c r="DT68" s="228">
        <v>110</v>
      </c>
      <c r="DU68" s="228">
        <v>97</v>
      </c>
      <c r="DV68" s="228">
        <v>0.46</v>
      </c>
      <c r="DW68" s="228">
        <v>0.4</v>
      </c>
      <c r="DX68" s="228">
        <v>0.06</v>
      </c>
      <c r="DY68" s="229">
        <v>0.15</v>
      </c>
      <c r="DZ68" s="229">
        <v>0.1066</v>
      </c>
      <c r="EA68" s="230">
        <v>16614450</v>
      </c>
      <c r="EB68" s="229">
        <v>6.3E-3</v>
      </c>
      <c r="EC68" s="229">
        <v>0.1066</v>
      </c>
      <c r="ED68" s="228">
        <v>0.76</v>
      </c>
      <c r="EE68" s="229">
        <v>7.4999999999999997E-3</v>
      </c>
      <c r="EF68" s="230">
        <v>5082304</v>
      </c>
      <c r="EG68" s="230">
        <v>5043983</v>
      </c>
      <c r="EH68" s="229">
        <v>7.6E-3</v>
      </c>
      <c r="EI68" s="229">
        <v>0.44090000000000001</v>
      </c>
      <c r="EJ68" s="231">
        <v>138856.66</v>
      </c>
      <c r="EK68" s="231">
        <v>60311.32</v>
      </c>
      <c r="EL68" s="231">
        <v>30175.18</v>
      </c>
      <c r="EM68" s="231">
        <v>6811</v>
      </c>
      <c r="EN68" s="231">
        <v>229343.16</v>
      </c>
      <c r="EO68" s="231">
        <v>258099.45</v>
      </c>
      <c r="EP68" s="231">
        <v>-28756.29</v>
      </c>
      <c r="EQ68" s="229">
        <v>-0.1114</v>
      </c>
      <c r="ER68" s="231">
        <v>161612</v>
      </c>
      <c r="ES68" s="231">
        <v>81860</v>
      </c>
      <c r="ET68" s="231">
        <v>175399</v>
      </c>
      <c r="EU68" s="231">
        <v>534704421</v>
      </c>
      <c r="EV68" s="231">
        <v>418870</v>
      </c>
      <c r="EW68" s="231">
        <v>420318</v>
      </c>
      <c r="EX68" s="231">
        <v>-1448</v>
      </c>
      <c r="EY68" s="229">
        <v>-3.3999999999999998E-3</v>
      </c>
      <c r="EZ68" s="229">
        <v>0.75760000000000005</v>
      </c>
      <c r="FA68" s="227" t="s">
        <v>568</v>
      </c>
      <c r="FB68" s="161">
        <f t="shared" si="1"/>
        <v>18476775</v>
      </c>
    </row>
    <row r="69" spans="1:158" ht="17.25" hidden="1" thickBot="1" x14ac:dyDescent="0.3">
      <c r="A69" s="226">
        <v>46008</v>
      </c>
      <c r="B69" s="227" t="s">
        <v>168</v>
      </c>
      <c r="C69" s="227" t="s">
        <v>217</v>
      </c>
      <c r="D69" s="228">
        <v>500</v>
      </c>
      <c r="E69" s="231">
        <v>1180.5</v>
      </c>
      <c r="F69" s="231">
        <v>1184.2</v>
      </c>
      <c r="G69" s="228">
        <v>-3.7</v>
      </c>
      <c r="H69" s="229">
        <v>-3.0999999999999999E-3</v>
      </c>
      <c r="I69" s="231">
        <v>1179.7</v>
      </c>
      <c r="J69" s="231">
        <v>1182.4000000000001</v>
      </c>
      <c r="K69" s="228">
        <v>-2.7</v>
      </c>
      <c r="L69" s="229">
        <v>-2.3E-3</v>
      </c>
      <c r="M69" s="231">
        <v>1180.5</v>
      </c>
      <c r="N69" s="231">
        <v>1184.2</v>
      </c>
      <c r="O69" s="228">
        <v>-3.7</v>
      </c>
      <c r="P69" s="229">
        <v>-3.0999999999999999E-3</v>
      </c>
      <c r="Q69" s="231">
        <v>1187</v>
      </c>
      <c r="R69" s="231">
        <v>1190.5999999999999</v>
      </c>
      <c r="S69" s="228">
        <v>-3.6</v>
      </c>
      <c r="T69" s="229">
        <v>-3.0000000000000001E-3</v>
      </c>
      <c r="U69" s="231">
        <v>1189</v>
      </c>
      <c r="V69" s="231">
        <v>1193.5999999999999</v>
      </c>
      <c r="W69" s="228">
        <v>-4.5999999999999996</v>
      </c>
      <c r="X69" s="229">
        <v>-3.8999999999999998E-3</v>
      </c>
      <c r="Y69" s="228">
        <v>0.8</v>
      </c>
      <c r="Z69" s="228">
        <v>1.8</v>
      </c>
      <c r="AA69" s="228">
        <v>-1</v>
      </c>
      <c r="AB69" s="229">
        <v>6.9999999999999999E-4</v>
      </c>
      <c r="AC69" s="228">
        <v>0.8</v>
      </c>
      <c r="AD69" s="228">
        <v>1.8</v>
      </c>
      <c r="AE69" s="228">
        <v>-1</v>
      </c>
      <c r="AF69" s="229">
        <v>6.9999999999999999E-4</v>
      </c>
      <c r="AG69" s="228">
        <v>7.3</v>
      </c>
      <c r="AH69" s="228">
        <v>8.1999999999999993</v>
      </c>
      <c r="AI69" s="228">
        <v>-0.9</v>
      </c>
      <c r="AJ69" s="229">
        <v>6.1999999999999998E-3</v>
      </c>
      <c r="AK69" s="228">
        <v>9.3000000000000007</v>
      </c>
      <c r="AL69" s="228">
        <v>11.2</v>
      </c>
      <c r="AM69" s="228">
        <v>-1.9</v>
      </c>
      <c r="AN69" s="229">
        <v>7.9000000000000008E-3</v>
      </c>
      <c r="AO69" s="231">
        <v>1182.69</v>
      </c>
      <c r="AP69" s="231">
        <v>1190.25</v>
      </c>
      <c r="AQ69" s="228">
        <v>0</v>
      </c>
      <c r="AR69" s="230">
        <v>947500</v>
      </c>
      <c r="AS69" s="230">
        <v>3142500</v>
      </c>
      <c r="AT69" s="230">
        <v>-2195000</v>
      </c>
      <c r="AU69" s="229">
        <v>-0.69850000000000001</v>
      </c>
      <c r="AV69" s="230">
        <v>868500</v>
      </c>
      <c r="AW69" s="230">
        <v>2919000</v>
      </c>
      <c r="AX69" s="230">
        <v>-2050500</v>
      </c>
      <c r="AY69" s="229">
        <v>-0.70250000000000001</v>
      </c>
      <c r="AZ69" s="230">
        <v>76500</v>
      </c>
      <c r="BA69" s="230">
        <v>206500</v>
      </c>
      <c r="BB69" s="230">
        <v>-130000</v>
      </c>
      <c r="BC69" s="229">
        <v>-0.62949999999999995</v>
      </c>
      <c r="BD69" s="230">
        <v>2500</v>
      </c>
      <c r="BE69" s="230">
        <v>17000</v>
      </c>
      <c r="BF69" s="230">
        <v>-14500</v>
      </c>
      <c r="BG69" s="229">
        <v>-0.85289999999999999</v>
      </c>
      <c r="BH69" s="230">
        <v>2602000</v>
      </c>
      <c r="BI69" s="230">
        <v>20770000</v>
      </c>
      <c r="BJ69" s="230">
        <v>-18168000</v>
      </c>
      <c r="BK69" s="229">
        <v>-0.87470000000000003</v>
      </c>
      <c r="BL69" s="230">
        <v>1268500</v>
      </c>
      <c r="BM69" s="230">
        <v>7655000</v>
      </c>
      <c r="BN69" s="230">
        <v>-6386500</v>
      </c>
      <c r="BO69" s="229">
        <v>-0.83430000000000004</v>
      </c>
      <c r="BP69" s="230">
        <v>4818000</v>
      </c>
      <c r="BQ69" s="230">
        <v>31567500</v>
      </c>
      <c r="BR69" s="230">
        <v>-26749500</v>
      </c>
      <c r="BS69" s="229">
        <v>-0.84740000000000004</v>
      </c>
      <c r="BT69" s="230">
        <v>952482</v>
      </c>
      <c r="BU69" s="230">
        <v>2255087</v>
      </c>
      <c r="BV69" s="230">
        <v>-1302605</v>
      </c>
      <c r="BW69" s="229">
        <v>-0.5776</v>
      </c>
      <c r="BX69" s="230">
        <v>9289000</v>
      </c>
      <c r="BY69" s="230">
        <v>9356500</v>
      </c>
      <c r="BZ69" s="230">
        <v>-67500</v>
      </c>
      <c r="CA69" s="229">
        <v>-7.1999999999999998E-3</v>
      </c>
      <c r="CB69" s="230">
        <v>9061000</v>
      </c>
      <c r="CC69" s="230">
        <v>9165500</v>
      </c>
      <c r="CD69" s="230">
        <v>-104500</v>
      </c>
      <c r="CE69" s="229">
        <v>-1.14E-2</v>
      </c>
      <c r="CF69" s="230">
        <v>215500</v>
      </c>
      <c r="CG69" s="230">
        <v>178000</v>
      </c>
      <c r="CH69" s="230">
        <v>37500</v>
      </c>
      <c r="CI69" s="229">
        <v>0.2107</v>
      </c>
      <c r="CJ69" s="230">
        <v>12500</v>
      </c>
      <c r="CK69" s="230">
        <v>13000</v>
      </c>
      <c r="CL69" s="228">
        <v>-500</v>
      </c>
      <c r="CM69" s="229">
        <v>-3.85E-2</v>
      </c>
      <c r="CN69" s="230">
        <v>2993500</v>
      </c>
      <c r="CO69" s="230">
        <v>3025500</v>
      </c>
      <c r="CP69" s="230">
        <v>-32000</v>
      </c>
      <c r="CQ69" s="229">
        <v>-1.06E-2</v>
      </c>
      <c r="CR69" s="230">
        <v>1930500</v>
      </c>
      <c r="CS69" s="230">
        <v>2043500</v>
      </c>
      <c r="CT69" s="230">
        <v>-113000</v>
      </c>
      <c r="CU69" s="229">
        <v>-5.5300000000000002E-2</v>
      </c>
      <c r="CV69" s="230">
        <v>14213000</v>
      </c>
      <c r="CW69" s="230">
        <v>14425500</v>
      </c>
      <c r="CX69" s="230">
        <v>-212500</v>
      </c>
      <c r="CY69" s="229">
        <v>-1.47E-2</v>
      </c>
      <c r="CZ69" s="228">
        <v>21.28</v>
      </c>
      <c r="DA69" s="228">
        <v>21.12</v>
      </c>
      <c r="DB69" s="228">
        <v>0.16</v>
      </c>
      <c r="DC69" s="228">
        <v>0.16</v>
      </c>
      <c r="DD69" s="228">
        <v>28.86</v>
      </c>
      <c r="DE69" s="228">
        <v>28.93</v>
      </c>
      <c r="DF69" s="228">
        <v>-7.58</v>
      </c>
      <c r="DG69" s="228">
        <v>-7.0000000000000007E-2</v>
      </c>
      <c r="DH69" s="228">
        <v>20.99</v>
      </c>
      <c r="DI69" s="228">
        <v>21.2</v>
      </c>
      <c r="DJ69" s="228">
        <v>-0.21</v>
      </c>
      <c r="DK69" s="228">
        <v>-0.21</v>
      </c>
      <c r="DL69" s="228">
        <v>21.87</v>
      </c>
      <c r="DM69" s="228">
        <v>20.89</v>
      </c>
      <c r="DN69" s="228">
        <v>0.98</v>
      </c>
      <c r="DO69" s="228">
        <v>0.98</v>
      </c>
      <c r="DP69" s="228">
        <v>0.64</v>
      </c>
      <c r="DQ69" s="228">
        <v>0.68</v>
      </c>
      <c r="DR69" s="228">
        <v>-0.04</v>
      </c>
      <c r="DS69" s="229">
        <v>-5.8799999999999998E-2</v>
      </c>
      <c r="DT69" s="231">
        <v>1200</v>
      </c>
      <c r="DU69" s="231">
        <v>1140</v>
      </c>
      <c r="DV69" s="228">
        <v>0.49</v>
      </c>
      <c r="DW69" s="228">
        <v>0.37</v>
      </c>
      <c r="DX69" s="228">
        <v>0.12</v>
      </c>
      <c r="DY69" s="229">
        <v>0.32429999999999998</v>
      </c>
      <c r="DZ69" s="229">
        <v>2.4500000000000001E-2</v>
      </c>
      <c r="EA69" s="230">
        <v>191000</v>
      </c>
      <c r="EB69" s="229">
        <v>5.4999999999999997E-3</v>
      </c>
      <c r="EC69" s="229">
        <v>2.4500000000000001E-2</v>
      </c>
      <c r="ED69" s="228">
        <v>7.56</v>
      </c>
      <c r="EE69" s="229">
        <v>6.4000000000000003E-3</v>
      </c>
      <c r="EF69" s="230">
        <v>665268</v>
      </c>
      <c r="EG69" s="230">
        <v>1169725</v>
      </c>
      <c r="EH69" s="229">
        <v>-0.43130000000000002</v>
      </c>
      <c r="EI69" s="229">
        <v>0.69850000000000001</v>
      </c>
      <c r="EJ69" s="231">
        <v>31862.19</v>
      </c>
      <c r="EK69" s="231">
        <v>14621.12</v>
      </c>
      <c r="EL69" s="231">
        <v>11212.07</v>
      </c>
      <c r="EM69" s="231">
        <v>3602</v>
      </c>
      <c r="EN69" s="231">
        <v>57695.38</v>
      </c>
      <c r="EO69" s="231">
        <v>380950.65</v>
      </c>
      <c r="EP69" s="231">
        <v>-323255.27</v>
      </c>
      <c r="EQ69" s="229">
        <v>-0.84850000000000003</v>
      </c>
      <c r="ER69" s="231">
        <v>36431</v>
      </c>
      <c r="ES69" s="231">
        <v>21564</v>
      </c>
      <c r="ET69" s="231">
        <v>109672</v>
      </c>
      <c r="EU69" s="231">
        <v>58001204</v>
      </c>
      <c r="EV69" s="231">
        <v>167667</v>
      </c>
      <c r="EW69" s="231">
        <v>170322</v>
      </c>
      <c r="EX69" s="231">
        <v>-2655</v>
      </c>
      <c r="EY69" s="229">
        <v>-1.5599999999999999E-2</v>
      </c>
      <c r="EZ69" s="229">
        <v>0.245</v>
      </c>
      <c r="FA69" s="227" t="s">
        <v>568</v>
      </c>
      <c r="FB69" s="161">
        <f t="shared" si="1"/>
        <v>228000</v>
      </c>
    </row>
    <row r="70" spans="1:158" ht="17.25" hidden="1" thickBot="1" x14ac:dyDescent="0.3">
      <c r="A70" s="226">
        <v>46008</v>
      </c>
      <c r="B70" s="227" t="s">
        <v>206</v>
      </c>
      <c r="C70" s="227" t="s">
        <v>218</v>
      </c>
      <c r="D70" s="228">
        <v>275</v>
      </c>
      <c r="E70" s="231">
        <v>2018.7</v>
      </c>
      <c r="F70" s="231">
        <v>2031</v>
      </c>
      <c r="G70" s="228">
        <v>-12.3</v>
      </c>
      <c r="H70" s="229">
        <v>-6.1000000000000004E-3</v>
      </c>
      <c r="I70" s="231">
        <v>2014.9</v>
      </c>
      <c r="J70" s="231">
        <v>2023.6</v>
      </c>
      <c r="K70" s="228">
        <v>-8.6999999999999993</v>
      </c>
      <c r="L70" s="229">
        <v>-4.3E-3</v>
      </c>
      <c r="M70" s="231">
        <v>2018.7</v>
      </c>
      <c r="N70" s="231">
        <v>2031</v>
      </c>
      <c r="O70" s="228">
        <v>-12.3</v>
      </c>
      <c r="P70" s="229">
        <v>-6.1000000000000004E-3</v>
      </c>
      <c r="Q70" s="231">
        <v>2028.8</v>
      </c>
      <c r="R70" s="231">
        <v>2041.1</v>
      </c>
      <c r="S70" s="228">
        <v>-12.3</v>
      </c>
      <c r="T70" s="229">
        <v>-6.0000000000000001E-3</v>
      </c>
      <c r="U70" s="231">
        <v>2044</v>
      </c>
      <c r="V70" s="231">
        <v>2051.9</v>
      </c>
      <c r="W70" s="228">
        <v>-7.9</v>
      </c>
      <c r="X70" s="229">
        <v>-3.8999999999999998E-3</v>
      </c>
      <c r="Y70" s="228">
        <v>3.8</v>
      </c>
      <c r="Z70" s="228">
        <v>7.4</v>
      </c>
      <c r="AA70" s="228">
        <v>-3.6</v>
      </c>
      <c r="AB70" s="229">
        <v>1.9E-3</v>
      </c>
      <c r="AC70" s="228">
        <v>3.8</v>
      </c>
      <c r="AD70" s="228">
        <v>7.4</v>
      </c>
      <c r="AE70" s="228">
        <v>-3.6</v>
      </c>
      <c r="AF70" s="229">
        <v>1.9E-3</v>
      </c>
      <c r="AG70" s="228">
        <v>13.9</v>
      </c>
      <c r="AH70" s="228">
        <v>17.5</v>
      </c>
      <c r="AI70" s="228">
        <v>-3.6</v>
      </c>
      <c r="AJ70" s="229">
        <v>6.8999999999999999E-3</v>
      </c>
      <c r="AK70" s="228">
        <v>29.1</v>
      </c>
      <c r="AL70" s="228">
        <v>28.3</v>
      </c>
      <c r="AM70" s="228">
        <v>0.8</v>
      </c>
      <c r="AN70" s="229">
        <v>1.44E-2</v>
      </c>
      <c r="AO70" s="231">
        <v>2027.24</v>
      </c>
      <c r="AP70" s="231">
        <v>2040.06</v>
      </c>
      <c r="AQ70" s="228">
        <v>0</v>
      </c>
      <c r="AR70" s="230">
        <v>1335400</v>
      </c>
      <c r="AS70" s="230">
        <v>704825</v>
      </c>
      <c r="AT70" s="230">
        <v>630575</v>
      </c>
      <c r="AU70" s="229">
        <v>0.89470000000000005</v>
      </c>
      <c r="AV70" s="230">
        <v>842875</v>
      </c>
      <c r="AW70" s="230">
        <v>563475</v>
      </c>
      <c r="AX70" s="230">
        <v>279400</v>
      </c>
      <c r="AY70" s="229">
        <v>0.49590000000000001</v>
      </c>
      <c r="AZ70" s="230">
        <v>484275</v>
      </c>
      <c r="BA70" s="230">
        <v>126225</v>
      </c>
      <c r="BB70" s="230">
        <v>358050</v>
      </c>
      <c r="BC70" s="229">
        <v>2.8365999999999998</v>
      </c>
      <c r="BD70" s="230">
        <v>8250</v>
      </c>
      <c r="BE70" s="230">
        <v>15125</v>
      </c>
      <c r="BF70" s="230">
        <v>-6875</v>
      </c>
      <c r="BG70" s="229">
        <v>-0.45450000000000002</v>
      </c>
      <c r="BH70" s="230">
        <v>1131350</v>
      </c>
      <c r="BI70" s="230">
        <v>1876050</v>
      </c>
      <c r="BJ70" s="230">
        <v>-744700</v>
      </c>
      <c r="BK70" s="229">
        <v>-0.39700000000000002</v>
      </c>
      <c r="BL70" s="230">
        <v>685025</v>
      </c>
      <c r="BM70" s="230">
        <v>991375</v>
      </c>
      <c r="BN70" s="230">
        <v>-306350</v>
      </c>
      <c r="BO70" s="229">
        <v>-0.309</v>
      </c>
      <c r="BP70" s="230">
        <v>3151775</v>
      </c>
      <c r="BQ70" s="230">
        <v>3572250</v>
      </c>
      <c r="BR70" s="230">
        <v>-420475</v>
      </c>
      <c r="BS70" s="229">
        <v>-0.1177</v>
      </c>
      <c r="BT70" s="230">
        <v>289979</v>
      </c>
      <c r="BU70" s="230">
        <v>247084</v>
      </c>
      <c r="BV70" s="230">
        <v>42895</v>
      </c>
      <c r="BW70" s="229">
        <v>0.1736</v>
      </c>
      <c r="BX70" s="230">
        <v>9103050</v>
      </c>
      <c r="BY70" s="230">
        <v>8889650</v>
      </c>
      <c r="BZ70" s="230">
        <v>213400</v>
      </c>
      <c r="CA70" s="229">
        <v>2.4E-2</v>
      </c>
      <c r="CB70" s="230">
        <v>8319575</v>
      </c>
      <c r="CC70" s="230">
        <v>8493925</v>
      </c>
      <c r="CD70" s="230">
        <v>-174350</v>
      </c>
      <c r="CE70" s="229">
        <v>-2.0500000000000001E-2</v>
      </c>
      <c r="CF70" s="230">
        <v>705925</v>
      </c>
      <c r="CG70" s="230">
        <v>318175</v>
      </c>
      <c r="CH70" s="230">
        <v>387750</v>
      </c>
      <c r="CI70" s="229">
        <v>1.2186999999999999</v>
      </c>
      <c r="CJ70" s="230">
        <v>77550</v>
      </c>
      <c r="CK70" s="230">
        <v>77550</v>
      </c>
      <c r="CL70" s="228">
        <v>0</v>
      </c>
      <c r="CM70" s="229">
        <v>0</v>
      </c>
      <c r="CN70" s="230">
        <v>3381950</v>
      </c>
      <c r="CO70" s="230">
        <v>3328325</v>
      </c>
      <c r="CP70" s="230">
        <v>53625</v>
      </c>
      <c r="CQ70" s="229">
        <v>1.61E-2</v>
      </c>
      <c r="CR70" s="230">
        <v>2022625</v>
      </c>
      <c r="CS70" s="230">
        <v>2016575</v>
      </c>
      <c r="CT70" s="230">
        <v>6050</v>
      </c>
      <c r="CU70" s="229">
        <v>3.0000000000000001E-3</v>
      </c>
      <c r="CV70" s="230">
        <v>14507625</v>
      </c>
      <c r="CW70" s="230">
        <v>14234550</v>
      </c>
      <c r="CX70" s="230">
        <v>273075</v>
      </c>
      <c r="CY70" s="229">
        <v>1.9199999999999998E-2</v>
      </c>
      <c r="CZ70" s="228">
        <v>27.34</v>
      </c>
      <c r="DA70" s="228">
        <v>27.88</v>
      </c>
      <c r="DB70" s="228">
        <v>-0.54</v>
      </c>
      <c r="DC70" s="228">
        <v>-0.54</v>
      </c>
      <c r="DD70" s="228">
        <v>42.44</v>
      </c>
      <c r="DE70" s="228">
        <v>42.54</v>
      </c>
      <c r="DF70" s="228">
        <v>-15.1</v>
      </c>
      <c r="DG70" s="228">
        <v>-0.1</v>
      </c>
      <c r="DH70" s="228">
        <v>28.14</v>
      </c>
      <c r="DI70" s="228">
        <v>28.43</v>
      </c>
      <c r="DJ70" s="228">
        <v>-0.28999999999999998</v>
      </c>
      <c r="DK70" s="228">
        <v>-0.28999999999999998</v>
      </c>
      <c r="DL70" s="228">
        <v>26.03</v>
      </c>
      <c r="DM70" s="228">
        <v>26.85</v>
      </c>
      <c r="DN70" s="228">
        <v>-0.82</v>
      </c>
      <c r="DO70" s="228">
        <v>-0.82</v>
      </c>
      <c r="DP70" s="228">
        <v>0.6</v>
      </c>
      <c r="DQ70" s="228">
        <v>0.61</v>
      </c>
      <c r="DR70" s="228">
        <v>-0.01</v>
      </c>
      <c r="DS70" s="229">
        <v>-1.6400000000000001E-2</v>
      </c>
      <c r="DT70" s="231">
        <v>2200</v>
      </c>
      <c r="DU70" s="231">
        <v>2100</v>
      </c>
      <c r="DV70" s="228">
        <v>0.61</v>
      </c>
      <c r="DW70" s="228">
        <v>0.53</v>
      </c>
      <c r="DX70" s="228">
        <v>0.08</v>
      </c>
      <c r="DY70" s="229">
        <v>0.15090000000000001</v>
      </c>
      <c r="DZ70" s="229">
        <v>8.6099999999999996E-2</v>
      </c>
      <c r="EA70" s="230">
        <v>395725</v>
      </c>
      <c r="EB70" s="229">
        <v>5.0000000000000001E-3</v>
      </c>
      <c r="EC70" s="229">
        <v>8.6099999999999996E-2</v>
      </c>
      <c r="ED70" s="228">
        <v>12.82</v>
      </c>
      <c r="EE70" s="229">
        <v>6.3E-3</v>
      </c>
      <c r="EF70" s="230">
        <v>136800</v>
      </c>
      <c r="EG70" s="230">
        <v>108704</v>
      </c>
      <c r="EH70" s="229">
        <v>0.25850000000000001</v>
      </c>
      <c r="EI70" s="229">
        <v>0.4718</v>
      </c>
      <c r="EJ70" s="231">
        <v>24049.65</v>
      </c>
      <c r="EK70" s="231">
        <v>13845.56</v>
      </c>
      <c r="EL70" s="231">
        <v>27136.03</v>
      </c>
      <c r="EM70" s="231">
        <v>2995</v>
      </c>
      <c r="EN70" s="231">
        <v>65031.24</v>
      </c>
      <c r="EO70" s="231">
        <v>74509.22</v>
      </c>
      <c r="EP70" s="231">
        <v>-9477.98</v>
      </c>
      <c r="EQ70" s="229">
        <v>-0.12720000000000001</v>
      </c>
      <c r="ER70" s="231">
        <v>72641</v>
      </c>
      <c r="ES70" s="231">
        <v>40720</v>
      </c>
      <c r="ET70" s="231">
        <v>183854</v>
      </c>
      <c r="EU70" s="231">
        <v>24082879</v>
      </c>
      <c r="EV70" s="231">
        <v>297216</v>
      </c>
      <c r="EW70" s="231">
        <v>292780</v>
      </c>
      <c r="EX70" s="231">
        <v>4436</v>
      </c>
      <c r="EY70" s="229">
        <v>1.52E-2</v>
      </c>
      <c r="EZ70" s="229">
        <v>0.60240000000000005</v>
      </c>
      <c r="FA70" s="227" t="s">
        <v>567</v>
      </c>
      <c r="FB70" s="161">
        <f t="shared" si="1"/>
        <v>783475</v>
      </c>
    </row>
    <row r="71" spans="1:158" ht="17.25" hidden="1" thickBot="1" x14ac:dyDescent="0.3">
      <c r="A71" s="226">
        <v>46008</v>
      </c>
      <c r="B71" s="227" t="s">
        <v>157</v>
      </c>
      <c r="C71" s="227" t="s">
        <v>219</v>
      </c>
      <c r="D71" s="228">
        <v>250</v>
      </c>
      <c r="E71" s="231">
        <v>2813.1</v>
      </c>
      <c r="F71" s="231">
        <v>2806.8</v>
      </c>
      <c r="G71" s="228">
        <v>6.3</v>
      </c>
      <c r="H71" s="229">
        <v>2.2000000000000001E-3</v>
      </c>
      <c r="I71" s="231">
        <v>2806.6</v>
      </c>
      <c r="J71" s="231">
        <v>2799.1</v>
      </c>
      <c r="K71" s="228">
        <v>7.5</v>
      </c>
      <c r="L71" s="229">
        <v>2.7000000000000001E-3</v>
      </c>
      <c r="M71" s="231">
        <v>2813.1</v>
      </c>
      <c r="N71" s="231">
        <v>2806.8</v>
      </c>
      <c r="O71" s="228">
        <v>6.3</v>
      </c>
      <c r="P71" s="229">
        <v>2.2000000000000001E-3</v>
      </c>
      <c r="Q71" s="231">
        <v>2830.9</v>
      </c>
      <c r="R71" s="231">
        <v>2821</v>
      </c>
      <c r="S71" s="228">
        <v>9.9</v>
      </c>
      <c r="T71" s="229">
        <v>3.5000000000000001E-3</v>
      </c>
      <c r="U71" s="231">
        <v>2836.3</v>
      </c>
      <c r="V71" s="231">
        <v>2870.7</v>
      </c>
      <c r="W71" s="228">
        <v>-34.4</v>
      </c>
      <c r="X71" s="229">
        <v>-1.2E-2</v>
      </c>
      <c r="Y71" s="228">
        <v>6.5</v>
      </c>
      <c r="Z71" s="228">
        <v>7.7</v>
      </c>
      <c r="AA71" s="228">
        <v>-1.2</v>
      </c>
      <c r="AB71" s="229">
        <v>2.3E-3</v>
      </c>
      <c r="AC71" s="228">
        <v>6.5</v>
      </c>
      <c r="AD71" s="228">
        <v>7.7</v>
      </c>
      <c r="AE71" s="228">
        <v>-1.2</v>
      </c>
      <c r="AF71" s="229">
        <v>2.3E-3</v>
      </c>
      <c r="AG71" s="228">
        <v>24.3</v>
      </c>
      <c r="AH71" s="228">
        <v>21.9</v>
      </c>
      <c r="AI71" s="228">
        <v>2.4</v>
      </c>
      <c r="AJ71" s="229">
        <v>8.6999999999999994E-3</v>
      </c>
      <c r="AK71" s="228">
        <v>29.7</v>
      </c>
      <c r="AL71" s="228">
        <v>71.599999999999994</v>
      </c>
      <c r="AM71" s="228">
        <v>-41.9</v>
      </c>
      <c r="AN71" s="229">
        <v>1.06E-2</v>
      </c>
      <c r="AO71" s="231">
        <v>2801.02</v>
      </c>
      <c r="AP71" s="231">
        <v>2816.21</v>
      </c>
      <c r="AQ71" s="228">
        <v>0</v>
      </c>
      <c r="AR71" s="230">
        <v>983250</v>
      </c>
      <c r="AS71" s="230">
        <v>767250</v>
      </c>
      <c r="AT71" s="230">
        <v>216000</v>
      </c>
      <c r="AU71" s="229">
        <v>0.28149999999999997</v>
      </c>
      <c r="AV71" s="230">
        <v>686750</v>
      </c>
      <c r="AW71" s="230">
        <v>691000</v>
      </c>
      <c r="AX71" s="230">
        <v>-4250</v>
      </c>
      <c r="AY71" s="229">
        <v>-6.1999999999999998E-3</v>
      </c>
      <c r="AZ71" s="230">
        <v>295750</v>
      </c>
      <c r="BA71" s="230">
        <v>76250</v>
      </c>
      <c r="BB71" s="230">
        <v>219500</v>
      </c>
      <c r="BC71" s="229">
        <v>2.8786999999999998</v>
      </c>
      <c r="BD71" s="228">
        <v>750</v>
      </c>
      <c r="BE71" s="228">
        <v>0</v>
      </c>
      <c r="BF71" s="228">
        <v>750</v>
      </c>
      <c r="BG71" s="229">
        <v>0</v>
      </c>
      <c r="BH71" s="230">
        <v>1291750</v>
      </c>
      <c r="BI71" s="230">
        <v>1509000</v>
      </c>
      <c r="BJ71" s="230">
        <v>-217250</v>
      </c>
      <c r="BK71" s="229">
        <v>-0.14399999999999999</v>
      </c>
      <c r="BL71" s="230">
        <v>681500</v>
      </c>
      <c r="BM71" s="230">
        <v>836250</v>
      </c>
      <c r="BN71" s="230">
        <v>-154750</v>
      </c>
      <c r="BO71" s="229">
        <v>-0.18509999999999999</v>
      </c>
      <c r="BP71" s="230">
        <v>2956500</v>
      </c>
      <c r="BQ71" s="230">
        <v>3112500</v>
      </c>
      <c r="BR71" s="230">
        <v>-156000</v>
      </c>
      <c r="BS71" s="229">
        <v>-5.0099999999999999E-2</v>
      </c>
      <c r="BT71" s="230">
        <v>424509</v>
      </c>
      <c r="BU71" s="230">
        <v>549057</v>
      </c>
      <c r="BV71" s="230">
        <v>-124548</v>
      </c>
      <c r="BW71" s="229">
        <v>-0.2268</v>
      </c>
      <c r="BX71" s="230">
        <v>15975250</v>
      </c>
      <c r="BY71" s="230">
        <v>15983000</v>
      </c>
      <c r="BZ71" s="230">
        <v>-7750</v>
      </c>
      <c r="CA71" s="229">
        <v>-5.0000000000000001E-4</v>
      </c>
      <c r="CB71" s="230">
        <v>14789250</v>
      </c>
      <c r="CC71" s="230">
        <v>15062000</v>
      </c>
      <c r="CD71" s="230">
        <v>-272750</v>
      </c>
      <c r="CE71" s="229">
        <v>-1.8100000000000002E-2</v>
      </c>
      <c r="CF71" s="230">
        <v>1171250</v>
      </c>
      <c r="CG71" s="230">
        <v>906000</v>
      </c>
      <c r="CH71" s="230">
        <v>265250</v>
      </c>
      <c r="CI71" s="229">
        <v>0.2928</v>
      </c>
      <c r="CJ71" s="230">
        <v>14750</v>
      </c>
      <c r="CK71" s="230">
        <v>15000</v>
      </c>
      <c r="CL71" s="228">
        <v>-250</v>
      </c>
      <c r="CM71" s="229">
        <v>-1.67E-2</v>
      </c>
      <c r="CN71" s="230">
        <v>2191750</v>
      </c>
      <c r="CO71" s="230">
        <v>2191750</v>
      </c>
      <c r="CP71" s="228">
        <v>0</v>
      </c>
      <c r="CQ71" s="229">
        <v>0</v>
      </c>
      <c r="CR71" s="230">
        <v>2393250</v>
      </c>
      <c r="CS71" s="230">
        <v>2400750</v>
      </c>
      <c r="CT71" s="230">
        <v>-7500</v>
      </c>
      <c r="CU71" s="229">
        <v>-3.0999999999999999E-3</v>
      </c>
      <c r="CV71" s="230">
        <v>20560250</v>
      </c>
      <c r="CW71" s="230">
        <v>20575500</v>
      </c>
      <c r="CX71" s="230">
        <v>-15250</v>
      </c>
      <c r="CY71" s="229">
        <v>-6.9999999999999999E-4</v>
      </c>
      <c r="CZ71" s="228">
        <v>16.62</v>
      </c>
      <c r="DA71" s="228">
        <v>16.03</v>
      </c>
      <c r="DB71" s="228">
        <v>0.59</v>
      </c>
      <c r="DC71" s="228">
        <v>0.59</v>
      </c>
      <c r="DD71" s="228">
        <v>25.55</v>
      </c>
      <c r="DE71" s="228">
        <v>25.62</v>
      </c>
      <c r="DF71" s="228">
        <v>-8.93</v>
      </c>
      <c r="DG71" s="228">
        <v>-7.0000000000000007E-2</v>
      </c>
      <c r="DH71" s="228">
        <v>16.91</v>
      </c>
      <c r="DI71" s="228">
        <v>16.3</v>
      </c>
      <c r="DJ71" s="228">
        <v>0.61</v>
      </c>
      <c r="DK71" s="228">
        <v>0.61</v>
      </c>
      <c r="DL71" s="228">
        <v>16.059999999999999</v>
      </c>
      <c r="DM71" s="228">
        <v>15.54</v>
      </c>
      <c r="DN71" s="228">
        <v>0.52</v>
      </c>
      <c r="DO71" s="228">
        <v>0.52</v>
      </c>
      <c r="DP71" s="228">
        <v>1.0900000000000001</v>
      </c>
      <c r="DQ71" s="228">
        <v>1.1000000000000001</v>
      </c>
      <c r="DR71" s="228">
        <v>-0.01</v>
      </c>
      <c r="DS71" s="229">
        <v>-9.1000000000000004E-3</v>
      </c>
      <c r="DT71" s="231">
        <v>2800</v>
      </c>
      <c r="DU71" s="231">
        <v>2700</v>
      </c>
      <c r="DV71" s="228">
        <v>0.53</v>
      </c>
      <c r="DW71" s="228">
        <v>0.55000000000000004</v>
      </c>
      <c r="DX71" s="228">
        <v>-0.02</v>
      </c>
      <c r="DY71" s="229">
        <v>-3.6400000000000002E-2</v>
      </c>
      <c r="DZ71" s="229">
        <v>7.4200000000000002E-2</v>
      </c>
      <c r="EA71" s="230">
        <v>921000</v>
      </c>
      <c r="EB71" s="229">
        <v>6.3E-3</v>
      </c>
      <c r="EC71" s="229">
        <v>7.4200000000000002E-2</v>
      </c>
      <c r="ED71" s="228">
        <v>15.19</v>
      </c>
      <c r="EE71" s="229">
        <v>5.4000000000000003E-3</v>
      </c>
      <c r="EF71" s="230">
        <v>311950</v>
      </c>
      <c r="EG71" s="230">
        <v>378529</v>
      </c>
      <c r="EH71" s="229">
        <v>-0.1759</v>
      </c>
      <c r="EI71" s="229">
        <v>0.73480000000000001</v>
      </c>
      <c r="EJ71" s="231">
        <v>37441.19</v>
      </c>
      <c r="EK71" s="231">
        <v>19039.05</v>
      </c>
      <c r="EL71" s="231">
        <v>27586.22</v>
      </c>
      <c r="EM71" s="231">
        <v>6192</v>
      </c>
      <c r="EN71" s="231">
        <v>84066.46</v>
      </c>
      <c r="EO71" s="231">
        <v>88616.99</v>
      </c>
      <c r="EP71" s="231">
        <v>-4550.53</v>
      </c>
      <c r="EQ71" s="229">
        <v>-5.1400000000000001E-2</v>
      </c>
      <c r="ER71" s="231">
        <v>63069</v>
      </c>
      <c r="ES71" s="231">
        <v>64597</v>
      </c>
      <c r="ET71" s="231">
        <v>449612</v>
      </c>
      <c r="EU71" s="231">
        <v>38514157</v>
      </c>
      <c r="EV71" s="231">
        <v>577277</v>
      </c>
      <c r="EW71" s="231">
        <v>576626</v>
      </c>
      <c r="EX71" s="228">
        <v>651</v>
      </c>
      <c r="EY71" s="229">
        <v>1.1000000000000001E-3</v>
      </c>
      <c r="EZ71" s="229">
        <v>0.53380000000000005</v>
      </c>
      <c r="FA71" s="227" t="s">
        <v>556</v>
      </c>
      <c r="FB71" s="161">
        <f t="shared" si="1"/>
        <v>1186000</v>
      </c>
    </row>
    <row r="72" spans="1:158" ht="17.25" hidden="1" thickBot="1" x14ac:dyDescent="0.3">
      <c r="A72" s="226">
        <v>46008</v>
      </c>
      <c r="B72" s="227" t="s">
        <v>184</v>
      </c>
      <c r="C72" s="227" t="s">
        <v>513</v>
      </c>
      <c r="D72" s="228">
        <v>150</v>
      </c>
      <c r="E72" s="231">
        <v>4242.1000000000004</v>
      </c>
      <c r="F72" s="231">
        <v>4275.8</v>
      </c>
      <c r="G72" s="228">
        <v>-33.700000000000003</v>
      </c>
      <c r="H72" s="229">
        <v>-7.9000000000000008E-3</v>
      </c>
      <c r="I72" s="231">
        <v>4228.3999999999996</v>
      </c>
      <c r="J72" s="231">
        <v>4261.3999999999996</v>
      </c>
      <c r="K72" s="228">
        <v>-33</v>
      </c>
      <c r="L72" s="229">
        <v>-7.7000000000000002E-3</v>
      </c>
      <c r="M72" s="231">
        <v>4242.1000000000004</v>
      </c>
      <c r="N72" s="231">
        <v>4275.8</v>
      </c>
      <c r="O72" s="228">
        <v>-33.700000000000003</v>
      </c>
      <c r="P72" s="229">
        <v>-7.9000000000000008E-3</v>
      </c>
      <c r="Q72" s="231">
        <v>4267.3</v>
      </c>
      <c r="R72" s="231">
        <v>4299.3999999999996</v>
      </c>
      <c r="S72" s="228">
        <v>-32.1</v>
      </c>
      <c r="T72" s="229">
        <v>-7.4999999999999997E-3</v>
      </c>
      <c r="U72" s="231">
        <v>4277.8999999999996</v>
      </c>
      <c r="V72" s="231">
        <v>4307.8</v>
      </c>
      <c r="W72" s="228">
        <v>-29.9</v>
      </c>
      <c r="X72" s="229">
        <v>-6.8999999999999999E-3</v>
      </c>
      <c r="Y72" s="228">
        <v>13.7</v>
      </c>
      <c r="Z72" s="228">
        <v>14.4</v>
      </c>
      <c r="AA72" s="228">
        <v>-0.7</v>
      </c>
      <c r="AB72" s="229">
        <v>3.2000000000000002E-3</v>
      </c>
      <c r="AC72" s="228">
        <v>13.7</v>
      </c>
      <c r="AD72" s="228">
        <v>14.4</v>
      </c>
      <c r="AE72" s="228">
        <v>-0.7</v>
      </c>
      <c r="AF72" s="229">
        <v>3.2000000000000002E-3</v>
      </c>
      <c r="AG72" s="228">
        <v>38.9</v>
      </c>
      <c r="AH72" s="228">
        <v>38</v>
      </c>
      <c r="AI72" s="228">
        <v>0.9</v>
      </c>
      <c r="AJ72" s="229">
        <v>9.1999999999999998E-3</v>
      </c>
      <c r="AK72" s="228">
        <v>49.5</v>
      </c>
      <c r="AL72" s="228">
        <v>46.4</v>
      </c>
      <c r="AM72" s="228">
        <v>3.1</v>
      </c>
      <c r="AN72" s="229">
        <v>1.17E-2</v>
      </c>
      <c r="AO72" s="231">
        <v>4252.3</v>
      </c>
      <c r="AP72" s="231">
        <v>4275.97</v>
      </c>
      <c r="AQ72" s="228">
        <v>0</v>
      </c>
      <c r="AR72" s="230">
        <v>729750</v>
      </c>
      <c r="AS72" s="230">
        <v>1047900</v>
      </c>
      <c r="AT72" s="230">
        <v>-318150</v>
      </c>
      <c r="AU72" s="229">
        <v>-0.30359999999999998</v>
      </c>
      <c r="AV72" s="230">
        <v>523350</v>
      </c>
      <c r="AW72" s="230">
        <v>778500</v>
      </c>
      <c r="AX72" s="230">
        <v>-255150</v>
      </c>
      <c r="AY72" s="229">
        <v>-0.32769999999999999</v>
      </c>
      <c r="AZ72" s="230">
        <v>187800</v>
      </c>
      <c r="BA72" s="230">
        <v>238650</v>
      </c>
      <c r="BB72" s="230">
        <v>-50850</v>
      </c>
      <c r="BC72" s="229">
        <v>-0.21310000000000001</v>
      </c>
      <c r="BD72" s="230">
        <v>18600</v>
      </c>
      <c r="BE72" s="230">
        <v>30750</v>
      </c>
      <c r="BF72" s="230">
        <v>-12150</v>
      </c>
      <c r="BG72" s="229">
        <v>-0.39510000000000001</v>
      </c>
      <c r="BH72" s="230">
        <v>6190650</v>
      </c>
      <c r="BI72" s="230">
        <v>6173850</v>
      </c>
      <c r="BJ72" s="230">
        <v>16800</v>
      </c>
      <c r="BK72" s="229">
        <v>2.7000000000000001E-3</v>
      </c>
      <c r="BL72" s="230">
        <v>2749200</v>
      </c>
      <c r="BM72" s="230">
        <v>2513850</v>
      </c>
      <c r="BN72" s="230">
        <v>235350</v>
      </c>
      <c r="BO72" s="229">
        <v>9.3600000000000003E-2</v>
      </c>
      <c r="BP72" s="230">
        <v>9669600</v>
      </c>
      <c r="BQ72" s="230">
        <v>9735600</v>
      </c>
      <c r="BR72" s="230">
        <v>-66000</v>
      </c>
      <c r="BS72" s="229">
        <v>-6.7999999999999996E-3</v>
      </c>
      <c r="BT72" s="230">
        <v>669193</v>
      </c>
      <c r="BU72" s="230">
        <v>1052933</v>
      </c>
      <c r="BV72" s="230">
        <v>-383740</v>
      </c>
      <c r="BW72" s="229">
        <v>-0.3644</v>
      </c>
      <c r="BX72" s="230">
        <v>10456200</v>
      </c>
      <c r="BY72" s="230">
        <v>10377900</v>
      </c>
      <c r="BZ72" s="230">
        <v>78300</v>
      </c>
      <c r="CA72" s="229">
        <v>7.4999999999999997E-3</v>
      </c>
      <c r="CB72" s="230">
        <v>9246900</v>
      </c>
      <c r="CC72" s="230">
        <v>9251400</v>
      </c>
      <c r="CD72" s="230">
        <v>-4500</v>
      </c>
      <c r="CE72" s="229">
        <v>-5.0000000000000001E-4</v>
      </c>
      <c r="CF72" s="230">
        <v>1051800</v>
      </c>
      <c r="CG72" s="230">
        <v>976350</v>
      </c>
      <c r="CH72" s="230">
        <v>75450</v>
      </c>
      <c r="CI72" s="229">
        <v>7.7299999999999994E-2</v>
      </c>
      <c r="CJ72" s="230">
        <v>157500</v>
      </c>
      <c r="CK72" s="230">
        <v>150150</v>
      </c>
      <c r="CL72" s="230">
        <v>7350</v>
      </c>
      <c r="CM72" s="229">
        <v>4.9000000000000002E-2</v>
      </c>
      <c r="CN72" s="230">
        <v>9140550</v>
      </c>
      <c r="CO72" s="230">
        <v>8947650</v>
      </c>
      <c r="CP72" s="230">
        <v>192900</v>
      </c>
      <c r="CQ72" s="229">
        <v>2.1600000000000001E-2</v>
      </c>
      <c r="CR72" s="230">
        <v>4512000</v>
      </c>
      <c r="CS72" s="230">
        <v>4440450</v>
      </c>
      <c r="CT72" s="230">
        <v>71550</v>
      </c>
      <c r="CU72" s="229">
        <v>1.61E-2</v>
      </c>
      <c r="CV72" s="230">
        <v>24108750</v>
      </c>
      <c r="CW72" s="230">
        <v>23766000</v>
      </c>
      <c r="CX72" s="230">
        <v>342750</v>
      </c>
      <c r="CY72" s="229">
        <v>1.44E-2</v>
      </c>
      <c r="CZ72" s="228">
        <v>25.34</v>
      </c>
      <c r="DA72" s="228">
        <v>25.64</v>
      </c>
      <c r="DB72" s="228">
        <v>-0.3</v>
      </c>
      <c r="DC72" s="228">
        <v>-0.3</v>
      </c>
      <c r="DD72" s="228">
        <v>37.72</v>
      </c>
      <c r="DE72" s="228">
        <v>37.799999999999997</v>
      </c>
      <c r="DF72" s="228">
        <v>-12.38</v>
      </c>
      <c r="DG72" s="228">
        <v>-0.08</v>
      </c>
      <c r="DH72" s="228">
        <v>26.25</v>
      </c>
      <c r="DI72" s="228">
        <v>26.5</v>
      </c>
      <c r="DJ72" s="228">
        <v>-0.25</v>
      </c>
      <c r="DK72" s="228">
        <v>-0.25</v>
      </c>
      <c r="DL72" s="228">
        <v>23.29</v>
      </c>
      <c r="DM72" s="228">
        <v>23.55</v>
      </c>
      <c r="DN72" s="228">
        <v>-0.26</v>
      </c>
      <c r="DO72" s="228">
        <v>-0.26</v>
      </c>
      <c r="DP72" s="228">
        <v>0.49</v>
      </c>
      <c r="DQ72" s="228">
        <v>0.5</v>
      </c>
      <c r="DR72" s="228">
        <v>-0.01</v>
      </c>
      <c r="DS72" s="229">
        <v>-0.02</v>
      </c>
      <c r="DT72" s="231">
        <v>4500</v>
      </c>
      <c r="DU72" s="231">
        <v>4500</v>
      </c>
      <c r="DV72" s="228">
        <v>0.44</v>
      </c>
      <c r="DW72" s="228">
        <v>0.41</v>
      </c>
      <c r="DX72" s="228">
        <v>0.03</v>
      </c>
      <c r="DY72" s="229">
        <v>7.3200000000000001E-2</v>
      </c>
      <c r="DZ72" s="229">
        <v>0.1157</v>
      </c>
      <c r="EA72" s="230">
        <v>1126500</v>
      </c>
      <c r="EB72" s="229">
        <v>5.8999999999999999E-3</v>
      </c>
      <c r="EC72" s="229">
        <v>0.1157</v>
      </c>
      <c r="ED72" s="228">
        <v>23.67</v>
      </c>
      <c r="EE72" s="229">
        <v>5.5999999999999999E-3</v>
      </c>
      <c r="EF72" s="230">
        <v>348088</v>
      </c>
      <c r="EG72" s="230">
        <v>641328</v>
      </c>
      <c r="EH72" s="229">
        <v>-0.4572</v>
      </c>
      <c r="EI72" s="229">
        <v>0.5202</v>
      </c>
      <c r="EJ72" s="231">
        <v>278665.17</v>
      </c>
      <c r="EK72" s="231">
        <v>117650.78</v>
      </c>
      <c r="EL72" s="231">
        <v>31082.82</v>
      </c>
      <c r="EM72" s="231">
        <v>6817</v>
      </c>
      <c r="EN72" s="231">
        <v>427398.77</v>
      </c>
      <c r="EO72" s="231">
        <v>432403.4</v>
      </c>
      <c r="EP72" s="231">
        <v>-5004.63</v>
      </c>
      <c r="EQ72" s="229">
        <v>-1.1599999999999999E-2</v>
      </c>
      <c r="ER72" s="231">
        <v>425990</v>
      </c>
      <c r="ES72" s="231">
        <v>199641</v>
      </c>
      <c r="ET72" s="231">
        <v>443884</v>
      </c>
      <c r="EU72" s="231">
        <v>28450886</v>
      </c>
      <c r="EV72" s="231">
        <v>1069515</v>
      </c>
      <c r="EW72" s="231">
        <v>1058870</v>
      </c>
      <c r="EX72" s="231">
        <v>10645</v>
      </c>
      <c r="EY72" s="229">
        <v>1.01E-2</v>
      </c>
      <c r="EZ72" s="229">
        <v>0.84740000000000004</v>
      </c>
      <c r="FA72" s="227" t="s">
        <v>567</v>
      </c>
      <c r="FB72" s="161">
        <f t="shared" si="1"/>
        <v>1209300</v>
      </c>
    </row>
    <row r="73" spans="1:158" ht="17.25" hidden="1" thickBot="1" x14ac:dyDescent="0.3">
      <c r="A73" s="226">
        <v>46008</v>
      </c>
      <c r="B73" s="227" t="s">
        <v>184</v>
      </c>
      <c r="C73" s="227" t="s">
        <v>220</v>
      </c>
      <c r="D73" s="228">
        <v>500</v>
      </c>
      <c r="E73" s="231">
        <v>1398.7</v>
      </c>
      <c r="F73" s="231">
        <v>1418</v>
      </c>
      <c r="G73" s="228">
        <v>-19.3</v>
      </c>
      <c r="H73" s="229">
        <v>-1.3599999999999999E-2</v>
      </c>
      <c r="I73" s="231">
        <v>1397</v>
      </c>
      <c r="J73" s="231">
        <v>1412</v>
      </c>
      <c r="K73" s="228">
        <v>-15</v>
      </c>
      <c r="L73" s="229">
        <v>-1.06E-2</v>
      </c>
      <c r="M73" s="231">
        <v>1398.7</v>
      </c>
      <c r="N73" s="231">
        <v>1418</v>
      </c>
      <c r="O73" s="228">
        <v>-19.3</v>
      </c>
      <c r="P73" s="229">
        <v>-1.3599999999999999E-2</v>
      </c>
      <c r="Q73" s="231">
        <v>1405.2</v>
      </c>
      <c r="R73" s="231">
        <v>1424.3</v>
      </c>
      <c r="S73" s="228">
        <v>-19.100000000000001</v>
      </c>
      <c r="T73" s="229">
        <v>-1.34E-2</v>
      </c>
      <c r="U73" s="231">
        <v>1412</v>
      </c>
      <c r="V73" s="231">
        <v>1434.6</v>
      </c>
      <c r="W73" s="228">
        <v>-22.6</v>
      </c>
      <c r="X73" s="229">
        <v>-1.5800000000000002E-2</v>
      </c>
      <c r="Y73" s="228">
        <v>1.7</v>
      </c>
      <c r="Z73" s="228">
        <v>6</v>
      </c>
      <c r="AA73" s="228">
        <v>-4.3</v>
      </c>
      <c r="AB73" s="229">
        <v>1.1999999999999999E-3</v>
      </c>
      <c r="AC73" s="228">
        <v>1.7</v>
      </c>
      <c r="AD73" s="228">
        <v>6</v>
      </c>
      <c r="AE73" s="228">
        <v>-4.3</v>
      </c>
      <c r="AF73" s="229">
        <v>1.1999999999999999E-3</v>
      </c>
      <c r="AG73" s="228">
        <v>8.1999999999999993</v>
      </c>
      <c r="AH73" s="228">
        <v>12.3</v>
      </c>
      <c r="AI73" s="228">
        <v>-4.0999999999999996</v>
      </c>
      <c r="AJ73" s="229">
        <v>5.8999999999999999E-3</v>
      </c>
      <c r="AK73" s="228">
        <v>15</v>
      </c>
      <c r="AL73" s="228">
        <v>22.6</v>
      </c>
      <c r="AM73" s="228">
        <v>-7.6</v>
      </c>
      <c r="AN73" s="229">
        <v>1.0699999999999999E-2</v>
      </c>
      <c r="AO73" s="231">
        <v>1401.17</v>
      </c>
      <c r="AP73" s="231">
        <v>1407.84</v>
      </c>
      <c r="AQ73" s="228">
        <v>0</v>
      </c>
      <c r="AR73" s="230">
        <v>1057500</v>
      </c>
      <c r="AS73" s="230">
        <v>885500</v>
      </c>
      <c r="AT73" s="230">
        <v>172000</v>
      </c>
      <c r="AU73" s="229">
        <v>0.19420000000000001</v>
      </c>
      <c r="AV73" s="230">
        <v>961500</v>
      </c>
      <c r="AW73" s="230">
        <v>762500</v>
      </c>
      <c r="AX73" s="230">
        <v>199000</v>
      </c>
      <c r="AY73" s="229">
        <v>0.26100000000000001</v>
      </c>
      <c r="AZ73" s="230">
        <v>87500</v>
      </c>
      <c r="BA73" s="230">
        <v>118000</v>
      </c>
      <c r="BB73" s="230">
        <v>-30500</v>
      </c>
      <c r="BC73" s="229">
        <v>-0.25850000000000001</v>
      </c>
      <c r="BD73" s="230">
        <v>8500</v>
      </c>
      <c r="BE73" s="230">
        <v>5000</v>
      </c>
      <c r="BF73" s="230">
        <v>3500</v>
      </c>
      <c r="BG73" s="229">
        <v>0.7</v>
      </c>
      <c r="BH73" s="230">
        <v>1673000</v>
      </c>
      <c r="BI73" s="230">
        <v>1828500</v>
      </c>
      <c r="BJ73" s="230">
        <v>-155500</v>
      </c>
      <c r="BK73" s="229">
        <v>-8.5000000000000006E-2</v>
      </c>
      <c r="BL73" s="230">
        <v>1230000</v>
      </c>
      <c r="BM73" s="230">
        <v>622500</v>
      </c>
      <c r="BN73" s="230">
        <v>607500</v>
      </c>
      <c r="BO73" s="229">
        <v>0.97589999999999999</v>
      </c>
      <c r="BP73" s="230">
        <v>3960500</v>
      </c>
      <c r="BQ73" s="230">
        <v>3336500</v>
      </c>
      <c r="BR73" s="230">
        <v>624000</v>
      </c>
      <c r="BS73" s="229">
        <v>0.187</v>
      </c>
      <c r="BT73" s="230">
        <v>357217</v>
      </c>
      <c r="BU73" s="230">
        <v>313916</v>
      </c>
      <c r="BV73" s="230">
        <v>43301</v>
      </c>
      <c r="BW73" s="229">
        <v>0.13789999999999999</v>
      </c>
      <c r="BX73" s="230">
        <v>8538500</v>
      </c>
      <c r="BY73" s="230">
        <v>8494000</v>
      </c>
      <c r="BZ73" s="230">
        <v>44500</v>
      </c>
      <c r="CA73" s="229">
        <v>5.1999999999999998E-3</v>
      </c>
      <c r="CB73" s="230">
        <v>8040500</v>
      </c>
      <c r="CC73" s="230">
        <v>8007500</v>
      </c>
      <c r="CD73" s="230">
        <v>33000</v>
      </c>
      <c r="CE73" s="229">
        <v>4.1000000000000003E-3</v>
      </c>
      <c r="CF73" s="230">
        <v>449000</v>
      </c>
      <c r="CG73" s="230">
        <v>443500</v>
      </c>
      <c r="CH73" s="230">
        <v>5500</v>
      </c>
      <c r="CI73" s="229">
        <v>1.24E-2</v>
      </c>
      <c r="CJ73" s="230">
        <v>49000</v>
      </c>
      <c r="CK73" s="230">
        <v>43000</v>
      </c>
      <c r="CL73" s="230">
        <v>6000</v>
      </c>
      <c r="CM73" s="229">
        <v>0.13950000000000001</v>
      </c>
      <c r="CN73" s="230">
        <v>2682000</v>
      </c>
      <c r="CO73" s="230">
        <v>2516500</v>
      </c>
      <c r="CP73" s="230">
        <v>165500</v>
      </c>
      <c r="CQ73" s="229">
        <v>6.5799999999999997E-2</v>
      </c>
      <c r="CR73" s="230">
        <v>2041500</v>
      </c>
      <c r="CS73" s="230">
        <v>1959500</v>
      </c>
      <c r="CT73" s="230">
        <v>82000</v>
      </c>
      <c r="CU73" s="229">
        <v>4.1799999999999997E-2</v>
      </c>
      <c r="CV73" s="230">
        <v>13262000</v>
      </c>
      <c r="CW73" s="230">
        <v>12970000</v>
      </c>
      <c r="CX73" s="230">
        <v>292000</v>
      </c>
      <c r="CY73" s="229">
        <v>2.2499999999999999E-2</v>
      </c>
      <c r="CZ73" s="228">
        <v>19.350000000000001</v>
      </c>
      <c r="DA73" s="228">
        <v>18.010000000000002</v>
      </c>
      <c r="DB73" s="228">
        <v>1.34</v>
      </c>
      <c r="DC73" s="228">
        <v>1.34</v>
      </c>
      <c r="DD73" s="228">
        <v>27.12</v>
      </c>
      <c r="DE73" s="228">
        <v>27.13</v>
      </c>
      <c r="DF73" s="228">
        <v>-7.77</v>
      </c>
      <c r="DG73" s="228">
        <v>-0.01</v>
      </c>
      <c r="DH73" s="228">
        <v>20.07</v>
      </c>
      <c r="DI73" s="228">
        <v>17.98</v>
      </c>
      <c r="DJ73" s="228">
        <v>2.09</v>
      </c>
      <c r="DK73" s="228">
        <v>2.09</v>
      </c>
      <c r="DL73" s="228">
        <v>18.36</v>
      </c>
      <c r="DM73" s="228">
        <v>18.09</v>
      </c>
      <c r="DN73" s="228">
        <v>0.27</v>
      </c>
      <c r="DO73" s="228">
        <v>0.27</v>
      </c>
      <c r="DP73" s="228">
        <v>0.76</v>
      </c>
      <c r="DQ73" s="228">
        <v>0.78</v>
      </c>
      <c r="DR73" s="228">
        <v>-0.02</v>
      </c>
      <c r="DS73" s="229">
        <v>-2.5600000000000001E-2</v>
      </c>
      <c r="DT73" s="231">
        <v>1500</v>
      </c>
      <c r="DU73" s="231">
        <v>1380</v>
      </c>
      <c r="DV73" s="228">
        <v>0.74</v>
      </c>
      <c r="DW73" s="228">
        <v>0.34</v>
      </c>
      <c r="DX73" s="228">
        <v>0.4</v>
      </c>
      <c r="DY73" s="229">
        <v>1.1765000000000001</v>
      </c>
      <c r="DZ73" s="229">
        <v>5.8299999999999998E-2</v>
      </c>
      <c r="EA73" s="230">
        <v>486500</v>
      </c>
      <c r="EB73" s="229">
        <v>4.5999999999999999E-3</v>
      </c>
      <c r="EC73" s="229">
        <v>5.8299999999999998E-2</v>
      </c>
      <c r="ED73" s="228">
        <v>6.67</v>
      </c>
      <c r="EE73" s="229">
        <v>4.7999999999999996E-3</v>
      </c>
      <c r="EF73" s="230">
        <v>195769</v>
      </c>
      <c r="EG73" s="230">
        <v>171028</v>
      </c>
      <c r="EH73" s="229">
        <v>0.1447</v>
      </c>
      <c r="EI73" s="229">
        <v>0.54800000000000004</v>
      </c>
      <c r="EJ73" s="231">
        <v>24931.9</v>
      </c>
      <c r="EK73" s="231">
        <v>17026.05</v>
      </c>
      <c r="EL73" s="231">
        <v>14824.35</v>
      </c>
      <c r="EM73" s="231">
        <v>2185</v>
      </c>
      <c r="EN73" s="231">
        <v>56782.3</v>
      </c>
      <c r="EO73" s="231">
        <v>47996.41</v>
      </c>
      <c r="EP73" s="231">
        <v>8785.89</v>
      </c>
      <c r="EQ73" s="229">
        <v>0.18310000000000001</v>
      </c>
      <c r="ER73" s="231">
        <v>39766</v>
      </c>
      <c r="ES73" s="231">
        <v>28513</v>
      </c>
      <c r="ET73" s="231">
        <v>119464</v>
      </c>
      <c r="EU73" s="231">
        <v>38133766</v>
      </c>
      <c r="EV73" s="231">
        <v>187743</v>
      </c>
      <c r="EW73" s="231">
        <v>185284</v>
      </c>
      <c r="EX73" s="231">
        <v>2459</v>
      </c>
      <c r="EY73" s="229">
        <v>1.3299999999999999E-2</v>
      </c>
      <c r="EZ73" s="229">
        <v>0.3478</v>
      </c>
      <c r="FA73" s="227" t="s">
        <v>567</v>
      </c>
      <c r="FB73" s="161">
        <f t="shared" si="1"/>
        <v>498000</v>
      </c>
    </row>
    <row r="74" spans="1:158" ht="17.25" hidden="1" thickBot="1" x14ac:dyDescent="0.3">
      <c r="A74" s="226">
        <v>46008</v>
      </c>
      <c r="B74" s="227" t="s">
        <v>221</v>
      </c>
      <c r="C74" s="227" t="s">
        <v>222</v>
      </c>
      <c r="D74" s="228">
        <v>350</v>
      </c>
      <c r="E74" s="231">
        <v>1661</v>
      </c>
      <c r="F74" s="231">
        <v>1657.7</v>
      </c>
      <c r="G74" s="228">
        <v>3.3</v>
      </c>
      <c r="H74" s="229">
        <v>2E-3</v>
      </c>
      <c r="I74" s="231">
        <v>1655</v>
      </c>
      <c r="J74" s="231">
        <v>1651.7</v>
      </c>
      <c r="K74" s="228">
        <v>3.3</v>
      </c>
      <c r="L74" s="229">
        <v>2E-3</v>
      </c>
      <c r="M74" s="231">
        <v>1661</v>
      </c>
      <c r="N74" s="231">
        <v>1657.7</v>
      </c>
      <c r="O74" s="228">
        <v>3.3</v>
      </c>
      <c r="P74" s="229">
        <v>2E-3</v>
      </c>
      <c r="Q74" s="231">
        <v>1658.5</v>
      </c>
      <c r="R74" s="231">
        <v>1654.9</v>
      </c>
      <c r="S74" s="228">
        <v>3.6</v>
      </c>
      <c r="T74" s="229">
        <v>2.2000000000000001E-3</v>
      </c>
      <c r="U74" s="231">
        <v>1667.4</v>
      </c>
      <c r="V74" s="231">
        <v>1666.9</v>
      </c>
      <c r="W74" s="228">
        <v>0.5</v>
      </c>
      <c r="X74" s="229">
        <v>2.9999999999999997E-4</v>
      </c>
      <c r="Y74" s="228">
        <v>6</v>
      </c>
      <c r="Z74" s="228">
        <v>6</v>
      </c>
      <c r="AA74" s="228">
        <v>0</v>
      </c>
      <c r="AB74" s="229">
        <v>3.5999999999999999E-3</v>
      </c>
      <c r="AC74" s="228">
        <v>6</v>
      </c>
      <c r="AD74" s="228">
        <v>6</v>
      </c>
      <c r="AE74" s="228">
        <v>0</v>
      </c>
      <c r="AF74" s="229">
        <v>3.5999999999999999E-3</v>
      </c>
      <c r="AG74" s="228">
        <v>3.5</v>
      </c>
      <c r="AH74" s="228">
        <v>3.2</v>
      </c>
      <c r="AI74" s="228">
        <v>0.3</v>
      </c>
      <c r="AJ74" s="229">
        <v>2.0999999999999999E-3</v>
      </c>
      <c r="AK74" s="228">
        <v>12.4</v>
      </c>
      <c r="AL74" s="228">
        <v>15.2</v>
      </c>
      <c r="AM74" s="228">
        <v>-2.8</v>
      </c>
      <c r="AN74" s="229">
        <v>7.4999999999999997E-3</v>
      </c>
      <c r="AO74" s="231">
        <v>1661.08</v>
      </c>
      <c r="AP74" s="231">
        <v>1657.72</v>
      </c>
      <c r="AQ74" s="228">
        <v>0</v>
      </c>
      <c r="AR74" s="230">
        <v>1625050</v>
      </c>
      <c r="AS74" s="230">
        <v>3235750</v>
      </c>
      <c r="AT74" s="230">
        <v>-1610700</v>
      </c>
      <c r="AU74" s="229">
        <v>-0.49780000000000002</v>
      </c>
      <c r="AV74" s="230">
        <v>1370600</v>
      </c>
      <c r="AW74" s="230">
        <v>2695000</v>
      </c>
      <c r="AX74" s="230">
        <v>-1324400</v>
      </c>
      <c r="AY74" s="229">
        <v>-0.4914</v>
      </c>
      <c r="AZ74" s="230">
        <v>233450</v>
      </c>
      <c r="BA74" s="230">
        <v>495950</v>
      </c>
      <c r="BB74" s="230">
        <v>-262500</v>
      </c>
      <c r="BC74" s="229">
        <v>-0.52929999999999999</v>
      </c>
      <c r="BD74" s="230">
        <v>21000</v>
      </c>
      <c r="BE74" s="230">
        <v>44800</v>
      </c>
      <c r="BF74" s="230">
        <v>-23800</v>
      </c>
      <c r="BG74" s="229">
        <v>-0.53129999999999999</v>
      </c>
      <c r="BH74" s="230">
        <v>5045250</v>
      </c>
      <c r="BI74" s="230">
        <v>7728350</v>
      </c>
      <c r="BJ74" s="230">
        <v>-2683100</v>
      </c>
      <c r="BK74" s="229">
        <v>-0.34720000000000001</v>
      </c>
      <c r="BL74" s="230">
        <v>2504600</v>
      </c>
      <c r="BM74" s="230">
        <v>4567150</v>
      </c>
      <c r="BN74" s="230">
        <v>-2062550</v>
      </c>
      <c r="BO74" s="229">
        <v>-0.4516</v>
      </c>
      <c r="BP74" s="230">
        <v>9174900</v>
      </c>
      <c r="BQ74" s="230">
        <v>15531250</v>
      </c>
      <c r="BR74" s="230">
        <v>-6356350</v>
      </c>
      <c r="BS74" s="229">
        <v>-0.4093</v>
      </c>
      <c r="BT74" s="230">
        <v>1434869</v>
      </c>
      <c r="BU74" s="230">
        <v>2063086</v>
      </c>
      <c r="BV74" s="230">
        <v>-628217</v>
      </c>
      <c r="BW74" s="229">
        <v>-0.30449999999999999</v>
      </c>
      <c r="BX74" s="230">
        <v>17044650</v>
      </c>
      <c r="BY74" s="230">
        <v>17353700</v>
      </c>
      <c r="BZ74" s="230">
        <v>-309050</v>
      </c>
      <c r="CA74" s="229">
        <v>-1.78E-2</v>
      </c>
      <c r="CB74" s="230">
        <v>15855000</v>
      </c>
      <c r="CC74" s="230">
        <v>16260650</v>
      </c>
      <c r="CD74" s="230">
        <v>-405650</v>
      </c>
      <c r="CE74" s="229">
        <v>-2.4899999999999999E-2</v>
      </c>
      <c r="CF74" s="230">
        <v>1099350</v>
      </c>
      <c r="CG74" s="230">
        <v>1005900</v>
      </c>
      <c r="CH74" s="230">
        <v>93450</v>
      </c>
      <c r="CI74" s="229">
        <v>9.2899999999999996E-2</v>
      </c>
      <c r="CJ74" s="230">
        <v>90300</v>
      </c>
      <c r="CK74" s="230">
        <v>87150</v>
      </c>
      <c r="CL74" s="230">
        <v>3150</v>
      </c>
      <c r="CM74" s="229">
        <v>3.61E-2</v>
      </c>
      <c r="CN74" s="230">
        <v>7372750</v>
      </c>
      <c r="CO74" s="230">
        <v>7287350</v>
      </c>
      <c r="CP74" s="230">
        <v>85400</v>
      </c>
      <c r="CQ74" s="229">
        <v>1.17E-2</v>
      </c>
      <c r="CR74" s="230">
        <v>4213300</v>
      </c>
      <c r="CS74" s="230">
        <v>4267200</v>
      </c>
      <c r="CT74" s="230">
        <v>-53900</v>
      </c>
      <c r="CU74" s="229">
        <v>-1.26E-2</v>
      </c>
      <c r="CV74" s="230">
        <v>28630700</v>
      </c>
      <c r="CW74" s="230">
        <v>28908250</v>
      </c>
      <c r="CX74" s="230">
        <v>-277550</v>
      </c>
      <c r="CY74" s="229">
        <v>-9.5999999999999992E-3</v>
      </c>
      <c r="CZ74" s="228">
        <v>18.809999999999999</v>
      </c>
      <c r="DA74" s="228">
        <v>19.03</v>
      </c>
      <c r="DB74" s="228">
        <v>-0.22</v>
      </c>
      <c r="DC74" s="228">
        <v>-0.22</v>
      </c>
      <c r="DD74" s="228">
        <v>28.04</v>
      </c>
      <c r="DE74" s="228">
        <v>28.11</v>
      </c>
      <c r="DF74" s="228">
        <v>-9.23</v>
      </c>
      <c r="DG74" s="228">
        <v>-7.0000000000000007E-2</v>
      </c>
      <c r="DH74" s="228">
        <v>18.649999999999999</v>
      </c>
      <c r="DI74" s="228">
        <v>19.04</v>
      </c>
      <c r="DJ74" s="228">
        <v>-0.39</v>
      </c>
      <c r="DK74" s="228">
        <v>-0.39</v>
      </c>
      <c r="DL74" s="228">
        <v>19.11</v>
      </c>
      <c r="DM74" s="228">
        <v>19.010000000000002</v>
      </c>
      <c r="DN74" s="228">
        <v>0.1</v>
      </c>
      <c r="DO74" s="228">
        <v>0.1</v>
      </c>
      <c r="DP74" s="228">
        <v>0.56999999999999995</v>
      </c>
      <c r="DQ74" s="228">
        <v>0.59</v>
      </c>
      <c r="DR74" s="228">
        <v>-0.02</v>
      </c>
      <c r="DS74" s="229">
        <v>-3.39E-2</v>
      </c>
      <c r="DT74" s="231">
        <v>1720</v>
      </c>
      <c r="DU74" s="231">
        <v>1440</v>
      </c>
      <c r="DV74" s="228">
        <v>0.5</v>
      </c>
      <c r="DW74" s="228">
        <v>0.59</v>
      </c>
      <c r="DX74" s="228">
        <v>-0.09</v>
      </c>
      <c r="DY74" s="229">
        <v>-0.1525</v>
      </c>
      <c r="DZ74" s="229">
        <v>6.9800000000000001E-2</v>
      </c>
      <c r="EA74" s="230">
        <v>1093050</v>
      </c>
      <c r="EB74" s="229">
        <v>-1.5E-3</v>
      </c>
      <c r="EC74" s="229">
        <v>6.9800000000000001E-2</v>
      </c>
      <c r="ED74" s="228">
        <v>-3.36</v>
      </c>
      <c r="EE74" s="229">
        <v>-2E-3</v>
      </c>
      <c r="EF74" s="230">
        <v>934976</v>
      </c>
      <c r="EG74" s="230">
        <v>1330452</v>
      </c>
      <c r="EH74" s="229">
        <v>-0.29720000000000002</v>
      </c>
      <c r="EI74" s="229">
        <v>0.65159999999999996</v>
      </c>
      <c r="EJ74" s="231">
        <v>85963.98</v>
      </c>
      <c r="EK74" s="231">
        <v>41347.51</v>
      </c>
      <c r="EL74" s="231">
        <v>26986.71</v>
      </c>
      <c r="EM74" s="231">
        <v>5701</v>
      </c>
      <c r="EN74" s="231">
        <v>154298.20000000001</v>
      </c>
      <c r="EO74" s="231">
        <v>261695.13</v>
      </c>
      <c r="EP74" s="231">
        <v>-107396.93</v>
      </c>
      <c r="EQ74" s="229">
        <v>-0.41039999999999999</v>
      </c>
      <c r="ER74" s="231">
        <v>126989</v>
      </c>
      <c r="ES74" s="231">
        <v>66167</v>
      </c>
      <c r="ET74" s="231">
        <v>283090</v>
      </c>
      <c r="EU74" s="231">
        <v>145993539</v>
      </c>
      <c r="EV74" s="231">
        <v>476246</v>
      </c>
      <c r="EW74" s="231">
        <v>480186</v>
      </c>
      <c r="EX74" s="231">
        <v>-3940</v>
      </c>
      <c r="EY74" s="229">
        <v>-8.2000000000000007E-3</v>
      </c>
      <c r="EZ74" s="229">
        <v>0.1961</v>
      </c>
      <c r="FA74" s="227" t="s">
        <v>556</v>
      </c>
      <c r="FB74" s="161">
        <f t="shared" si="1"/>
        <v>1189650</v>
      </c>
    </row>
    <row r="75" spans="1:158" ht="17.25" hidden="1" thickBot="1" x14ac:dyDescent="0.3">
      <c r="A75" s="226">
        <v>46008</v>
      </c>
      <c r="B75" s="227" t="s">
        <v>175</v>
      </c>
      <c r="C75" s="227" t="s">
        <v>475</v>
      </c>
      <c r="D75" s="228">
        <v>300</v>
      </c>
      <c r="E75" s="231">
        <v>2548.9</v>
      </c>
      <c r="F75" s="231">
        <v>2592.8000000000002</v>
      </c>
      <c r="G75" s="228">
        <v>-43.9</v>
      </c>
      <c r="H75" s="229">
        <v>-1.6899999999999998E-2</v>
      </c>
      <c r="I75" s="231">
        <v>2541.1999999999998</v>
      </c>
      <c r="J75" s="231">
        <v>2583.6999999999998</v>
      </c>
      <c r="K75" s="228">
        <v>-42.5</v>
      </c>
      <c r="L75" s="229">
        <v>-1.6400000000000001E-2</v>
      </c>
      <c r="M75" s="231">
        <v>2548.9</v>
      </c>
      <c r="N75" s="231">
        <v>2592.8000000000002</v>
      </c>
      <c r="O75" s="228">
        <v>-43.9</v>
      </c>
      <c r="P75" s="229">
        <v>-1.6899999999999998E-2</v>
      </c>
      <c r="Q75" s="231">
        <v>2563.8000000000002</v>
      </c>
      <c r="R75" s="231">
        <v>2608.1999999999998</v>
      </c>
      <c r="S75" s="228">
        <v>-44.4</v>
      </c>
      <c r="T75" s="229">
        <v>-1.7000000000000001E-2</v>
      </c>
      <c r="U75" s="231">
        <v>2579.5</v>
      </c>
      <c r="V75" s="231">
        <v>2623</v>
      </c>
      <c r="W75" s="228">
        <v>-43.5</v>
      </c>
      <c r="X75" s="229">
        <v>-1.66E-2</v>
      </c>
      <c r="Y75" s="228">
        <v>7.7</v>
      </c>
      <c r="Z75" s="228">
        <v>9.1</v>
      </c>
      <c r="AA75" s="228">
        <v>-1.4</v>
      </c>
      <c r="AB75" s="229">
        <v>3.0000000000000001E-3</v>
      </c>
      <c r="AC75" s="228">
        <v>7.7</v>
      </c>
      <c r="AD75" s="228">
        <v>9.1</v>
      </c>
      <c r="AE75" s="228">
        <v>-1.4</v>
      </c>
      <c r="AF75" s="229">
        <v>3.0000000000000001E-3</v>
      </c>
      <c r="AG75" s="228">
        <v>22.6</v>
      </c>
      <c r="AH75" s="228">
        <v>24.5</v>
      </c>
      <c r="AI75" s="228">
        <v>-1.9</v>
      </c>
      <c r="AJ75" s="229">
        <v>8.8999999999999999E-3</v>
      </c>
      <c r="AK75" s="228">
        <v>38.299999999999997</v>
      </c>
      <c r="AL75" s="228">
        <v>39.299999999999997</v>
      </c>
      <c r="AM75" s="228">
        <v>-1</v>
      </c>
      <c r="AN75" s="229">
        <v>1.5100000000000001E-2</v>
      </c>
      <c r="AO75" s="231">
        <v>2564.84</v>
      </c>
      <c r="AP75" s="231">
        <v>2572.65</v>
      </c>
      <c r="AQ75" s="228">
        <v>0</v>
      </c>
      <c r="AR75" s="230">
        <v>1247100</v>
      </c>
      <c r="AS75" s="230">
        <v>1342200</v>
      </c>
      <c r="AT75" s="230">
        <v>-95100</v>
      </c>
      <c r="AU75" s="229">
        <v>-7.0900000000000005E-2</v>
      </c>
      <c r="AV75" s="230">
        <v>986400</v>
      </c>
      <c r="AW75" s="230">
        <v>1125600</v>
      </c>
      <c r="AX75" s="230">
        <v>-139200</v>
      </c>
      <c r="AY75" s="229">
        <v>-0.1237</v>
      </c>
      <c r="AZ75" s="230">
        <v>249000</v>
      </c>
      <c r="BA75" s="230">
        <v>213900</v>
      </c>
      <c r="BB75" s="230">
        <v>35100</v>
      </c>
      <c r="BC75" s="229">
        <v>0.1641</v>
      </c>
      <c r="BD75" s="230">
        <v>11700</v>
      </c>
      <c r="BE75" s="230">
        <v>2700</v>
      </c>
      <c r="BF75" s="230">
        <v>9000</v>
      </c>
      <c r="BG75" s="229">
        <v>3.3332999999999999</v>
      </c>
      <c r="BH75" s="230">
        <v>2131200</v>
      </c>
      <c r="BI75" s="230">
        <v>1904700</v>
      </c>
      <c r="BJ75" s="230">
        <v>226500</v>
      </c>
      <c r="BK75" s="229">
        <v>0.11890000000000001</v>
      </c>
      <c r="BL75" s="230">
        <v>2082900</v>
      </c>
      <c r="BM75" s="230">
        <v>1273200</v>
      </c>
      <c r="BN75" s="230">
        <v>809700</v>
      </c>
      <c r="BO75" s="229">
        <v>0.63600000000000001</v>
      </c>
      <c r="BP75" s="230">
        <v>5461200</v>
      </c>
      <c r="BQ75" s="230">
        <v>4520100</v>
      </c>
      <c r="BR75" s="230">
        <v>941100</v>
      </c>
      <c r="BS75" s="229">
        <v>0.2082</v>
      </c>
      <c r="BT75" s="230">
        <v>508341</v>
      </c>
      <c r="BU75" s="230">
        <v>1024029</v>
      </c>
      <c r="BV75" s="230">
        <v>-515688</v>
      </c>
      <c r="BW75" s="229">
        <v>-0.50360000000000005</v>
      </c>
      <c r="BX75" s="230">
        <v>4976400</v>
      </c>
      <c r="BY75" s="230">
        <v>4803900</v>
      </c>
      <c r="BZ75" s="230">
        <v>172500</v>
      </c>
      <c r="CA75" s="229">
        <v>3.5900000000000001E-2</v>
      </c>
      <c r="CB75" s="230">
        <v>4401600</v>
      </c>
      <c r="CC75" s="230">
        <v>4408800</v>
      </c>
      <c r="CD75" s="230">
        <v>-7200</v>
      </c>
      <c r="CE75" s="229">
        <v>-1.6000000000000001E-3</v>
      </c>
      <c r="CF75" s="230">
        <v>555300</v>
      </c>
      <c r="CG75" s="230">
        <v>377400</v>
      </c>
      <c r="CH75" s="230">
        <v>177900</v>
      </c>
      <c r="CI75" s="229">
        <v>0.47139999999999999</v>
      </c>
      <c r="CJ75" s="230">
        <v>19500</v>
      </c>
      <c r="CK75" s="230">
        <v>17700</v>
      </c>
      <c r="CL75" s="230">
        <v>1800</v>
      </c>
      <c r="CM75" s="229">
        <v>0.1017</v>
      </c>
      <c r="CN75" s="230">
        <v>2235600</v>
      </c>
      <c r="CO75" s="230">
        <v>2005200</v>
      </c>
      <c r="CP75" s="230">
        <v>230400</v>
      </c>
      <c r="CQ75" s="229">
        <v>0.1149</v>
      </c>
      <c r="CR75" s="230">
        <v>1745400</v>
      </c>
      <c r="CS75" s="230">
        <v>1454700</v>
      </c>
      <c r="CT75" s="230">
        <v>290700</v>
      </c>
      <c r="CU75" s="229">
        <v>0.19980000000000001</v>
      </c>
      <c r="CV75" s="230">
        <v>8957400</v>
      </c>
      <c r="CW75" s="230">
        <v>8263800</v>
      </c>
      <c r="CX75" s="230">
        <v>693600</v>
      </c>
      <c r="CY75" s="229">
        <v>8.3900000000000002E-2</v>
      </c>
      <c r="CZ75" s="228">
        <v>25.85</v>
      </c>
      <c r="DA75" s="228">
        <v>23.55</v>
      </c>
      <c r="DB75" s="228">
        <v>2.2999999999999998</v>
      </c>
      <c r="DC75" s="228">
        <v>2.2999999999999998</v>
      </c>
      <c r="DD75" s="228">
        <v>33.090000000000003</v>
      </c>
      <c r="DE75" s="228">
        <v>33.1</v>
      </c>
      <c r="DF75" s="228">
        <v>-7.24</v>
      </c>
      <c r="DG75" s="228">
        <v>-0.01</v>
      </c>
      <c r="DH75" s="228">
        <v>25.76</v>
      </c>
      <c r="DI75" s="228">
        <v>23.58</v>
      </c>
      <c r="DJ75" s="228">
        <v>2.1800000000000002</v>
      </c>
      <c r="DK75" s="228">
        <v>2.1800000000000002</v>
      </c>
      <c r="DL75" s="228">
        <v>25.94</v>
      </c>
      <c r="DM75" s="228">
        <v>23.49</v>
      </c>
      <c r="DN75" s="228">
        <v>2.4500000000000002</v>
      </c>
      <c r="DO75" s="228">
        <v>2.4500000000000002</v>
      </c>
      <c r="DP75" s="228">
        <v>0.78</v>
      </c>
      <c r="DQ75" s="228">
        <v>0.73</v>
      </c>
      <c r="DR75" s="228">
        <v>0.05</v>
      </c>
      <c r="DS75" s="229">
        <v>6.8500000000000005E-2</v>
      </c>
      <c r="DT75" s="231">
        <v>2700</v>
      </c>
      <c r="DU75" s="231">
        <v>2500</v>
      </c>
      <c r="DV75" s="228">
        <v>0.98</v>
      </c>
      <c r="DW75" s="228">
        <v>0.67</v>
      </c>
      <c r="DX75" s="228">
        <v>0.31</v>
      </c>
      <c r="DY75" s="229">
        <v>0.4627</v>
      </c>
      <c r="DZ75" s="229">
        <v>0.11550000000000001</v>
      </c>
      <c r="EA75" s="230">
        <v>395100</v>
      </c>
      <c r="EB75" s="229">
        <v>5.7999999999999996E-3</v>
      </c>
      <c r="EC75" s="229">
        <v>0.11550000000000001</v>
      </c>
      <c r="ED75" s="228">
        <v>7.81</v>
      </c>
      <c r="EE75" s="229">
        <v>3.0000000000000001E-3</v>
      </c>
      <c r="EF75" s="230">
        <v>293844</v>
      </c>
      <c r="EG75" s="230">
        <v>766121</v>
      </c>
      <c r="EH75" s="229">
        <v>-0.61650000000000005</v>
      </c>
      <c r="EI75" s="229">
        <v>0.57799999999999996</v>
      </c>
      <c r="EJ75" s="231">
        <v>56903.18</v>
      </c>
      <c r="EK75" s="231">
        <v>53089.97</v>
      </c>
      <c r="EL75" s="231">
        <v>32009.38</v>
      </c>
      <c r="EM75" s="231">
        <v>3879</v>
      </c>
      <c r="EN75" s="231">
        <v>142002.53</v>
      </c>
      <c r="EO75" s="231">
        <v>118992.76</v>
      </c>
      <c r="EP75" s="231">
        <v>23009.77</v>
      </c>
      <c r="EQ75" s="229">
        <v>0.19339999999999999</v>
      </c>
      <c r="ER75" s="231">
        <v>60605</v>
      </c>
      <c r="ES75" s="231">
        <v>44652</v>
      </c>
      <c r="ET75" s="231">
        <v>126932</v>
      </c>
      <c r="EU75" s="231">
        <v>30518916</v>
      </c>
      <c r="EV75" s="231">
        <v>232189</v>
      </c>
      <c r="EW75" s="231">
        <v>216604</v>
      </c>
      <c r="EX75" s="231">
        <v>15585</v>
      </c>
      <c r="EY75" s="229">
        <v>7.1999999999999995E-2</v>
      </c>
      <c r="EZ75" s="229">
        <v>0.29349999999999998</v>
      </c>
      <c r="FA75" s="227" t="s">
        <v>567</v>
      </c>
      <c r="FB75" s="161">
        <f t="shared" si="1"/>
        <v>574800</v>
      </c>
    </row>
    <row r="76" spans="1:158" ht="17.25" hidden="1" thickBot="1" x14ac:dyDescent="0.3">
      <c r="A76" s="226">
        <v>46008</v>
      </c>
      <c r="B76" s="227" t="s">
        <v>172</v>
      </c>
      <c r="C76" s="227" t="s">
        <v>224</v>
      </c>
      <c r="D76" s="228">
        <v>550</v>
      </c>
      <c r="E76" s="228">
        <v>987.5</v>
      </c>
      <c r="F76" s="228">
        <v>998.2</v>
      </c>
      <c r="G76" s="228">
        <v>-10.7</v>
      </c>
      <c r="H76" s="229">
        <v>-1.0699999999999999E-2</v>
      </c>
      <c r="I76" s="228">
        <v>984</v>
      </c>
      <c r="J76" s="228">
        <v>994.3</v>
      </c>
      <c r="K76" s="228">
        <v>-10.3</v>
      </c>
      <c r="L76" s="229">
        <v>-1.04E-2</v>
      </c>
      <c r="M76" s="228">
        <v>987.5</v>
      </c>
      <c r="N76" s="228">
        <v>998.2</v>
      </c>
      <c r="O76" s="228">
        <v>-10.7</v>
      </c>
      <c r="P76" s="229">
        <v>-1.0699999999999999E-2</v>
      </c>
      <c r="Q76" s="228">
        <v>993.7</v>
      </c>
      <c r="R76" s="231">
        <v>1004.2</v>
      </c>
      <c r="S76" s="228">
        <v>-10.5</v>
      </c>
      <c r="T76" s="229">
        <v>-1.0500000000000001E-2</v>
      </c>
      <c r="U76" s="228">
        <v>999.6</v>
      </c>
      <c r="V76" s="231">
        <v>1010.3</v>
      </c>
      <c r="W76" s="228">
        <v>-10.7</v>
      </c>
      <c r="X76" s="229">
        <v>-1.06E-2</v>
      </c>
      <c r="Y76" s="228">
        <v>3.5</v>
      </c>
      <c r="Z76" s="228">
        <v>3.9</v>
      </c>
      <c r="AA76" s="228">
        <v>-0.4</v>
      </c>
      <c r="AB76" s="229">
        <v>3.5999999999999999E-3</v>
      </c>
      <c r="AC76" s="228">
        <v>3.5</v>
      </c>
      <c r="AD76" s="228">
        <v>3.9</v>
      </c>
      <c r="AE76" s="228">
        <v>-0.4</v>
      </c>
      <c r="AF76" s="229">
        <v>3.5999999999999999E-3</v>
      </c>
      <c r="AG76" s="228">
        <v>9.6999999999999993</v>
      </c>
      <c r="AH76" s="228">
        <v>9.9</v>
      </c>
      <c r="AI76" s="228">
        <v>-0.2</v>
      </c>
      <c r="AJ76" s="229">
        <v>9.9000000000000008E-3</v>
      </c>
      <c r="AK76" s="228">
        <v>15.6</v>
      </c>
      <c r="AL76" s="228">
        <v>16</v>
      </c>
      <c r="AM76" s="228">
        <v>-0.4</v>
      </c>
      <c r="AN76" s="229">
        <v>1.5900000000000001E-2</v>
      </c>
      <c r="AO76" s="228">
        <v>988.52</v>
      </c>
      <c r="AP76" s="228">
        <v>993.61</v>
      </c>
      <c r="AQ76" s="228">
        <v>0</v>
      </c>
      <c r="AR76" s="230">
        <v>20124500</v>
      </c>
      <c r="AS76" s="230">
        <v>27826700</v>
      </c>
      <c r="AT76" s="230">
        <v>-7702200</v>
      </c>
      <c r="AU76" s="229">
        <v>-0.27679999999999999</v>
      </c>
      <c r="AV76" s="230">
        <v>11938850</v>
      </c>
      <c r="AW76" s="230">
        <v>20747100</v>
      </c>
      <c r="AX76" s="230">
        <v>-8808250</v>
      </c>
      <c r="AY76" s="229">
        <v>-0.42459999999999998</v>
      </c>
      <c r="AZ76" s="230">
        <v>8064100</v>
      </c>
      <c r="BA76" s="230">
        <v>7038350</v>
      </c>
      <c r="BB76" s="230">
        <v>1025750</v>
      </c>
      <c r="BC76" s="229">
        <v>0.1457</v>
      </c>
      <c r="BD76" s="230">
        <v>121550</v>
      </c>
      <c r="BE76" s="230">
        <v>41250</v>
      </c>
      <c r="BF76" s="230">
        <v>80300</v>
      </c>
      <c r="BG76" s="229">
        <v>1.9467000000000001</v>
      </c>
      <c r="BH76" s="230">
        <v>51999750</v>
      </c>
      <c r="BI76" s="230">
        <v>37460500</v>
      </c>
      <c r="BJ76" s="230">
        <v>14539250</v>
      </c>
      <c r="BK76" s="229">
        <v>0.3881</v>
      </c>
      <c r="BL76" s="230">
        <v>32388950</v>
      </c>
      <c r="BM76" s="230">
        <v>29356250</v>
      </c>
      <c r="BN76" s="230">
        <v>3032700</v>
      </c>
      <c r="BO76" s="229">
        <v>0.1033</v>
      </c>
      <c r="BP76" s="230">
        <v>104513200</v>
      </c>
      <c r="BQ76" s="230">
        <v>94643450</v>
      </c>
      <c r="BR76" s="230">
        <v>9869750</v>
      </c>
      <c r="BS76" s="229">
        <v>0.1043</v>
      </c>
      <c r="BT76" s="230">
        <v>20149342</v>
      </c>
      <c r="BU76" s="230">
        <v>20849838</v>
      </c>
      <c r="BV76" s="230">
        <v>-700496</v>
      </c>
      <c r="BW76" s="229">
        <v>-3.3599999999999998E-2</v>
      </c>
      <c r="BX76" s="230">
        <v>221651100</v>
      </c>
      <c r="BY76" s="230">
        <v>215623100</v>
      </c>
      <c r="BZ76" s="230">
        <v>6028000</v>
      </c>
      <c r="CA76" s="229">
        <v>2.8000000000000001E-2</v>
      </c>
      <c r="CB76" s="230">
        <v>185022750</v>
      </c>
      <c r="CC76" s="230">
        <v>186596850</v>
      </c>
      <c r="CD76" s="230">
        <v>-1574100</v>
      </c>
      <c r="CE76" s="229">
        <v>-8.3999999999999995E-3</v>
      </c>
      <c r="CF76" s="230">
        <v>35721400</v>
      </c>
      <c r="CG76" s="230">
        <v>28176500</v>
      </c>
      <c r="CH76" s="230">
        <v>7544900</v>
      </c>
      <c r="CI76" s="229">
        <v>0.26779999999999998</v>
      </c>
      <c r="CJ76" s="230">
        <v>906950</v>
      </c>
      <c r="CK76" s="230">
        <v>849750</v>
      </c>
      <c r="CL76" s="230">
        <v>57200</v>
      </c>
      <c r="CM76" s="229">
        <v>6.7299999999999999E-2</v>
      </c>
      <c r="CN76" s="230">
        <v>43398300</v>
      </c>
      <c r="CO76" s="230">
        <v>36834050</v>
      </c>
      <c r="CP76" s="230">
        <v>6564250</v>
      </c>
      <c r="CQ76" s="229">
        <v>0.1782</v>
      </c>
      <c r="CR76" s="230">
        <v>27794800</v>
      </c>
      <c r="CS76" s="230">
        <v>27400450</v>
      </c>
      <c r="CT76" s="230">
        <v>394350</v>
      </c>
      <c r="CU76" s="229">
        <v>1.44E-2</v>
      </c>
      <c r="CV76" s="230">
        <v>292844200</v>
      </c>
      <c r="CW76" s="230">
        <v>279857600</v>
      </c>
      <c r="CX76" s="230">
        <v>12986600</v>
      </c>
      <c r="CY76" s="229">
        <v>4.6399999999999997E-2</v>
      </c>
      <c r="CZ76" s="228">
        <v>15.62</v>
      </c>
      <c r="DA76" s="228">
        <v>14.83</v>
      </c>
      <c r="DB76" s="228">
        <v>0.79</v>
      </c>
      <c r="DC76" s="228">
        <v>0.79</v>
      </c>
      <c r="DD76" s="228">
        <v>20</v>
      </c>
      <c r="DE76" s="228">
        <v>20</v>
      </c>
      <c r="DF76" s="228">
        <v>-4.38</v>
      </c>
      <c r="DG76" s="228">
        <v>0</v>
      </c>
      <c r="DH76" s="228">
        <v>15.83</v>
      </c>
      <c r="DI76" s="228">
        <v>14.92</v>
      </c>
      <c r="DJ76" s="228">
        <v>0.91</v>
      </c>
      <c r="DK76" s="228">
        <v>0.91</v>
      </c>
      <c r="DL76" s="228">
        <v>15.28</v>
      </c>
      <c r="DM76" s="228">
        <v>14.73</v>
      </c>
      <c r="DN76" s="228">
        <v>0.55000000000000004</v>
      </c>
      <c r="DO76" s="228">
        <v>0.55000000000000004</v>
      </c>
      <c r="DP76" s="228">
        <v>0.64</v>
      </c>
      <c r="DQ76" s="228">
        <v>0.74</v>
      </c>
      <c r="DR76" s="228">
        <v>-0.1</v>
      </c>
      <c r="DS76" s="229">
        <v>-0.1351</v>
      </c>
      <c r="DT76" s="231">
        <v>1000</v>
      </c>
      <c r="DU76" s="231">
        <v>1000</v>
      </c>
      <c r="DV76" s="228">
        <v>0.62</v>
      </c>
      <c r="DW76" s="228">
        <v>0.78</v>
      </c>
      <c r="DX76" s="228">
        <v>-0.16</v>
      </c>
      <c r="DY76" s="229">
        <v>-0.2051</v>
      </c>
      <c r="DZ76" s="229">
        <v>0.1653</v>
      </c>
      <c r="EA76" s="230">
        <v>29026250</v>
      </c>
      <c r="EB76" s="229">
        <v>6.3E-3</v>
      </c>
      <c r="EC76" s="229">
        <v>0.1653</v>
      </c>
      <c r="ED76" s="228">
        <v>5.09</v>
      </c>
      <c r="EE76" s="229">
        <v>5.1000000000000004E-3</v>
      </c>
      <c r="EF76" s="230">
        <v>14624529</v>
      </c>
      <c r="EG76" s="230">
        <v>11299617</v>
      </c>
      <c r="EH76" s="229">
        <v>0.29420000000000002</v>
      </c>
      <c r="EI76" s="229">
        <v>0.7258</v>
      </c>
      <c r="EJ76" s="231">
        <v>526038.68000000005</v>
      </c>
      <c r="EK76" s="231">
        <v>320762.40999999997</v>
      </c>
      <c r="EL76" s="231">
        <v>199358.94</v>
      </c>
      <c r="EM76" s="231">
        <v>30454</v>
      </c>
      <c r="EN76" s="231">
        <v>1046160.03</v>
      </c>
      <c r="EO76" s="231">
        <v>952382.09</v>
      </c>
      <c r="EP76" s="231">
        <v>93777.94</v>
      </c>
      <c r="EQ76" s="229">
        <v>9.8500000000000004E-2</v>
      </c>
      <c r="ER76" s="231">
        <v>442745</v>
      </c>
      <c r="ES76" s="231">
        <v>270294</v>
      </c>
      <c r="ET76" s="231">
        <v>2191129</v>
      </c>
      <c r="EU76" s="231">
        <v>1329733550</v>
      </c>
      <c r="EV76" s="231">
        <v>2904169</v>
      </c>
      <c r="EW76" s="231">
        <v>2799023</v>
      </c>
      <c r="EX76" s="231">
        <v>105146</v>
      </c>
      <c r="EY76" s="229">
        <v>3.7600000000000001E-2</v>
      </c>
      <c r="EZ76" s="229">
        <v>0.22020000000000001</v>
      </c>
      <c r="FA76" s="227" t="s">
        <v>567</v>
      </c>
      <c r="FB76" s="161">
        <f t="shared" si="1"/>
        <v>36628350</v>
      </c>
    </row>
    <row r="77" spans="1:158" ht="17.25" hidden="1" thickBot="1" x14ac:dyDescent="0.3">
      <c r="A77" s="226">
        <v>46008</v>
      </c>
      <c r="B77" s="227" t="s">
        <v>175</v>
      </c>
      <c r="C77" s="227" t="s">
        <v>225</v>
      </c>
      <c r="D77" s="228">
        <v>1100</v>
      </c>
      <c r="E77" s="228">
        <v>754.85</v>
      </c>
      <c r="F77" s="228">
        <v>767.45</v>
      </c>
      <c r="G77" s="228">
        <v>-12.6</v>
      </c>
      <c r="H77" s="229">
        <v>-1.6400000000000001E-2</v>
      </c>
      <c r="I77" s="228">
        <v>753.5</v>
      </c>
      <c r="J77" s="228">
        <v>764.35</v>
      </c>
      <c r="K77" s="228">
        <v>-10.85</v>
      </c>
      <c r="L77" s="229">
        <v>-1.4200000000000001E-2</v>
      </c>
      <c r="M77" s="228">
        <v>754.85</v>
      </c>
      <c r="N77" s="228">
        <v>767.45</v>
      </c>
      <c r="O77" s="228">
        <v>-12.6</v>
      </c>
      <c r="P77" s="229">
        <v>-1.6400000000000001E-2</v>
      </c>
      <c r="Q77" s="228">
        <v>759.8</v>
      </c>
      <c r="R77" s="228">
        <v>772.25</v>
      </c>
      <c r="S77" s="228">
        <v>-12.45</v>
      </c>
      <c r="T77" s="229">
        <v>-1.61E-2</v>
      </c>
      <c r="U77" s="228">
        <v>763.95</v>
      </c>
      <c r="V77" s="228">
        <v>776.95</v>
      </c>
      <c r="W77" s="228">
        <v>-13</v>
      </c>
      <c r="X77" s="229">
        <v>-1.67E-2</v>
      </c>
      <c r="Y77" s="228">
        <v>1.35</v>
      </c>
      <c r="Z77" s="228">
        <v>3.1</v>
      </c>
      <c r="AA77" s="228">
        <v>-1.75</v>
      </c>
      <c r="AB77" s="229">
        <v>1.8E-3</v>
      </c>
      <c r="AC77" s="228">
        <v>1.35</v>
      </c>
      <c r="AD77" s="228">
        <v>3.1</v>
      </c>
      <c r="AE77" s="228">
        <v>-1.75</v>
      </c>
      <c r="AF77" s="229">
        <v>1.8E-3</v>
      </c>
      <c r="AG77" s="228">
        <v>6.3</v>
      </c>
      <c r="AH77" s="228">
        <v>7.9</v>
      </c>
      <c r="AI77" s="228">
        <v>-1.6</v>
      </c>
      <c r="AJ77" s="229">
        <v>8.3999999999999995E-3</v>
      </c>
      <c r="AK77" s="228">
        <v>10.45</v>
      </c>
      <c r="AL77" s="228">
        <v>12.6</v>
      </c>
      <c r="AM77" s="228">
        <v>-2.15</v>
      </c>
      <c r="AN77" s="229">
        <v>1.3899999999999999E-2</v>
      </c>
      <c r="AO77" s="228">
        <v>756.67</v>
      </c>
      <c r="AP77" s="228">
        <v>763.26</v>
      </c>
      <c r="AQ77" s="228">
        <v>0</v>
      </c>
      <c r="AR77" s="230">
        <v>4440700</v>
      </c>
      <c r="AS77" s="230">
        <v>4107400</v>
      </c>
      <c r="AT77" s="230">
        <v>333300</v>
      </c>
      <c r="AU77" s="229">
        <v>8.1100000000000005E-2</v>
      </c>
      <c r="AV77" s="230">
        <v>3919300</v>
      </c>
      <c r="AW77" s="230">
        <v>3330800</v>
      </c>
      <c r="AX77" s="230">
        <v>588500</v>
      </c>
      <c r="AY77" s="229">
        <v>0.1767</v>
      </c>
      <c r="AZ77" s="230">
        <v>492800</v>
      </c>
      <c r="BA77" s="230">
        <v>757900</v>
      </c>
      <c r="BB77" s="230">
        <v>-265100</v>
      </c>
      <c r="BC77" s="229">
        <v>-0.3498</v>
      </c>
      <c r="BD77" s="230">
        <v>28600</v>
      </c>
      <c r="BE77" s="230">
        <v>18700</v>
      </c>
      <c r="BF77" s="230">
        <v>9900</v>
      </c>
      <c r="BG77" s="229">
        <v>0.52939999999999998</v>
      </c>
      <c r="BH77" s="230">
        <v>30162000</v>
      </c>
      <c r="BI77" s="230">
        <v>28809000</v>
      </c>
      <c r="BJ77" s="230">
        <v>1353000</v>
      </c>
      <c r="BK77" s="229">
        <v>4.7E-2</v>
      </c>
      <c r="BL77" s="230">
        <v>9735000</v>
      </c>
      <c r="BM77" s="230">
        <v>7966200</v>
      </c>
      <c r="BN77" s="230">
        <v>1768800</v>
      </c>
      <c r="BO77" s="229">
        <v>0.222</v>
      </c>
      <c r="BP77" s="230">
        <v>44337700</v>
      </c>
      <c r="BQ77" s="230">
        <v>40882600</v>
      </c>
      <c r="BR77" s="230">
        <v>3455100</v>
      </c>
      <c r="BS77" s="229">
        <v>8.4500000000000006E-2</v>
      </c>
      <c r="BT77" s="230">
        <v>1863967</v>
      </c>
      <c r="BU77" s="230">
        <v>2170322</v>
      </c>
      <c r="BV77" s="230">
        <v>-306355</v>
      </c>
      <c r="BW77" s="229">
        <v>-0.14119999999999999</v>
      </c>
      <c r="BX77" s="230">
        <v>31430300</v>
      </c>
      <c r="BY77" s="230">
        <v>30683400</v>
      </c>
      <c r="BZ77" s="230">
        <v>746900</v>
      </c>
      <c r="CA77" s="229">
        <v>2.4299999999999999E-2</v>
      </c>
      <c r="CB77" s="230">
        <v>28877200</v>
      </c>
      <c r="CC77" s="230">
        <v>28397600</v>
      </c>
      <c r="CD77" s="230">
        <v>479600</v>
      </c>
      <c r="CE77" s="229">
        <v>1.6899999999999998E-2</v>
      </c>
      <c r="CF77" s="230">
        <v>2410100</v>
      </c>
      <c r="CG77" s="230">
        <v>2157100</v>
      </c>
      <c r="CH77" s="230">
        <v>253000</v>
      </c>
      <c r="CI77" s="229">
        <v>0.1173</v>
      </c>
      <c r="CJ77" s="230">
        <v>143000</v>
      </c>
      <c r="CK77" s="230">
        <v>128700</v>
      </c>
      <c r="CL77" s="230">
        <v>14300</v>
      </c>
      <c r="CM77" s="229">
        <v>0.1111</v>
      </c>
      <c r="CN77" s="230">
        <v>19741700</v>
      </c>
      <c r="CO77" s="230">
        <v>21584200</v>
      </c>
      <c r="CP77" s="230">
        <v>-1842500</v>
      </c>
      <c r="CQ77" s="229">
        <v>-8.5400000000000004E-2</v>
      </c>
      <c r="CR77" s="230">
        <v>8538200</v>
      </c>
      <c r="CS77" s="230">
        <v>8937500</v>
      </c>
      <c r="CT77" s="230">
        <v>-399300</v>
      </c>
      <c r="CU77" s="229">
        <v>-4.4699999999999997E-2</v>
      </c>
      <c r="CV77" s="230">
        <v>59710200</v>
      </c>
      <c r="CW77" s="230">
        <v>61205100</v>
      </c>
      <c r="CX77" s="230">
        <v>-1494900</v>
      </c>
      <c r="CY77" s="229">
        <v>-2.4400000000000002E-2</v>
      </c>
      <c r="CZ77" s="228">
        <v>19.82</v>
      </c>
      <c r="DA77" s="228">
        <v>21.27</v>
      </c>
      <c r="DB77" s="228">
        <v>-1.45</v>
      </c>
      <c r="DC77" s="228">
        <v>-1.45</v>
      </c>
      <c r="DD77" s="228">
        <v>25.32</v>
      </c>
      <c r="DE77" s="228">
        <v>25.31</v>
      </c>
      <c r="DF77" s="228">
        <v>-5.5</v>
      </c>
      <c r="DG77" s="228">
        <v>0.01</v>
      </c>
      <c r="DH77" s="228">
        <v>20.440000000000001</v>
      </c>
      <c r="DI77" s="228">
        <v>21.71</v>
      </c>
      <c r="DJ77" s="228">
        <v>-1.27</v>
      </c>
      <c r="DK77" s="228">
        <v>-1.27</v>
      </c>
      <c r="DL77" s="228">
        <v>17.89</v>
      </c>
      <c r="DM77" s="228">
        <v>19.68</v>
      </c>
      <c r="DN77" s="228">
        <v>-1.79</v>
      </c>
      <c r="DO77" s="228">
        <v>-1.79</v>
      </c>
      <c r="DP77" s="228">
        <v>0.43</v>
      </c>
      <c r="DQ77" s="228">
        <v>0.41</v>
      </c>
      <c r="DR77" s="228">
        <v>0.02</v>
      </c>
      <c r="DS77" s="229">
        <v>4.8800000000000003E-2</v>
      </c>
      <c r="DT77" s="228">
        <v>800</v>
      </c>
      <c r="DU77" s="228">
        <v>700</v>
      </c>
      <c r="DV77" s="228">
        <v>0.32</v>
      </c>
      <c r="DW77" s="228">
        <v>0.28000000000000003</v>
      </c>
      <c r="DX77" s="228">
        <v>0.04</v>
      </c>
      <c r="DY77" s="229">
        <v>0.1429</v>
      </c>
      <c r="DZ77" s="229">
        <v>8.1199999999999994E-2</v>
      </c>
      <c r="EA77" s="230">
        <v>2285800</v>
      </c>
      <c r="EB77" s="229">
        <v>6.6E-3</v>
      </c>
      <c r="EC77" s="229">
        <v>8.1199999999999994E-2</v>
      </c>
      <c r="ED77" s="228">
        <v>6.59</v>
      </c>
      <c r="EE77" s="229">
        <v>8.6999999999999994E-3</v>
      </c>
      <c r="EF77" s="230">
        <v>972360</v>
      </c>
      <c r="EG77" s="230">
        <v>1216332</v>
      </c>
      <c r="EH77" s="229">
        <v>-0.2006</v>
      </c>
      <c r="EI77" s="229">
        <v>0.52170000000000005</v>
      </c>
      <c r="EJ77" s="231">
        <v>238128.69</v>
      </c>
      <c r="EK77" s="231">
        <v>73463.69</v>
      </c>
      <c r="EL77" s="231">
        <v>33636.43</v>
      </c>
      <c r="EM77" s="231">
        <v>3257</v>
      </c>
      <c r="EN77" s="231">
        <v>345228.81</v>
      </c>
      <c r="EO77" s="231">
        <v>323466.90999999997</v>
      </c>
      <c r="EP77" s="231">
        <v>21761.9</v>
      </c>
      <c r="EQ77" s="229">
        <v>6.7299999999999999E-2</v>
      </c>
      <c r="ER77" s="231">
        <v>157984</v>
      </c>
      <c r="ES77" s="231">
        <v>63422</v>
      </c>
      <c r="ET77" s="231">
        <v>237384</v>
      </c>
      <c r="EU77" s="231">
        <v>119296253</v>
      </c>
      <c r="EV77" s="231">
        <v>458790</v>
      </c>
      <c r="EW77" s="231">
        <v>475342</v>
      </c>
      <c r="EX77" s="231">
        <v>-16552</v>
      </c>
      <c r="EY77" s="229">
        <v>-3.4799999999999998E-2</v>
      </c>
      <c r="EZ77" s="229">
        <v>0.50049999999999994</v>
      </c>
      <c r="FA77" s="227" t="s">
        <v>567</v>
      </c>
      <c r="FB77" s="161">
        <f t="shared" si="1"/>
        <v>2553100</v>
      </c>
    </row>
    <row r="78" spans="1:158" ht="17.25" hidden="1" thickBot="1" x14ac:dyDescent="0.3">
      <c r="A78" s="226">
        <v>46008</v>
      </c>
      <c r="B78" s="227" t="s">
        <v>162</v>
      </c>
      <c r="C78" s="227" t="s">
        <v>226</v>
      </c>
      <c r="D78" s="228">
        <v>150</v>
      </c>
      <c r="E78" s="231">
        <v>5827.5</v>
      </c>
      <c r="F78" s="231">
        <v>5960.5</v>
      </c>
      <c r="G78" s="228">
        <v>-133</v>
      </c>
      <c r="H78" s="229">
        <v>-2.23E-2</v>
      </c>
      <c r="I78" s="231">
        <v>5817</v>
      </c>
      <c r="J78" s="231">
        <v>5946.5</v>
      </c>
      <c r="K78" s="228">
        <v>-129.5</v>
      </c>
      <c r="L78" s="229">
        <v>-2.18E-2</v>
      </c>
      <c r="M78" s="231">
        <v>5827.5</v>
      </c>
      <c r="N78" s="231">
        <v>5960.5</v>
      </c>
      <c r="O78" s="228">
        <v>-133</v>
      </c>
      <c r="P78" s="229">
        <v>-2.23E-2</v>
      </c>
      <c r="Q78" s="231">
        <v>5861.5</v>
      </c>
      <c r="R78" s="231">
        <v>5995</v>
      </c>
      <c r="S78" s="228">
        <v>-133.5</v>
      </c>
      <c r="T78" s="229">
        <v>-2.23E-2</v>
      </c>
      <c r="U78" s="231">
        <v>5854</v>
      </c>
      <c r="V78" s="231">
        <v>5980.5</v>
      </c>
      <c r="W78" s="228">
        <v>-126.5</v>
      </c>
      <c r="X78" s="229">
        <v>-2.12E-2</v>
      </c>
      <c r="Y78" s="228">
        <v>10.5</v>
      </c>
      <c r="Z78" s="228">
        <v>14</v>
      </c>
      <c r="AA78" s="228">
        <v>-3.5</v>
      </c>
      <c r="AB78" s="229">
        <v>1.8E-3</v>
      </c>
      <c r="AC78" s="228">
        <v>10.5</v>
      </c>
      <c r="AD78" s="228">
        <v>14</v>
      </c>
      <c r="AE78" s="228">
        <v>-3.5</v>
      </c>
      <c r="AF78" s="229">
        <v>1.8E-3</v>
      </c>
      <c r="AG78" s="228">
        <v>44.5</v>
      </c>
      <c r="AH78" s="228">
        <v>48.5</v>
      </c>
      <c r="AI78" s="228">
        <v>-4</v>
      </c>
      <c r="AJ78" s="229">
        <v>7.6E-3</v>
      </c>
      <c r="AK78" s="228">
        <v>37</v>
      </c>
      <c r="AL78" s="228">
        <v>34</v>
      </c>
      <c r="AM78" s="228">
        <v>3</v>
      </c>
      <c r="AN78" s="229">
        <v>6.4000000000000003E-3</v>
      </c>
      <c r="AO78" s="231">
        <v>5848.14</v>
      </c>
      <c r="AP78" s="231">
        <v>5875.98</v>
      </c>
      <c r="AQ78" s="228">
        <v>0</v>
      </c>
      <c r="AR78" s="230">
        <v>987450</v>
      </c>
      <c r="AS78" s="230">
        <v>531600</v>
      </c>
      <c r="AT78" s="230">
        <v>455850</v>
      </c>
      <c r="AU78" s="229">
        <v>0.85750000000000004</v>
      </c>
      <c r="AV78" s="230">
        <v>872250</v>
      </c>
      <c r="AW78" s="230">
        <v>505050</v>
      </c>
      <c r="AX78" s="230">
        <v>367200</v>
      </c>
      <c r="AY78" s="229">
        <v>0.72709999999999997</v>
      </c>
      <c r="AZ78" s="230">
        <v>107100</v>
      </c>
      <c r="BA78" s="230">
        <v>24000</v>
      </c>
      <c r="BB78" s="230">
        <v>83100</v>
      </c>
      <c r="BC78" s="229">
        <v>3.4624999999999999</v>
      </c>
      <c r="BD78" s="230">
        <v>8100</v>
      </c>
      <c r="BE78" s="230">
        <v>2550</v>
      </c>
      <c r="BF78" s="230">
        <v>5550</v>
      </c>
      <c r="BG78" s="229">
        <v>2.1764999999999999</v>
      </c>
      <c r="BH78" s="230">
        <v>6744450</v>
      </c>
      <c r="BI78" s="230">
        <v>1770600</v>
      </c>
      <c r="BJ78" s="230">
        <v>4973850</v>
      </c>
      <c r="BK78" s="229">
        <v>2.8090999999999999</v>
      </c>
      <c r="BL78" s="230">
        <v>5308650</v>
      </c>
      <c r="BM78" s="230">
        <v>1074300</v>
      </c>
      <c r="BN78" s="230">
        <v>4234350</v>
      </c>
      <c r="BO78" s="229">
        <v>3.9415</v>
      </c>
      <c r="BP78" s="230">
        <v>13040550</v>
      </c>
      <c r="BQ78" s="230">
        <v>3376500</v>
      </c>
      <c r="BR78" s="230">
        <v>9664050</v>
      </c>
      <c r="BS78" s="229">
        <v>2.8622000000000001</v>
      </c>
      <c r="BT78" s="230">
        <v>627506</v>
      </c>
      <c r="BU78" s="230">
        <v>399914</v>
      </c>
      <c r="BV78" s="230">
        <v>227592</v>
      </c>
      <c r="BW78" s="229">
        <v>0.56910000000000005</v>
      </c>
      <c r="BX78" s="230">
        <v>6099300</v>
      </c>
      <c r="BY78" s="230">
        <v>6006750</v>
      </c>
      <c r="BZ78" s="230">
        <v>92550</v>
      </c>
      <c r="CA78" s="229">
        <v>1.54E-2</v>
      </c>
      <c r="CB78" s="230">
        <v>5850900</v>
      </c>
      <c r="CC78" s="230">
        <v>5803500</v>
      </c>
      <c r="CD78" s="230">
        <v>47400</v>
      </c>
      <c r="CE78" s="229">
        <v>8.2000000000000007E-3</v>
      </c>
      <c r="CF78" s="230">
        <v>209400</v>
      </c>
      <c r="CG78" s="230">
        <v>169500</v>
      </c>
      <c r="CH78" s="230">
        <v>39900</v>
      </c>
      <c r="CI78" s="229">
        <v>0.2354</v>
      </c>
      <c r="CJ78" s="230">
        <v>39000</v>
      </c>
      <c r="CK78" s="230">
        <v>33750</v>
      </c>
      <c r="CL78" s="230">
        <v>5250</v>
      </c>
      <c r="CM78" s="229">
        <v>0.15559999999999999</v>
      </c>
      <c r="CN78" s="230">
        <v>3677850</v>
      </c>
      <c r="CO78" s="230">
        <v>2926800</v>
      </c>
      <c r="CP78" s="230">
        <v>751050</v>
      </c>
      <c r="CQ78" s="229">
        <v>0.25659999999999999</v>
      </c>
      <c r="CR78" s="230">
        <v>2010150</v>
      </c>
      <c r="CS78" s="230">
        <v>2034450</v>
      </c>
      <c r="CT78" s="230">
        <v>-24300</v>
      </c>
      <c r="CU78" s="229">
        <v>-1.1900000000000001E-2</v>
      </c>
      <c r="CV78" s="230">
        <v>11787300</v>
      </c>
      <c r="CW78" s="230">
        <v>10968000</v>
      </c>
      <c r="CX78" s="230">
        <v>819300</v>
      </c>
      <c r="CY78" s="229">
        <v>7.4700000000000003E-2</v>
      </c>
      <c r="CZ78" s="228">
        <v>22.65</v>
      </c>
      <c r="DA78" s="228">
        <v>21.99</v>
      </c>
      <c r="DB78" s="228">
        <v>0.66</v>
      </c>
      <c r="DC78" s="228">
        <v>0.66</v>
      </c>
      <c r="DD78" s="228">
        <v>30.4</v>
      </c>
      <c r="DE78" s="228">
        <v>30.33</v>
      </c>
      <c r="DF78" s="228">
        <v>-7.75</v>
      </c>
      <c r="DG78" s="228">
        <v>7.0000000000000007E-2</v>
      </c>
      <c r="DH78" s="228">
        <v>23.64</v>
      </c>
      <c r="DI78" s="228">
        <v>22.19</v>
      </c>
      <c r="DJ78" s="228">
        <v>1.45</v>
      </c>
      <c r="DK78" s="228">
        <v>1.45</v>
      </c>
      <c r="DL78" s="228">
        <v>21.38</v>
      </c>
      <c r="DM78" s="228">
        <v>21.66</v>
      </c>
      <c r="DN78" s="228">
        <v>-0.28000000000000003</v>
      </c>
      <c r="DO78" s="228">
        <v>-0.28000000000000003</v>
      </c>
      <c r="DP78" s="228">
        <v>0.55000000000000004</v>
      </c>
      <c r="DQ78" s="228">
        <v>0.7</v>
      </c>
      <c r="DR78" s="228">
        <v>-0.15</v>
      </c>
      <c r="DS78" s="229">
        <v>-0.21429999999999999</v>
      </c>
      <c r="DT78" s="231">
        <v>6100</v>
      </c>
      <c r="DU78" s="231">
        <v>5400</v>
      </c>
      <c r="DV78" s="228">
        <v>0.79</v>
      </c>
      <c r="DW78" s="228">
        <v>0.61</v>
      </c>
      <c r="DX78" s="228">
        <v>0.18</v>
      </c>
      <c r="DY78" s="229">
        <v>0.29509999999999997</v>
      </c>
      <c r="DZ78" s="229">
        <v>4.07E-2</v>
      </c>
      <c r="EA78" s="230">
        <v>203250</v>
      </c>
      <c r="EB78" s="229">
        <v>5.7999999999999996E-3</v>
      </c>
      <c r="EC78" s="229">
        <v>4.07E-2</v>
      </c>
      <c r="ED78" s="228">
        <v>27.84</v>
      </c>
      <c r="EE78" s="229">
        <v>4.7999999999999996E-3</v>
      </c>
      <c r="EF78" s="230">
        <v>415417</v>
      </c>
      <c r="EG78" s="230">
        <v>261879</v>
      </c>
      <c r="EH78" s="229">
        <v>0.58630000000000004</v>
      </c>
      <c r="EI78" s="229">
        <v>0.66200000000000003</v>
      </c>
      <c r="EJ78" s="231">
        <v>414402.31</v>
      </c>
      <c r="EK78" s="231">
        <v>309283.61</v>
      </c>
      <c r="EL78" s="231">
        <v>57780.14</v>
      </c>
      <c r="EM78" s="231">
        <v>5494</v>
      </c>
      <c r="EN78" s="231">
        <v>781466.06</v>
      </c>
      <c r="EO78" s="231">
        <v>204557.15</v>
      </c>
      <c r="EP78" s="231">
        <v>576908.91</v>
      </c>
      <c r="EQ78" s="229">
        <v>2.8203</v>
      </c>
      <c r="ER78" s="231">
        <v>229911</v>
      </c>
      <c r="ES78" s="231">
        <v>116452</v>
      </c>
      <c r="ET78" s="231">
        <v>355518</v>
      </c>
      <c r="EU78" s="231">
        <v>19579129</v>
      </c>
      <c r="EV78" s="231">
        <v>701882</v>
      </c>
      <c r="EW78" s="231">
        <v>661452</v>
      </c>
      <c r="EX78" s="231">
        <v>40430</v>
      </c>
      <c r="EY78" s="229">
        <v>6.1100000000000002E-2</v>
      </c>
      <c r="EZ78" s="229">
        <v>0.60199999999999998</v>
      </c>
      <c r="FA78" s="227" t="s">
        <v>567</v>
      </c>
      <c r="FB78" s="161">
        <f t="shared" si="1"/>
        <v>248400</v>
      </c>
    </row>
    <row r="79" spans="1:158" ht="17.25" hidden="1" thickBot="1" x14ac:dyDescent="0.3">
      <c r="A79" s="226">
        <v>46008</v>
      </c>
      <c r="B79" s="227" t="s">
        <v>221</v>
      </c>
      <c r="C79" s="227" t="s">
        <v>576</v>
      </c>
      <c r="D79" s="228">
        <v>6450</v>
      </c>
      <c r="E79" s="228">
        <v>64.63</v>
      </c>
      <c r="F79" s="228">
        <v>65.48</v>
      </c>
      <c r="G79" s="228">
        <v>-0.85</v>
      </c>
      <c r="H79" s="229">
        <v>-1.2999999999999999E-2</v>
      </c>
      <c r="I79" s="228">
        <v>64.53</v>
      </c>
      <c r="J79" s="228">
        <v>65.430000000000007</v>
      </c>
      <c r="K79" s="228">
        <v>-0.9</v>
      </c>
      <c r="L79" s="229">
        <v>-1.38E-2</v>
      </c>
      <c r="M79" s="228">
        <v>64.63</v>
      </c>
      <c r="N79" s="228">
        <v>65.48</v>
      </c>
      <c r="O79" s="228">
        <v>-0.85</v>
      </c>
      <c r="P79" s="229">
        <v>-1.2999999999999999E-2</v>
      </c>
      <c r="Q79" s="228">
        <v>0</v>
      </c>
      <c r="R79" s="228">
        <v>0</v>
      </c>
      <c r="S79" s="228">
        <v>0</v>
      </c>
      <c r="T79" s="229">
        <v>0</v>
      </c>
      <c r="U79" s="228">
        <v>0</v>
      </c>
      <c r="V79" s="228">
        <v>0</v>
      </c>
      <c r="W79" s="228">
        <v>0</v>
      </c>
      <c r="X79" s="229">
        <v>0</v>
      </c>
      <c r="Y79" s="228">
        <v>0.1</v>
      </c>
      <c r="Z79" s="228">
        <v>0.05</v>
      </c>
      <c r="AA79" s="228">
        <v>0.05</v>
      </c>
      <c r="AB79" s="229">
        <v>1.5E-3</v>
      </c>
      <c r="AC79" s="228">
        <v>0.1</v>
      </c>
      <c r="AD79" s="228">
        <v>0.05</v>
      </c>
      <c r="AE79" s="228">
        <v>0.05</v>
      </c>
      <c r="AF79" s="229">
        <v>1.5E-3</v>
      </c>
      <c r="AG79" s="228">
        <v>0</v>
      </c>
      <c r="AH79" s="228">
        <v>0</v>
      </c>
      <c r="AI79" s="228">
        <v>0</v>
      </c>
      <c r="AJ79" s="229">
        <v>0</v>
      </c>
      <c r="AK79" s="228">
        <v>0</v>
      </c>
      <c r="AL79" s="228">
        <v>0</v>
      </c>
      <c r="AM79" s="228">
        <v>0</v>
      </c>
      <c r="AN79" s="229">
        <v>0</v>
      </c>
      <c r="AO79" s="228">
        <v>64.819999999999993</v>
      </c>
      <c r="AP79" s="228">
        <v>0</v>
      </c>
      <c r="AQ79" s="228">
        <v>0</v>
      </c>
      <c r="AR79" s="230">
        <v>7759350</v>
      </c>
      <c r="AS79" s="230">
        <v>9668550</v>
      </c>
      <c r="AT79" s="230">
        <v>-1909200</v>
      </c>
      <c r="AU79" s="229">
        <v>-0.19750000000000001</v>
      </c>
      <c r="AV79" s="230">
        <v>7759350</v>
      </c>
      <c r="AW79" s="230">
        <v>9668550</v>
      </c>
      <c r="AX79" s="230">
        <v>-1909200</v>
      </c>
      <c r="AY79" s="229">
        <v>-0.19750000000000001</v>
      </c>
      <c r="AZ79" s="228">
        <v>0</v>
      </c>
      <c r="BA79" s="228">
        <v>0</v>
      </c>
      <c r="BB79" s="228">
        <v>0</v>
      </c>
      <c r="BC79" s="229">
        <v>0</v>
      </c>
      <c r="BD79" s="228">
        <v>0</v>
      </c>
      <c r="BE79" s="228">
        <v>0</v>
      </c>
      <c r="BF79" s="228">
        <v>0</v>
      </c>
      <c r="BG79" s="229">
        <v>0</v>
      </c>
      <c r="BH79" s="230">
        <v>30031200</v>
      </c>
      <c r="BI79" s="230">
        <v>43311750</v>
      </c>
      <c r="BJ79" s="230">
        <v>-13280550</v>
      </c>
      <c r="BK79" s="229">
        <v>-0.30659999999999998</v>
      </c>
      <c r="BL79" s="230">
        <v>19137150</v>
      </c>
      <c r="BM79" s="230">
        <v>10229700</v>
      </c>
      <c r="BN79" s="230">
        <v>8907450</v>
      </c>
      <c r="BO79" s="229">
        <v>0.87070000000000003</v>
      </c>
      <c r="BP79" s="230">
        <v>56927700</v>
      </c>
      <c r="BQ79" s="230">
        <v>63210000</v>
      </c>
      <c r="BR79" s="230">
        <v>-6282300</v>
      </c>
      <c r="BS79" s="229">
        <v>-9.9400000000000002E-2</v>
      </c>
      <c r="BT79" s="230">
        <v>9463945</v>
      </c>
      <c r="BU79" s="230">
        <v>10611239</v>
      </c>
      <c r="BV79" s="230">
        <v>-1147294</v>
      </c>
      <c r="BW79" s="229">
        <v>-0.1081</v>
      </c>
      <c r="BX79" s="230">
        <v>104715750</v>
      </c>
      <c r="BY79" s="230">
        <v>104922150</v>
      </c>
      <c r="BZ79" s="230">
        <v>-206400</v>
      </c>
      <c r="CA79" s="229">
        <v>-2E-3</v>
      </c>
      <c r="CB79" s="230">
        <v>104715750</v>
      </c>
      <c r="CC79" s="230">
        <v>104922150</v>
      </c>
      <c r="CD79" s="230">
        <v>-206400</v>
      </c>
      <c r="CE79" s="229">
        <v>-2E-3</v>
      </c>
      <c r="CF79" s="228">
        <v>0</v>
      </c>
      <c r="CG79" s="228">
        <v>0</v>
      </c>
      <c r="CH79" s="228">
        <v>0</v>
      </c>
      <c r="CI79" s="229">
        <v>0</v>
      </c>
      <c r="CJ79" s="228">
        <v>0</v>
      </c>
      <c r="CK79" s="228">
        <v>0</v>
      </c>
      <c r="CL79" s="228">
        <v>0</v>
      </c>
      <c r="CM79" s="229">
        <v>0</v>
      </c>
      <c r="CN79" s="230">
        <v>76548600</v>
      </c>
      <c r="CO79" s="230">
        <v>77412900</v>
      </c>
      <c r="CP79" s="230">
        <v>-864300</v>
      </c>
      <c r="CQ79" s="229">
        <v>-1.12E-2</v>
      </c>
      <c r="CR79" s="230">
        <v>31759800</v>
      </c>
      <c r="CS79" s="230">
        <v>31695300</v>
      </c>
      <c r="CT79" s="230">
        <v>64500</v>
      </c>
      <c r="CU79" s="229">
        <v>2E-3</v>
      </c>
      <c r="CV79" s="230">
        <v>213024150</v>
      </c>
      <c r="CW79" s="230">
        <v>214030350</v>
      </c>
      <c r="CX79" s="230">
        <v>-1006200</v>
      </c>
      <c r="CY79" s="229">
        <v>-4.7000000000000002E-3</v>
      </c>
      <c r="CZ79" s="228">
        <v>40.04</v>
      </c>
      <c r="DA79" s="228">
        <v>40.26</v>
      </c>
      <c r="DB79" s="228">
        <v>-0.22</v>
      </c>
      <c r="DC79" s="228">
        <v>-0.22</v>
      </c>
      <c r="DD79" s="228">
        <v>52.26</v>
      </c>
      <c r="DE79" s="228">
        <v>52.36</v>
      </c>
      <c r="DF79" s="228">
        <v>-12.22</v>
      </c>
      <c r="DG79" s="228">
        <v>-0.1</v>
      </c>
      <c r="DH79" s="228">
        <v>40.74</v>
      </c>
      <c r="DI79" s="228">
        <v>40.46</v>
      </c>
      <c r="DJ79" s="228">
        <v>0.28000000000000003</v>
      </c>
      <c r="DK79" s="228">
        <v>0.28000000000000003</v>
      </c>
      <c r="DL79" s="228">
        <v>38.94</v>
      </c>
      <c r="DM79" s="228">
        <v>39.42</v>
      </c>
      <c r="DN79" s="228">
        <v>-0.48</v>
      </c>
      <c r="DO79" s="228">
        <v>-0.48</v>
      </c>
      <c r="DP79" s="228">
        <v>0.41</v>
      </c>
      <c r="DQ79" s="228">
        <v>0.41</v>
      </c>
      <c r="DR79" s="228">
        <v>0</v>
      </c>
      <c r="DS79" s="229">
        <v>0</v>
      </c>
      <c r="DT79" s="228">
        <v>70</v>
      </c>
      <c r="DU79" s="228">
        <v>75</v>
      </c>
      <c r="DV79" s="228">
        <v>0.64</v>
      </c>
      <c r="DW79" s="228">
        <v>0.24</v>
      </c>
      <c r="DX79" s="228">
        <v>0.4</v>
      </c>
      <c r="DY79" s="229">
        <v>1.6667000000000001</v>
      </c>
      <c r="DZ79" s="229">
        <v>0</v>
      </c>
      <c r="EA79" s="228">
        <v>0</v>
      </c>
      <c r="EB79" s="229">
        <v>0</v>
      </c>
      <c r="EC79" s="229">
        <v>0</v>
      </c>
      <c r="ED79" s="228">
        <v>0</v>
      </c>
      <c r="EE79" s="229">
        <v>0</v>
      </c>
      <c r="EF79" s="230">
        <v>2864349</v>
      </c>
      <c r="EG79" s="230">
        <v>2896041</v>
      </c>
      <c r="EH79" s="229">
        <v>-1.09E-2</v>
      </c>
      <c r="EI79" s="229">
        <v>0.30270000000000002</v>
      </c>
      <c r="EJ79" s="231">
        <v>20982.93</v>
      </c>
      <c r="EK79" s="231">
        <v>12495.33</v>
      </c>
      <c r="EL79" s="231">
        <v>5029.33</v>
      </c>
      <c r="EM79" s="231">
        <v>2070</v>
      </c>
      <c r="EN79" s="231">
        <v>38507.589999999997</v>
      </c>
      <c r="EO79" s="231">
        <v>43854.8</v>
      </c>
      <c r="EP79" s="231">
        <v>-5347.21</v>
      </c>
      <c r="EQ79" s="229">
        <v>-0.12189999999999999</v>
      </c>
      <c r="ER79" s="231">
        <v>55362</v>
      </c>
      <c r="ES79" s="231">
        <v>21748</v>
      </c>
      <c r="ET79" s="231">
        <v>67678</v>
      </c>
      <c r="EU79" s="231">
        <v>147979599</v>
      </c>
      <c r="EV79" s="231">
        <v>144788</v>
      </c>
      <c r="EW79" s="231">
        <v>146684</v>
      </c>
      <c r="EX79" s="231">
        <v>-1896</v>
      </c>
      <c r="EY79" s="229">
        <v>-1.29E-2</v>
      </c>
      <c r="EZ79" s="229">
        <v>1.4396</v>
      </c>
      <c r="FA79" s="227" t="s">
        <v>568</v>
      </c>
      <c r="FB79" s="161">
        <f t="shared" si="1"/>
        <v>0</v>
      </c>
    </row>
    <row r="80" spans="1:158" ht="17.25" hidden="1" thickBot="1" x14ac:dyDescent="0.3">
      <c r="A80" s="226">
        <v>46008</v>
      </c>
      <c r="B80" s="227" t="s">
        <v>227</v>
      </c>
      <c r="C80" s="227" t="s">
        <v>228</v>
      </c>
      <c r="D80" s="228">
        <v>700</v>
      </c>
      <c r="E80" s="228">
        <v>849.65</v>
      </c>
      <c r="F80" s="228">
        <v>840.3</v>
      </c>
      <c r="G80" s="228">
        <v>9.35</v>
      </c>
      <c r="H80" s="229">
        <v>1.11E-2</v>
      </c>
      <c r="I80" s="228">
        <v>848.8</v>
      </c>
      <c r="J80" s="228">
        <v>837.15</v>
      </c>
      <c r="K80" s="228">
        <v>11.65</v>
      </c>
      <c r="L80" s="229">
        <v>1.3899999999999999E-2</v>
      </c>
      <c r="M80" s="228">
        <v>849.65</v>
      </c>
      <c r="N80" s="228">
        <v>840.3</v>
      </c>
      <c r="O80" s="228">
        <v>9.35</v>
      </c>
      <c r="P80" s="229">
        <v>1.11E-2</v>
      </c>
      <c r="Q80" s="228">
        <v>855</v>
      </c>
      <c r="R80" s="228">
        <v>845.2</v>
      </c>
      <c r="S80" s="228">
        <v>9.8000000000000007</v>
      </c>
      <c r="T80" s="229">
        <v>1.1599999999999999E-2</v>
      </c>
      <c r="U80" s="228">
        <v>859.45</v>
      </c>
      <c r="V80" s="228">
        <v>850.45</v>
      </c>
      <c r="W80" s="228">
        <v>9</v>
      </c>
      <c r="X80" s="229">
        <v>1.06E-2</v>
      </c>
      <c r="Y80" s="228">
        <v>0.85</v>
      </c>
      <c r="Z80" s="228">
        <v>3.15</v>
      </c>
      <c r="AA80" s="228">
        <v>-2.2999999999999998</v>
      </c>
      <c r="AB80" s="229">
        <v>1E-3</v>
      </c>
      <c r="AC80" s="228">
        <v>0.85</v>
      </c>
      <c r="AD80" s="228">
        <v>3.15</v>
      </c>
      <c r="AE80" s="228">
        <v>-2.2999999999999998</v>
      </c>
      <c r="AF80" s="229">
        <v>1E-3</v>
      </c>
      <c r="AG80" s="228">
        <v>6.2</v>
      </c>
      <c r="AH80" s="228">
        <v>8.0500000000000007</v>
      </c>
      <c r="AI80" s="228">
        <v>-1.85</v>
      </c>
      <c r="AJ80" s="229">
        <v>7.3000000000000001E-3</v>
      </c>
      <c r="AK80" s="228">
        <v>10.65</v>
      </c>
      <c r="AL80" s="228">
        <v>13.3</v>
      </c>
      <c r="AM80" s="228">
        <v>-2.65</v>
      </c>
      <c r="AN80" s="229">
        <v>1.2500000000000001E-2</v>
      </c>
      <c r="AO80" s="228">
        <v>848.1</v>
      </c>
      <c r="AP80" s="228">
        <v>853.16</v>
      </c>
      <c r="AQ80" s="228">
        <v>0</v>
      </c>
      <c r="AR80" s="230">
        <v>8379000</v>
      </c>
      <c r="AS80" s="230">
        <v>6954500</v>
      </c>
      <c r="AT80" s="230">
        <v>1424500</v>
      </c>
      <c r="AU80" s="229">
        <v>0.20480000000000001</v>
      </c>
      <c r="AV80" s="230">
        <v>6815900</v>
      </c>
      <c r="AW80" s="230">
        <v>6286700</v>
      </c>
      <c r="AX80" s="230">
        <v>529200</v>
      </c>
      <c r="AY80" s="229">
        <v>8.4199999999999997E-2</v>
      </c>
      <c r="AZ80" s="230">
        <v>1503600</v>
      </c>
      <c r="BA80" s="230">
        <v>596400</v>
      </c>
      <c r="BB80" s="230">
        <v>907200</v>
      </c>
      <c r="BC80" s="229">
        <v>1.5210999999999999</v>
      </c>
      <c r="BD80" s="230">
        <v>59500</v>
      </c>
      <c r="BE80" s="230">
        <v>71400</v>
      </c>
      <c r="BF80" s="230">
        <v>-11900</v>
      </c>
      <c r="BG80" s="229">
        <v>-0.16669999999999999</v>
      </c>
      <c r="BH80" s="230">
        <v>26565000</v>
      </c>
      <c r="BI80" s="230">
        <v>19280100</v>
      </c>
      <c r="BJ80" s="230">
        <v>7284900</v>
      </c>
      <c r="BK80" s="229">
        <v>0.37780000000000002</v>
      </c>
      <c r="BL80" s="230">
        <v>11707500</v>
      </c>
      <c r="BM80" s="230">
        <v>12263300</v>
      </c>
      <c r="BN80" s="230">
        <v>-555800</v>
      </c>
      <c r="BO80" s="229">
        <v>-4.53E-2</v>
      </c>
      <c r="BP80" s="230">
        <v>46651500</v>
      </c>
      <c r="BQ80" s="230">
        <v>38497900</v>
      </c>
      <c r="BR80" s="230">
        <v>8153600</v>
      </c>
      <c r="BS80" s="229">
        <v>0.21179999999999999</v>
      </c>
      <c r="BT80" s="230">
        <v>3347045</v>
      </c>
      <c r="BU80" s="230">
        <v>2756664</v>
      </c>
      <c r="BV80" s="230">
        <v>590381</v>
      </c>
      <c r="BW80" s="229">
        <v>0.2142</v>
      </c>
      <c r="BX80" s="230">
        <v>78094800</v>
      </c>
      <c r="BY80" s="230">
        <v>78009400</v>
      </c>
      <c r="BZ80" s="230">
        <v>85400</v>
      </c>
      <c r="CA80" s="229">
        <v>1.1000000000000001E-3</v>
      </c>
      <c r="CB80" s="230">
        <v>74827900</v>
      </c>
      <c r="CC80" s="230">
        <v>75885600</v>
      </c>
      <c r="CD80" s="230">
        <v>-1057700</v>
      </c>
      <c r="CE80" s="229">
        <v>-1.3899999999999999E-2</v>
      </c>
      <c r="CF80" s="230">
        <v>3047100</v>
      </c>
      <c r="CG80" s="230">
        <v>1926400</v>
      </c>
      <c r="CH80" s="230">
        <v>1120700</v>
      </c>
      <c r="CI80" s="229">
        <v>0.58179999999999998</v>
      </c>
      <c r="CJ80" s="230">
        <v>219800</v>
      </c>
      <c r="CK80" s="230">
        <v>197400</v>
      </c>
      <c r="CL80" s="230">
        <v>22400</v>
      </c>
      <c r="CM80" s="229">
        <v>0.1135</v>
      </c>
      <c r="CN80" s="230">
        <v>15589700</v>
      </c>
      <c r="CO80" s="230">
        <v>15370600</v>
      </c>
      <c r="CP80" s="230">
        <v>219100</v>
      </c>
      <c r="CQ80" s="229">
        <v>1.43E-2</v>
      </c>
      <c r="CR80" s="230">
        <v>11472300</v>
      </c>
      <c r="CS80" s="230">
        <v>11532500</v>
      </c>
      <c r="CT80" s="230">
        <v>-60200</v>
      </c>
      <c r="CU80" s="229">
        <v>-5.1999999999999998E-3</v>
      </c>
      <c r="CV80" s="230">
        <v>105156800</v>
      </c>
      <c r="CW80" s="230">
        <v>104912500</v>
      </c>
      <c r="CX80" s="230">
        <v>244300</v>
      </c>
      <c r="CY80" s="229">
        <v>2.3E-3</v>
      </c>
      <c r="CZ80" s="228">
        <v>22.4</v>
      </c>
      <c r="DA80" s="228">
        <v>22.36</v>
      </c>
      <c r="DB80" s="228">
        <v>0.04</v>
      </c>
      <c r="DC80" s="228">
        <v>0.04</v>
      </c>
      <c r="DD80" s="228">
        <v>32.590000000000003</v>
      </c>
      <c r="DE80" s="228">
        <v>32.619999999999997</v>
      </c>
      <c r="DF80" s="228">
        <v>-10.19</v>
      </c>
      <c r="DG80" s="228">
        <v>-0.03</v>
      </c>
      <c r="DH80" s="228">
        <v>21.89</v>
      </c>
      <c r="DI80" s="228">
        <v>22.33</v>
      </c>
      <c r="DJ80" s="228">
        <v>-0.44</v>
      </c>
      <c r="DK80" s="228">
        <v>-0.44</v>
      </c>
      <c r="DL80" s="228">
        <v>23.55</v>
      </c>
      <c r="DM80" s="228">
        <v>22.41</v>
      </c>
      <c r="DN80" s="228">
        <v>1.1399999999999999</v>
      </c>
      <c r="DO80" s="228">
        <v>1.1399999999999999</v>
      </c>
      <c r="DP80" s="228">
        <v>0.74</v>
      </c>
      <c r="DQ80" s="228">
        <v>0.75</v>
      </c>
      <c r="DR80" s="228">
        <v>-0.01</v>
      </c>
      <c r="DS80" s="229">
        <v>-1.3299999999999999E-2</v>
      </c>
      <c r="DT80" s="228">
        <v>800</v>
      </c>
      <c r="DU80" s="228">
        <v>780</v>
      </c>
      <c r="DV80" s="228">
        <v>0.44</v>
      </c>
      <c r="DW80" s="228">
        <v>0.64</v>
      </c>
      <c r="DX80" s="228">
        <v>-0.2</v>
      </c>
      <c r="DY80" s="229">
        <v>-0.3125</v>
      </c>
      <c r="DZ80" s="229">
        <v>4.1799999999999997E-2</v>
      </c>
      <c r="EA80" s="230">
        <v>2123800</v>
      </c>
      <c r="EB80" s="229">
        <v>6.3E-3</v>
      </c>
      <c r="EC80" s="229">
        <v>4.1799999999999997E-2</v>
      </c>
      <c r="ED80" s="228">
        <v>5.0599999999999996</v>
      </c>
      <c r="EE80" s="229">
        <v>6.0000000000000001E-3</v>
      </c>
      <c r="EF80" s="230">
        <v>1894962</v>
      </c>
      <c r="EG80" s="230">
        <v>1494396</v>
      </c>
      <c r="EH80" s="229">
        <v>0.26800000000000002</v>
      </c>
      <c r="EI80" s="229">
        <v>0.56620000000000004</v>
      </c>
      <c r="EJ80" s="231">
        <v>231477.41</v>
      </c>
      <c r="EK80" s="231">
        <v>97631.96</v>
      </c>
      <c r="EL80" s="231">
        <v>71144.179999999993</v>
      </c>
      <c r="EM80" s="231">
        <v>10223</v>
      </c>
      <c r="EN80" s="231">
        <v>400253.55</v>
      </c>
      <c r="EO80" s="231">
        <v>329175.46999999997</v>
      </c>
      <c r="EP80" s="231">
        <v>71078.080000000002</v>
      </c>
      <c r="EQ80" s="229">
        <v>0.21590000000000001</v>
      </c>
      <c r="ER80" s="231">
        <v>132892</v>
      </c>
      <c r="ES80" s="231">
        <v>91143</v>
      </c>
      <c r="ET80" s="231">
        <v>663717</v>
      </c>
      <c r="EU80" s="231">
        <v>176136372</v>
      </c>
      <c r="EV80" s="231">
        <v>887752</v>
      </c>
      <c r="EW80" s="231">
        <v>877817</v>
      </c>
      <c r="EX80" s="231">
        <v>9935</v>
      </c>
      <c r="EY80" s="229">
        <v>1.1299999999999999E-2</v>
      </c>
      <c r="EZ80" s="229">
        <v>0.59699999999999998</v>
      </c>
      <c r="FA80" s="227" t="s">
        <v>555</v>
      </c>
      <c r="FB80" s="161">
        <f t="shared" si="1"/>
        <v>3266900</v>
      </c>
    </row>
    <row r="81" spans="1:158" ht="17.25" hidden="1" thickBot="1" x14ac:dyDescent="0.3">
      <c r="A81" s="226">
        <v>46008</v>
      </c>
      <c r="B81" s="227" t="s">
        <v>193</v>
      </c>
      <c r="C81" s="227" t="s">
        <v>229</v>
      </c>
      <c r="D81" s="228">
        <v>2025</v>
      </c>
      <c r="E81" s="228">
        <v>466.4</v>
      </c>
      <c r="F81" s="228">
        <v>466</v>
      </c>
      <c r="G81" s="228">
        <v>0.4</v>
      </c>
      <c r="H81" s="229">
        <v>8.9999999999999998E-4</v>
      </c>
      <c r="I81" s="228">
        <v>465.45</v>
      </c>
      <c r="J81" s="228">
        <v>465.35</v>
      </c>
      <c r="K81" s="228">
        <v>0.1</v>
      </c>
      <c r="L81" s="229">
        <v>2.0000000000000001E-4</v>
      </c>
      <c r="M81" s="228">
        <v>466.4</v>
      </c>
      <c r="N81" s="228">
        <v>466</v>
      </c>
      <c r="O81" s="228">
        <v>0.4</v>
      </c>
      <c r="P81" s="229">
        <v>8.9999999999999998E-4</v>
      </c>
      <c r="Q81" s="228">
        <v>469.2</v>
      </c>
      <c r="R81" s="228">
        <v>468.9</v>
      </c>
      <c r="S81" s="228">
        <v>0.3</v>
      </c>
      <c r="T81" s="229">
        <v>5.9999999999999995E-4</v>
      </c>
      <c r="U81" s="228">
        <v>469.85</v>
      </c>
      <c r="V81" s="228">
        <v>468.6</v>
      </c>
      <c r="W81" s="228">
        <v>1.25</v>
      </c>
      <c r="X81" s="229">
        <v>2.7000000000000001E-3</v>
      </c>
      <c r="Y81" s="228">
        <v>0.95</v>
      </c>
      <c r="Z81" s="228">
        <v>0.65</v>
      </c>
      <c r="AA81" s="228">
        <v>0.3</v>
      </c>
      <c r="AB81" s="229">
        <v>2E-3</v>
      </c>
      <c r="AC81" s="228">
        <v>0.95</v>
      </c>
      <c r="AD81" s="228">
        <v>0.65</v>
      </c>
      <c r="AE81" s="228">
        <v>0.3</v>
      </c>
      <c r="AF81" s="229">
        <v>2E-3</v>
      </c>
      <c r="AG81" s="228">
        <v>3.75</v>
      </c>
      <c r="AH81" s="228">
        <v>3.55</v>
      </c>
      <c r="AI81" s="228">
        <v>0.2</v>
      </c>
      <c r="AJ81" s="229">
        <v>8.0999999999999996E-3</v>
      </c>
      <c r="AK81" s="228">
        <v>4.4000000000000004</v>
      </c>
      <c r="AL81" s="228">
        <v>3.25</v>
      </c>
      <c r="AM81" s="228">
        <v>1.1499999999999999</v>
      </c>
      <c r="AN81" s="229">
        <v>9.4999999999999998E-3</v>
      </c>
      <c r="AO81" s="228">
        <v>468.8</v>
      </c>
      <c r="AP81" s="228">
        <v>471.65</v>
      </c>
      <c r="AQ81" s="228">
        <v>0</v>
      </c>
      <c r="AR81" s="230">
        <v>4305150</v>
      </c>
      <c r="AS81" s="230">
        <v>4995675</v>
      </c>
      <c r="AT81" s="230">
        <v>-690525</v>
      </c>
      <c r="AU81" s="229">
        <v>-0.13819999999999999</v>
      </c>
      <c r="AV81" s="230">
        <v>3817125</v>
      </c>
      <c r="AW81" s="230">
        <v>4430700</v>
      </c>
      <c r="AX81" s="230">
        <v>-613575</v>
      </c>
      <c r="AY81" s="229">
        <v>-0.13850000000000001</v>
      </c>
      <c r="AZ81" s="230">
        <v>437400</v>
      </c>
      <c r="BA81" s="230">
        <v>514350</v>
      </c>
      <c r="BB81" s="230">
        <v>-76950</v>
      </c>
      <c r="BC81" s="229">
        <v>-0.14960000000000001</v>
      </c>
      <c r="BD81" s="230">
        <v>50625</v>
      </c>
      <c r="BE81" s="230">
        <v>50625</v>
      </c>
      <c r="BF81" s="228">
        <v>0</v>
      </c>
      <c r="BG81" s="229">
        <v>0</v>
      </c>
      <c r="BH81" s="230">
        <v>19496700</v>
      </c>
      <c r="BI81" s="230">
        <v>13735575</v>
      </c>
      <c r="BJ81" s="230">
        <v>5761125</v>
      </c>
      <c r="BK81" s="229">
        <v>0.4194</v>
      </c>
      <c r="BL81" s="230">
        <v>7340625</v>
      </c>
      <c r="BM81" s="230">
        <v>5987925</v>
      </c>
      <c r="BN81" s="230">
        <v>1352700</v>
      </c>
      <c r="BO81" s="229">
        <v>0.22589999999999999</v>
      </c>
      <c r="BP81" s="230">
        <v>31142475</v>
      </c>
      <c r="BQ81" s="230">
        <v>24719175</v>
      </c>
      <c r="BR81" s="230">
        <v>6423300</v>
      </c>
      <c r="BS81" s="229">
        <v>0.25990000000000002</v>
      </c>
      <c r="BT81" s="230">
        <v>2370570</v>
      </c>
      <c r="BU81" s="230">
        <v>1567882</v>
      </c>
      <c r="BV81" s="230">
        <v>802688</v>
      </c>
      <c r="BW81" s="229">
        <v>0.51200000000000001</v>
      </c>
      <c r="BX81" s="230">
        <v>38282625</v>
      </c>
      <c r="BY81" s="230">
        <v>38639025</v>
      </c>
      <c r="BZ81" s="230">
        <v>-356400</v>
      </c>
      <c r="CA81" s="229">
        <v>-9.1999999999999998E-3</v>
      </c>
      <c r="CB81" s="230">
        <v>36749700</v>
      </c>
      <c r="CC81" s="230">
        <v>37213425</v>
      </c>
      <c r="CD81" s="230">
        <v>-463725</v>
      </c>
      <c r="CE81" s="229">
        <v>-1.2500000000000001E-2</v>
      </c>
      <c r="CF81" s="230">
        <v>1306125</v>
      </c>
      <c r="CG81" s="230">
        <v>1212975</v>
      </c>
      <c r="CH81" s="230">
        <v>93150</v>
      </c>
      <c r="CI81" s="229">
        <v>7.6799999999999993E-2</v>
      </c>
      <c r="CJ81" s="230">
        <v>226800</v>
      </c>
      <c r="CK81" s="230">
        <v>212625</v>
      </c>
      <c r="CL81" s="230">
        <v>14175</v>
      </c>
      <c r="CM81" s="229">
        <v>6.6699999999999995E-2</v>
      </c>
      <c r="CN81" s="230">
        <v>15189525</v>
      </c>
      <c r="CO81" s="230">
        <v>14851350</v>
      </c>
      <c r="CP81" s="230">
        <v>338175</v>
      </c>
      <c r="CQ81" s="229">
        <v>2.2800000000000001E-2</v>
      </c>
      <c r="CR81" s="230">
        <v>8737875</v>
      </c>
      <c r="CS81" s="230">
        <v>8413875</v>
      </c>
      <c r="CT81" s="230">
        <v>324000</v>
      </c>
      <c r="CU81" s="229">
        <v>3.85E-2</v>
      </c>
      <c r="CV81" s="230">
        <v>62210025</v>
      </c>
      <c r="CW81" s="230">
        <v>61904250</v>
      </c>
      <c r="CX81" s="230">
        <v>305775</v>
      </c>
      <c r="CY81" s="229">
        <v>4.8999999999999998E-3</v>
      </c>
      <c r="CZ81" s="228">
        <v>23.87</v>
      </c>
      <c r="DA81" s="228">
        <v>24.26</v>
      </c>
      <c r="DB81" s="228">
        <v>-0.39</v>
      </c>
      <c r="DC81" s="228">
        <v>-0.39</v>
      </c>
      <c r="DD81" s="228">
        <v>38.380000000000003</v>
      </c>
      <c r="DE81" s="228">
        <v>38.479999999999997</v>
      </c>
      <c r="DF81" s="228">
        <v>-14.51</v>
      </c>
      <c r="DG81" s="228">
        <v>-0.1</v>
      </c>
      <c r="DH81" s="228">
        <v>23.88</v>
      </c>
      <c r="DI81" s="228">
        <v>24.34</v>
      </c>
      <c r="DJ81" s="228">
        <v>-0.46</v>
      </c>
      <c r="DK81" s="228">
        <v>-0.46</v>
      </c>
      <c r="DL81" s="228">
        <v>23.83</v>
      </c>
      <c r="DM81" s="228">
        <v>24.1</v>
      </c>
      <c r="DN81" s="228">
        <v>-0.27</v>
      </c>
      <c r="DO81" s="228">
        <v>-0.27</v>
      </c>
      <c r="DP81" s="228">
        <v>0.57999999999999996</v>
      </c>
      <c r="DQ81" s="228">
        <v>0.56999999999999995</v>
      </c>
      <c r="DR81" s="228">
        <v>0.01</v>
      </c>
      <c r="DS81" s="229">
        <v>1.7500000000000002E-2</v>
      </c>
      <c r="DT81" s="228">
        <v>470</v>
      </c>
      <c r="DU81" s="228">
        <v>450</v>
      </c>
      <c r="DV81" s="228">
        <v>0.38</v>
      </c>
      <c r="DW81" s="228">
        <v>0.44</v>
      </c>
      <c r="DX81" s="228">
        <v>-0.06</v>
      </c>
      <c r="DY81" s="229">
        <v>-0.13639999999999999</v>
      </c>
      <c r="DZ81" s="229">
        <v>0.04</v>
      </c>
      <c r="EA81" s="230">
        <v>1425600</v>
      </c>
      <c r="EB81" s="229">
        <v>6.0000000000000001E-3</v>
      </c>
      <c r="EC81" s="229">
        <v>0.04</v>
      </c>
      <c r="ED81" s="228">
        <v>2.85</v>
      </c>
      <c r="EE81" s="229">
        <v>6.1000000000000004E-3</v>
      </c>
      <c r="EF81" s="230">
        <v>1085188</v>
      </c>
      <c r="EG81" s="230">
        <v>763317</v>
      </c>
      <c r="EH81" s="229">
        <v>0.42170000000000002</v>
      </c>
      <c r="EI81" s="229">
        <v>0.45779999999999998</v>
      </c>
      <c r="EJ81" s="231">
        <v>94186.52</v>
      </c>
      <c r="EK81" s="231">
        <v>33661.949999999997</v>
      </c>
      <c r="EL81" s="231">
        <v>20196.900000000001</v>
      </c>
      <c r="EM81" s="231">
        <v>3139</v>
      </c>
      <c r="EN81" s="231">
        <v>148045.37</v>
      </c>
      <c r="EO81" s="231">
        <v>116873.92</v>
      </c>
      <c r="EP81" s="231">
        <v>31171.45</v>
      </c>
      <c r="EQ81" s="229">
        <v>0.26669999999999999</v>
      </c>
      <c r="ER81" s="231">
        <v>73021</v>
      </c>
      <c r="ES81" s="231">
        <v>39039</v>
      </c>
      <c r="ET81" s="231">
        <v>178595</v>
      </c>
      <c r="EU81" s="231">
        <v>143933168</v>
      </c>
      <c r="EV81" s="231">
        <v>290655</v>
      </c>
      <c r="EW81" s="231">
        <v>288915</v>
      </c>
      <c r="EX81" s="231">
        <v>1740</v>
      </c>
      <c r="EY81" s="229">
        <v>6.0000000000000001E-3</v>
      </c>
      <c r="EZ81" s="229">
        <v>0.43219999999999997</v>
      </c>
      <c r="FA81" s="227" t="s">
        <v>556</v>
      </c>
      <c r="FB81" s="161">
        <f t="shared" si="1"/>
        <v>1532925</v>
      </c>
    </row>
    <row r="82" spans="1:158" ht="17.25" hidden="1" thickBot="1" x14ac:dyDescent="0.3">
      <c r="A82" s="226">
        <v>46008</v>
      </c>
      <c r="B82" s="227" t="s">
        <v>168</v>
      </c>
      <c r="C82" s="227" t="s">
        <v>230</v>
      </c>
      <c r="D82" s="228">
        <v>300</v>
      </c>
      <c r="E82" s="231">
        <v>2275.3000000000002</v>
      </c>
      <c r="F82" s="231">
        <v>2286.8000000000002</v>
      </c>
      <c r="G82" s="228">
        <v>-11.5</v>
      </c>
      <c r="H82" s="229">
        <v>-5.0000000000000001E-3</v>
      </c>
      <c r="I82" s="231">
        <v>2275.6</v>
      </c>
      <c r="J82" s="231">
        <v>2281.1</v>
      </c>
      <c r="K82" s="228">
        <v>-5.5</v>
      </c>
      <c r="L82" s="229">
        <v>-2.3999999999999998E-3</v>
      </c>
      <c r="M82" s="231">
        <v>2275.3000000000002</v>
      </c>
      <c r="N82" s="231">
        <v>2286.8000000000002</v>
      </c>
      <c r="O82" s="228">
        <v>-11.5</v>
      </c>
      <c r="P82" s="229">
        <v>-5.0000000000000001E-3</v>
      </c>
      <c r="Q82" s="231">
        <v>2291.6</v>
      </c>
      <c r="R82" s="231">
        <v>2302.1</v>
      </c>
      <c r="S82" s="228">
        <v>-10.5</v>
      </c>
      <c r="T82" s="229">
        <v>-4.5999999999999999E-3</v>
      </c>
      <c r="U82" s="231">
        <v>2305</v>
      </c>
      <c r="V82" s="231">
        <v>2316.5</v>
      </c>
      <c r="W82" s="228">
        <v>-11.5</v>
      </c>
      <c r="X82" s="229">
        <v>-5.0000000000000001E-3</v>
      </c>
      <c r="Y82" s="228">
        <v>-0.3</v>
      </c>
      <c r="Z82" s="228">
        <v>5.7</v>
      </c>
      <c r="AA82" s="228">
        <v>-6</v>
      </c>
      <c r="AB82" s="229">
        <v>-1E-4</v>
      </c>
      <c r="AC82" s="228">
        <v>-0.3</v>
      </c>
      <c r="AD82" s="228">
        <v>5.7</v>
      </c>
      <c r="AE82" s="228">
        <v>-6</v>
      </c>
      <c r="AF82" s="229">
        <v>-1E-4</v>
      </c>
      <c r="AG82" s="228">
        <v>16</v>
      </c>
      <c r="AH82" s="228">
        <v>21</v>
      </c>
      <c r="AI82" s="228">
        <v>-5</v>
      </c>
      <c r="AJ82" s="229">
        <v>7.0000000000000001E-3</v>
      </c>
      <c r="AK82" s="228">
        <v>29.4</v>
      </c>
      <c r="AL82" s="228">
        <v>35.4</v>
      </c>
      <c r="AM82" s="228">
        <v>-6</v>
      </c>
      <c r="AN82" s="229">
        <v>1.29E-2</v>
      </c>
      <c r="AO82" s="231">
        <v>2276.8000000000002</v>
      </c>
      <c r="AP82" s="231">
        <v>2291.71</v>
      </c>
      <c r="AQ82" s="228">
        <v>0</v>
      </c>
      <c r="AR82" s="230">
        <v>1203300</v>
      </c>
      <c r="AS82" s="230">
        <v>1478100</v>
      </c>
      <c r="AT82" s="230">
        <v>-274800</v>
      </c>
      <c r="AU82" s="229">
        <v>-0.18590000000000001</v>
      </c>
      <c r="AV82" s="230">
        <v>1007400</v>
      </c>
      <c r="AW82" s="230">
        <v>1212000</v>
      </c>
      <c r="AX82" s="230">
        <v>-204600</v>
      </c>
      <c r="AY82" s="229">
        <v>-0.16880000000000001</v>
      </c>
      <c r="AZ82" s="230">
        <v>186600</v>
      </c>
      <c r="BA82" s="230">
        <v>234600</v>
      </c>
      <c r="BB82" s="230">
        <v>-48000</v>
      </c>
      <c r="BC82" s="229">
        <v>-0.2046</v>
      </c>
      <c r="BD82" s="230">
        <v>9300</v>
      </c>
      <c r="BE82" s="230">
        <v>31500</v>
      </c>
      <c r="BF82" s="230">
        <v>-22200</v>
      </c>
      <c r="BG82" s="229">
        <v>-0.70479999999999998</v>
      </c>
      <c r="BH82" s="230">
        <v>5253900</v>
      </c>
      <c r="BI82" s="230">
        <v>7023600</v>
      </c>
      <c r="BJ82" s="230">
        <v>-1769700</v>
      </c>
      <c r="BK82" s="229">
        <v>-0.252</v>
      </c>
      <c r="BL82" s="230">
        <v>1683300</v>
      </c>
      <c r="BM82" s="230">
        <v>2873100</v>
      </c>
      <c r="BN82" s="230">
        <v>-1189800</v>
      </c>
      <c r="BO82" s="229">
        <v>-0.41410000000000002</v>
      </c>
      <c r="BP82" s="230">
        <v>8140500</v>
      </c>
      <c r="BQ82" s="230">
        <v>11374800</v>
      </c>
      <c r="BR82" s="230">
        <v>-3234300</v>
      </c>
      <c r="BS82" s="229">
        <v>-0.2843</v>
      </c>
      <c r="BT82" s="230">
        <v>844134</v>
      </c>
      <c r="BU82" s="230">
        <v>1279539</v>
      </c>
      <c r="BV82" s="230">
        <v>-435405</v>
      </c>
      <c r="BW82" s="229">
        <v>-0.34029999999999999</v>
      </c>
      <c r="BX82" s="230">
        <v>10963800</v>
      </c>
      <c r="BY82" s="230">
        <v>10663200</v>
      </c>
      <c r="BZ82" s="230">
        <v>300600</v>
      </c>
      <c r="CA82" s="229">
        <v>2.8199999999999999E-2</v>
      </c>
      <c r="CB82" s="230">
        <v>9201900</v>
      </c>
      <c r="CC82" s="230">
        <v>8963400</v>
      </c>
      <c r="CD82" s="230">
        <v>238500</v>
      </c>
      <c r="CE82" s="229">
        <v>2.6599999999999999E-2</v>
      </c>
      <c r="CF82" s="230">
        <v>1600200</v>
      </c>
      <c r="CG82" s="230">
        <v>1536600</v>
      </c>
      <c r="CH82" s="230">
        <v>63600</v>
      </c>
      <c r="CI82" s="229">
        <v>4.1399999999999999E-2</v>
      </c>
      <c r="CJ82" s="230">
        <v>161700</v>
      </c>
      <c r="CK82" s="230">
        <v>163200</v>
      </c>
      <c r="CL82" s="230">
        <v>-1500</v>
      </c>
      <c r="CM82" s="229">
        <v>-9.1999999999999998E-3</v>
      </c>
      <c r="CN82" s="230">
        <v>6619500</v>
      </c>
      <c r="CO82" s="230">
        <v>6349800</v>
      </c>
      <c r="CP82" s="230">
        <v>269700</v>
      </c>
      <c r="CQ82" s="229">
        <v>4.2500000000000003E-2</v>
      </c>
      <c r="CR82" s="230">
        <v>3423000</v>
      </c>
      <c r="CS82" s="230">
        <v>3356700</v>
      </c>
      <c r="CT82" s="230">
        <v>66300</v>
      </c>
      <c r="CU82" s="229">
        <v>1.9800000000000002E-2</v>
      </c>
      <c r="CV82" s="230">
        <v>21006300</v>
      </c>
      <c r="CW82" s="230">
        <v>20369700</v>
      </c>
      <c r="CX82" s="230">
        <v>636600</v>
      </c>
      <c r="CY82" s="229">
        <v>3.1300000000000001E-2</v>
      </c>
      <c r="CZ82" s="228">
        <v>16.53</v>
      </c>
      <c r="DA82" s="228">
        <v>16.38</v>
      </c>
      <c r="DB82" s="228">
        <v>0.15</v>
      </c>
      <c r="DC82" s="228">
        <v>0.15</v>
      </c>
      <c r="DD82" s="228">
        <v>22.15</v>
      </c>
      <c r="DE82" s="228">
        <v>22.21</v>
      </c>
      <c r="DF82" s="228">
        <v>-5.62</v>
      </c>
      <c r="DG82" s="228">
        <v>-0.06</v>
      </c>
      <c r="DH82" s="228">
        <v>16.64</v>
      </c>
      <c r="DI82" s="228">
        <v>16.36</v>
      </c>
      <c r="DJ82" s="228">
        <v>0.28000000000000003</v>
      </c>
      <c r="DK82" s="228">
        <v>0.28000000000000003</v>
      </c>
      <c r="DL82" s="228">
        <v>16.18</v>
      </c>
      <c r="DM82" s="228">
        <v>16.440000000000001</v>
      </c>
      <c r="DN82" s="228">
        <v>-0.26</v>
      </c>
      <c r="DO82" s="228">
        <v>-0.26</v>
      </c>
      <c r="DP82" s="228">
        <v>0.52</v>
      </c>
      <c r="DQ82" s="228">
        <v>0.53</v>
      </c>
      <c r="DR82" s="228">
        <v>-0.01</v>
      </c>
      <c r="DS82" s="229">
        <v>-1.89E-2</v>
      </c>
      <c r="DT82" s="231">
        <v>2300</v>
      </c>
      <c r="DU82" s="231">
        <v>2300</v>
      </c>
      <c r="DV82" s="228">
        <v>0.32</v>
      </c>
      <c r="DW82" s="228">
        <v>0.41</v>
      </c>
      <c r="DX82" s="228">
        <v>-0.09</v>
      </c>
      <c r="DY82" s="229">
        <v>-0.2195</v>
      </c>
      <c r="DZ82" s="229">
        <v>0.16070000000000001</v>
      </c>
      <c r="EA82" s="230">
        <v>1699800</v>
      </c>
      <c r="EB82" s="229">
        <v>7.1999999999999998E-3</v>
      </c>
      <c r="EC82" s="229">
        <v>0.16070000000000001</v>
      </c>
      <c r="ED82" s="228">
        <v>14.91</v>
      </c>
      <c r="EE82" s="229">
        <v>6.4999999999999997E-3</v>
      </c>
      <c r="EF82" s="230">
        <v>534412</v>
      </c>
      <c r="EG82" s="230">
        <v>728687</v>
      </c>
      <c r="EH82" s="229">
        <v>-0.2666</v>
      </c>
      <c r="EI82" s="229">
        <v>0.6331</v>
      </c>
      <c r="EJ82" s="231">
        <v>123632.42</v>
      </c>
      <c r="EK82" s="231">
        <v>37985.32</v>
      </c>
      <c r="EL82" s="231">
        <v>27427.46</v>
      </c>
      <c r="EM82" s="231">
        <v>8546</v>
      </c>
      <c r="EN82" s="231">
        <v>189045.2</v>
      </c>
      <c r="EO82" s="231">
        <v>264376.31</v>
      </c>
      <c r="EP82" s="231">
        <v>-75331.11</v>
      </c>
      <c r="EQ82" s="229">
        <v>-0.28489999999999999</v>
      </c>
      <c r="ER82" s="231">
        <v>156856</v>
      </c>
      <c r="ES82" s="231">
        <v>77658</v>
      </c>
      <c r="ET82" s="231">
        <v>249768</v>
      </c>
      <c r="EU82" s="231">
        <v>89517840</v>
      </c>
      <c r="EV82" s="231">
        <v>484281</v>
      </c>
      <c r="EW82" s="231">
        <v>471003</v>
      </c>
      <c r="EX82" s="231">
        <v>13278</v>
      </c>
      <c r="EY82" s="229">
        <v>2.8199999999999999E-2</v>
      </c>
      <c r="EZ82" s="229">
        <v>0.23469999999999999</v>
      </c>
      <c r="FA82" s="227" t="s">
        <v>567</v>
      </c>
      <c r="FB82" s="161">
        <f t="shared" si="1"/>
        <v>1761900</v>
      </c>
    </row>
    <row r="83" spans="1:158" ht="17.25" hidden="1" thickBot="1" x14ac:dyDescent="0.3">
      <c r="A83" s="226">
        <v>46008</v>
      </c>
      <c r="B83" s="227" t="s">
        <v>227</v>
      </c>
      <c r="C83" s="227" t="s">
        <v>669</v>
      </c>
      <c r="D83" s="228">
        <v>1225</v>
      </c>
      <c r="E83" s="228">
        <v>578.9</v>
      </c>
      <c r="F83" s="228">
        <v>568.6</v>
      </c>
      <c r="G83" s="228">
        <v>10.3</v>
      </c>
      <c r="H83" s="229">
        <v>1.8100000000000002E-2</v>
      </c>
      <c r="I83" s="228">
        <v>578.29999999999995</v>
      </c>
      <c r="J83" s="228">
        <v>567.70000000000005</v>
      </c>
      <c r="K83" s="228">
        <v>10.6</v>
      </c>
      <c r="L83" s="229">
        <v>1.8700000000000001E-2</v>
      </c>
      <c r="M83" s="228">
        <v>578.9</v>
      </c>
      <c r="N83" s="228">
        <v>568.6</v>
      </c>
      <c r="O83" s="228">
        <v>10.3</v>
      </c>
      <c r="P83" s="229">
        <v>1.8100000000000002E-2</v>
      </c>
      <c r="Q83" s="228">
        <v>582.6</v>
      </c>
      <c r="R83" s="228">
        <v>571.5</v>
      </c>
      <c r="S83" s="228">
        <v>11.1</v>
      </c>
      <c r="T83" s="229">
        <v>1.9400000000000001E-2</v>
      </c>
      <c r="U83" s="228">
        <v>585.65</v>
      </c>
      <c r="V83" s="228">
        <v>575.5</v>
      </c>
      <c r="W83" s="228">
        <v>10.15</v>
      </c>
      <c r="X83" s="229">
        <v>1.7600000000000001E-2</v>
      </c>
      <c r="Y83" s="228">
        <v>0.6</v>
      </c>
      <c r="Z83" s="228">
        <v>0.9</v>
      </c>
      <c r="AA83" s="228">
        <v>-0.3</v>
      </c>
      <c r="AB83" s="229">
        <v>1E-3</v>
      </c>
      <c r="AC83" s="228">
        <v>0.6</v>
      </c>
      <c r="AD83" s="228">
        <v>0.9</v>
      </c>
      <c r="AE83" s="228">
        <v>-0.3</v>
      </c>
      <c r="AF83" s="229">
        <v>1E-3</v>
      </c>
      <c r="AG83" s="228">
        <v>4.3</v>
      </c>
      <c r="AH83" s="228">
        <v>3.8</v>
      </c>
      <c r="AI83" s="228">
        <v>0.5</v>
      </c>
      <c r="AJ83" s="229">
        <v>7.4000000000000003E-3</v>
      </c>
      <c r="AK83" s="228">
        <v>7.35</v>
      </c>
      <c r="AL83" s="228">
        <v>7.8</v>
      </c>
      <c r="AM83" s="228">
        <v>-0.45</v>
      </c>
      <c r="AN83" s="229">
        <v>1.2699999999999999E-2</v>
      </c>
      <c r="AO83" s="228">
        <v>581.75</v>
      </c>
      <c r="AP83" s="228">
        <v>585.17999999999995</v>
      </c>
      <c r="AQ83" s="228">
        <v>0</v>
      </c>
      <c r="AR83" s="230">
        <v>24537975</v>
      </c>
      <c r="AS83" s="230">
        <v>12491325</v>
      </c>
      <c r="AT83" s="230">
        <v>12046650</v>
      </c>
      <c r="AU83" s="229">
        <v>0.96440000000000003</v>
      </c>
      <c r="AV83" s="230">
        <v>20706175</v>
      </c>
      <c r="AW83" s="230">
        <v>10679550</v>
      </c>
      <c r="AX83" s="230">
        <v>10026625</v>
      </c>
      <c r="AY83" s="229">
        <v>0.93889999999999996</v>
      </c>
      <c r="AZ83" s="230">
        <v>3240125</v>
      </c>
      <c r="BA83" s="230">
        <v>1356075</v>
      </c>
      <c r="BB83" s="230">
        <v>1884050</v>
      </c>
      <c r="BC83" s="229">
        <v>1.3893</v>
      </c>
      <c r="BD83" s="230">
        <v>591675</v>
      </c>
      <c r="BE83" s="230">
        <v>455700</v>
      </c>
      <c r="BF83" s="230">
        <v>135975</v>
      </c>
      <c r="BG83" s="229">
        <v>0.2984</v>
      </c>
      <c r="BH83" s="230">
        <v>200877950</v>
      </c>
      <c r="BI83" s="230">
        <v>84910875</v>
      </c>
      <c r="BJ83" s="230">
        <v>115967075</v>
      </c>
      <c r="BK83" s="229">
        <v>1.3657999999999999</v>
      </c>
      <c r="BL83" s="230">
        <v>82768350</v>
      </c>
      <c r="BM83" s="230">
        <v>41022800</v>
      </c>
      <c r="BN83" s="230">
        <v>41745550</v>
      </c>
      <c r="BO83" s="229">
        <v>1.0176000000000001</v>
      </c>
      <c r="BP83" s="230">
        <v>308184275</v>
      </c>
      <c r="BQ83" s="230">
        <v>138425000</v>
      </c>
      <c r="BR83" s="230">
        <v>169759275</v>
      </c>
      <c r="BS83" s="229">
        <v>1.2263999999999999</v>
      </c>
      <c r="BT83" s="230">
        <v>19863787</v>
      </c>
      <c r="BU83" s="230">
        <v>9987657</v>
      </c>
      <c r="BV83" s="230">
        <v>9876130</v>
      </c>
      <c r="BW83" s="229">
        <v>0.98880000000000001</v>
      </c>
      <c r="BX83" s="230">
        <v>36180375</v>
      </c>
      <c r="BY83" s="230">
        <v>35898625</v>
      </c>
      <c r="BZ83" s="230">
        <v>281750</v>
      </c>
      <c r="CA83" s="229">
        <v>7.7999999999999996E-3</v>
      </c>
      <c r="CB83" s="230">
        <v>31846325</v>
      </c>
      <c r="CC83" s="230">
        <v>32282425</v>
      </c>
      <c r="CD83" s="230">
        <v>-436100</v>
      </c>
      <c r="CE83" s="229">
        <v>-1.35E-2</v>
      </c>
      <c r="CF83" s="230">
        <v>3296475</v>
      </c>
      <c r="CG83" s="230">
        <v>2696225</v>
      </c>
      <c r="CH83" s="230">
        <v>600250</v>
      </c>
      <c r="CI83" s="229">
        <v>0.22259999999999999</v>
      </c>
      <c r="CJ83" s="230">
        <v>1037575</v>
      </c>
      <c r="CK83" s="230">
        <v>919975</v>
      </c>
      <c r="CL83" s="230">
        <v>117600</v>
      </c>
      <c r="CM83" s="229">
        <v>0.1278</v>
      </c>
      <c r="CN83" s="230">
        <v>51931425</v>
      </c>
      <c r="CO83" s="230">
        <v>44467500</v>
      </c>
      <c r="CP83" s="230">
        <v>7463925</v>
      </c>
      <c r="CQ83" s="229">
        <v>0.16789999999999999</v>
      </c>
      <c r="CR83" s="230">
        <v>34507025</v>
      </c>
      <c r="CS83" s="230">
        <v>32221175</v>
      </c>
      <c r="CT83" s="230">
        <v>2285850</v>
      </c>
      <c r="CU83" s="229">
        <v>7.0900000000000005E-2</v>
      </c>
      <c r="CV83" s="230">
        <v>122618825</v>
      </c>
      <c r="CW83" s="230">
        <v>112587300</v>
      </c>
      <c r="CX83" s="230">
        <v>10031525</v>
      </c>
      <c r="CY83" s="229">
        <v>8.9099999999999999E-2</v>
      </c>
      <c r="CZ83" s="228">
        <v>36.72</v>
      </c>
      <c r="DA83" s="228">
        <v>36.090000000000003</v>
      </c>
      <c r="DB83" s="228">
        <v>0.63</v>
      </c>
      <c r="DC83" s="228">
        <v>0.63</v>
      </c>
      <c r="DD83" s="228">
        <v>43.61</v>
      </c>
      <c r="DE83" s="228">
        <v>43.65</v>
      </c>
      <c r="DF83" s="228">
        <v>-6.89</v>
      </c>
      <c r="DG83" s="228">
        <v>-0.04</v>
      </c>
      <c r="DH83" s="228">
        <v>36.81</v>
      </c>
      <c r="DI83" s="228">
        <v>35.950000000000003</v>
      </c>
      <c r="DJ83" s="228">
        <v>0.86</v>
      </c>
      <c r="DK83" s="228">
        <v>0.86</v>
      </c>
      <c r="DL83" s="228">
        <v>36.49</v>
      </c>
      <c r="DM83" s="228">
        <v>36.369999999999997</v>
      </c>
      <c r="DN83" s="228">
        <v>0.12</v>
      </c>
      <c r="DO83" s="228">
        <v>0.12</v>
      </c>
      <c r="DP83" s="228">
        <v>0.66</v>
      </c>
      <c r="DQ83" s="228">
        <v>0.72</v>
      </c>
      <c r="DR83" s="228">
        <v>-0.06</v>
      </c>
      <c r="DS83" s="229">
        <v>-8.3299999999999999E-2</v>
      </c>
      <c r="DT83" s="228">
        <v>600</v>
      </c>
      <c r="DU83" s="228">
        <v>540</v>
      </c>
      <c r="DV83" s="228">
        <v>0.41</v>
      </c>
      <c r="DW83" s="228">
        <v>0.48</v>
      </c>
      <c r="DX83" s="228">
        <v>-7.0000000000000007E-2</v>
      </c>
      <c r="DY83" s="229">
        <v>-0.14580000000000001</v>
      </c>
      <c r="DZ83" s="229">
        <v>0.1198</v>
      </c>
      <c r="EA83" s="230">
        <v>3616200</v>
      </c>
      <c r="EB83" s="229">
        <v>6.4000000000000003E-3</v>
      </c>
      <c r="EC83" s="229">
        <v>0.1198</v>
      </c>
      <c r="ED83" s="228">
        <v>3.43</v>
      </c>
      <c r="EE83" s="229">
        <v>5.8999999999999999E-3</v>
      </c>
      <c r="EF83" s="230">
        <v>4605091</v>
      </c>
      <c r="EG83" s="230">
        <v>2669115</v>
      </c>
      <c r="EH83" s="229">
        <v>0.72529999999999994</v>
      </c>
      <c r="EI83" s="229">
        <v>0.23180000000000001</v>
      </c>
      <c r="EJ83" s="231">
        <v>1222477.1100000001</v>
      </c>
      <c r="EK83" s="231">
        <v>466866.18</v>
      </c>
      <c r="EL83" s="231">
        <v>142896.95999999999</v>
      </c>
      <c r="EM83" s="231">
        <v>18742</v>
      </c>
      <c r="EN83" s="231">
        <v>1832240.25</v>
      </c>
      <c r="EO83" s="231">
        <v>802792.98</v>
      </c>
      <c r="EP83" s="231">
        <v>1029447.27</v>
      </c>
      <c r="EQ83" s="229">
        <v>1.2823</v>
      </c>
      <c r="ER83" s="231">
        <v>303005</v>
      </c>
      <c r="ES83" s="231">
        <v>181669</v>
      </c>
      <c r="ET83" s="231">
        <v>209640</v>
      </c>
      <c r="EU83" s="231">
        <v>167680340</v>
      </c>
      <c r="EV83" s="231">
        <v>694314</v>
      </c>
      <c r="EW83" s="231">
        <v>625624</v>
      </c>
      <c r="EX83" s="231">
        <v>68690</v>
      </c>
      <c r="EY83" s="229">
        <v>0.10979999999999999</v>
      </c>
      <c r="EZ83" s="229">
        <v>0.73129999999999995</v>
      </c>
      <c r="FA83" s="227" t="s">
        <v>555</v>
      </c>
      <c r="FB83" s="161">
        <f t="shared" si="1"/>
        <v>4334050</v>
      </c>
    </row>
    <row r="84" spans="1:158" ht="17.25" hidden="1" thickBot="1" x14ac:dyDescent="0.3">
      <c r="A84" s="226">
        <v>46008</v>
      </c>
      <c r="B84" s="227" t="s">
        <v>206</v>
      </c>
      <c r="C84" s="227" t="s">
        <v>608</v>
      </c>
      <c r="D84" s="228">
        <v>2775</v>
      </c>
      <c r="E84" s="228">
        <v>207.89</v>
      </c>
      <c r="F84" s="228">
        <v>210.93</v>
      </c>
      <c r="G84" s="228">
        <v>-3.04</v>
      </c>
      <c r="H84" s="229">
        <v>-1.44E-2</v>
      </c>
      <c r="I84" s="228">
        <v>207.91</v>
      </c>
      <c r="J84" s="228">
        <v>211.02</v>
      </c>
      <c r="K84" s="228">
        <v>-3.11</v>
      </c>
      <c r="L84" s="229">
        <v>-1.47E-2</v>
      </c>
      <c r="M84" s="228">
        <v>207.89</v>
      </c>
      <c r="N84" s="228">
        <v>210.93</v>
      </c>
      <c r="O84" s="228">
        <v>-3.04</v>
      </c>
      <c r="P84" s="229">
        <v>-1.44E-2</v>
      </c>
      <c r="Q84" s="228">
        <v>209.39</v>
      </c>
      <c r="R84" s="228">
        <v>212.3</v>
      </c>
      <c r="S84" s="228">
        <v>-2.91</v>
      </c>
      <c r="T84" s="229">
        <v>-1.37E-2</v>
      </c>
      <c r="U84" s="228">
        <v>209.76</v>
      </c>
      <c r="V84" s="228">
        <v>213.13</v>
      </c>
      <c r="W84" s="228">
        <v>-3.37</v>
      </c>
      <c r="X84" s="229">
        <v>-1.5800000000000002E-2</v>
      </c>
      <c r="Y84" s="228">
        <v>-0.02</v>
      </c>
      <c r="Z84" s="228">
        <v>-0.09</v>
      </c>
      <c r="AA84" s="228">
        <v>7.0000000000000007E-2</v>
      </c>
      <c r="AB84" s="229">
        <v>-1E-4</v>
      </c>
      <c r="AC84" s="228">
        <v>-0.02</v>
      </c>
      <c r="AD84" s="228">
        <v>-0.09</v>
      </c>
      <c r="AE84" s="228">
        <v>7.0000000000000007E-2</v>
      </c>
      <c r="AF84" s="229">
        <v>-1E-4</v>
      </c>
      <c r="AG84" s="228">
        <v>1.48</v>
      </c>
      <c r="AH84" s="228">
        <v>1.28</v>
      </c>
      <c r="AI84" s="228">
        <v>0.2</v>
      </c>
      <c r="AJ84" s="229">
        <v>7.1000000000000004E-3</v>
      </c>
      <c r="AK84" s="228">
        <v>1.85</v>
      </c>
      <c r="AL84" s="228">
        <v>2.11</v>
      </c>
      <c r="AM84" s="228">
        <v>-0.26</v>
      </c>
      <c r="AN84" s="229">
        <v>8.8999999999999999E-3</v>
      </c>
      <c r="AO84" s="228">
        <v>209.05</v>
      </c>
      <c r="AP84" s="228">
        <v>210.76</v>
      </c>
      <c r="AQ84" s="228">
        <v>0</v>
      </c>
      <c r="AR84" s="230">
        <v>6085575</v>
      </c>
      <c r="AS84" s="230">
        <v>5494500</v>
      </c>
      <c r="AT84" s="230">
        <v>591075</v>
      </c>
      <c r="AU84" s="229">
        <v>0.1076</v>
      </c>
      <c r="AV84" s="230">
        <v>5308575</v>
      </c>
      <c r="AW84" s="230">
        <v>4617600</v>
      </c>
      <c r="AX84" s="230">
        <v>690975</v>
      </c>
      <c r="AY84" s="229">
        <v>0.14960000000000001</v>
      </c>
      <c r="AZ84" s="230">
        <v>743700</v>
      </c>
      <c r="BA84" s="230">
        <v>815850</v>
      </c>
      <c r="BB84" s="230">
        <v>-72150</v>
      </c>
      <c r="BC84" s="229">
        <v>-8.8400000000000006E-2</v>
      </c>
      <c r="BD84" s="230">
        <v>33300</v>
      </c>
      <c r="BE84" s="230">
        <v>61050</v>
      </c>
      <c r="BF84" s="230">
        <v>-27750</v>
      </c>
      <c r="BG84" s="229">
        <v>-0.45450000000000002</v>
      </c>
      <c r="BH84" s="230">
        <v>20521125</v>
      </c>
      <c r="BI84" s="230">
        <v>15506700</v>
      </c>
      <c r="BJ84" s="230">
        <v>5014425</v>
      </c>
      <c r="BK84" s="229">
        <v>0.32340000000000002</v>
      </c>
      <c r="BL84" s="230">
        <v>9817950</v>
      </c>
      <c r="BM84" s="230">
        <v>7253850</v>
      </c>
      <c r="BN84" s="230">
        <v>2564100</v>
      </c>
      <c r="BO84" s="229">
        <v>0.35349999999999998</v>
      </c>
      <c r="BP84" s="230">
        <v>36424650</v>
      </c>
      <c r="BQ84" s="230">
        <v>28255050</v>
      </c>
      <c r="BR84" s="230">
        <v>8169600</v>
      </c>
      <c r="BS84" s="229">
        <v>0.28910000000000002</v>
      </c>
      <c r="BT84" s="230">
        <v>2266227</v>
      </c>
      <c r="BU84" s="230">
        <v>1856813</v>
      </c>
      <c r="BV84" s="230">
        <v>409414</v>
      </c>
      <c r="BW84" s="229">
        <v>0.2205</v>
      </c>
      <c r="BX84" s="230">
        <v>34948350</v>
      </c>
      <c r="BY84" s="230">
        <v>35114850</v>
      </c>
      <c r="BZ84" s="230">
        <v>-166500</v>
      </c>
      <c r="CA84" s="229">
        <v>-4.7000000000000002E-3</v>
      </c>
      <c r="CB84" s="230">
        <v>31762650</v>
      </c>
      <c r="CC84" s="230">
        <v>32162250</v>
      </c>
      <c r="CD84" s="230">
        <v>-399600</v>
      </c>
      <c r="CE84" s="229">
        <v>-1.24E-2</v>
      </c>
      <c r="CF84" s="230">
        <v>2794425</v>
      </c>
      <c r="CG84" s="230">
        <v>2577975</v>
      </c>
      <c r="CH84" s="230">
        <v>216450</v>
      </c>
      <c r="CI84" s="229">
        <v>8.4000000000000005E-2</v>
      </c>
      <c r="CJ84" s="230">
        <v>391275</v>
      </c>
      <c r="CK84" s="230">
        <v>374625</v>
      </c>
      <c r="CL84" s="230">
        <v>16650</v>
      </c>
      <c r="CM84" s="229">
        <v>4.4400000000000002E-2</v>
      </c>
      <c r="CN84" s="230">
        <v>41647200</v>
      </c>
      <c r="CO84" s="230">
        <v>40786950</v>
      </c>
      <c r="CP84" s="230">
        <v>860250</v>
      </c>
      <c r="CQ84" s="229">
        <v>2.1100000000000001E-2</v>
      </c>
      <c r="CR84" s="230">
        <v>18245625</v>
      </c>
      <c r="CS84" s="230">
        <v>18378825</v>
      </c>
      <c r="CT84" s="230">
        <v>-133200</v>
      </c>
      <c r="CU84" s="229">
        <v>-7.1999999999999998E-3</v>
      </c>
      <c r="CV84" s="230">
        <v>94841175</v>
      </c>
      <c r="CW84" s="230">
        <v>94280625</v>
      </c>
      <c r="CX84" s="230">
        <v>560550</v>
      </c>
      <c r="CY84" s="229">
        <v>5.8999999999999999E-3</v>
      </c>
      <c r="CZ84" s="228">
        <v>30.33</v>
      </c>
      <c r="DA84" s="228">
        <v>31.25</v>
      </c>
      <c r="DB84" s="228">
        <v>-0.92</v>
      </c>
      <c r="DC84" s="228">
        <v>-0.92</v>
      </c>
      <c r="DD84" s="228">
        <v>51.3</v>
      </c>
      <c r="DE84" s="228">
        <v>51.39</v>
      </c>
      <c r="DF84" s="228">
        <v>-20.97</v>
      </c>
      <c r="DG84" s="228">
        <v>-0.09</v>
      </c>
      <c r="DH84" s="228">
        <v>32.18</v>
      </c>
      <c r="DI84" s="228">
        <v>32.51</v>
      </c>
      <c r="DJ84" s="228">
        <v>-0.33</v>
      </c>
      <c r="DK84" s="228">
        <v>-0.33</v>
      </c>
      <c r="DL84" s="228">
        <v>26.47</v>
      </c>
      <c r="DM84" s="228">
        <v>28.56</v>
      </c>
      <c r="DN84" s="228">
        <v>-2.09</v>
      </c>
      <c r="DO84" s="228">
        <v>-2.09</v>
      </c>
      <c r="DP84" s="228">
        <v>0.44</v>
      </c>
      <c r="DQ84" s="228">
        <v>0.45</v>
      </c>
      <c r="DR84" s="228">
        <v>-0.01</v>
      </c>
      <c r="DS84" s="229">
        <v>-2.2200000000000001E-2</v>
      </c>
      <c r="DT84" s="228">
        <v>240</v>
      </c>
      <c r="DU84" s="228">
        <v>210</v>
      </c>
      <c r="DV84" s="228">
        <v>0.48</v>
      </c>
      <c r="DW84" s="228">
        <v>0.47</v>
      </c>
      <c r="DX84" s="228">
        <v>0.01</v>
      </c>
      <c r="DY84" s="229">
        <v>2.1299999999999999E-2</v>
      </c>
      <c r="DZ84" s="229">
        <v>9.1200000000000003E-2</v>
      </c>
      <c r="EA84" s="230">
        <v>2952600</v>
      </c>
      <c r="EB84" s="229">
        <v>7.1999999999999998E-3</v>
      </c>
      <c r="EC84" s="229">
        <v>9.1200000000000003E-2</v>
      </c>
      <c r="ED84" s="228">
        <v>1.71</v>
      </c>
      <c r="EE84" s="229">
        <v>8.2000000000000007E-3</v>
      </c>
      <c r="EF84" s="230">
        <v>771227</v>
      </c>
      <c r="EG84" s="230">
        <v>805373</v>
      </c>
      <c r="EH84" s="229">
        <v>-4.24E-2</v>
      </c>
      <c r="EI84" s="229">
        <v>0.34029999999999999</v>
      </c>
      <c r="EJ84" s="231">
        <v>46139.7</v>
      </c>
      <c r="EK84" s="231">
        <v>21039.99</v>
      </c>
      <c r="EL84" s="231">
        <v>12735.28</v>
      </c>
      <c r="EM84" s="231">
        <v>1982</v>
      </c>
      <c r="EN84" s="231">
        <v>79914.97</v>
      </c>
      <c r="EO84" s="231">
        <v>62390.400000000001</v>
      </c>
      <c r="EP84" s="231">
        <v>17524.57</v>
      </c>
      <c r="EQ84" s="229">
        <v>0.28089999999999998</v>
      </c>
      <c r="ER84" s="231">
        <v>97154</v>
      </c>
      <c r="ES84" s="231">
        <v>39760</v>
      </c>
      <c r="ET84" s="231">
        <v>72703</v>
      </c>
      <c r="EU84" s="231">
        <v>75071250</v>
      </c>
      <c r="EV84" s="231">
        <v>209618</v>
      </c>
      <c r="EW84" s="231">
        <v>210036</v>
      </c>
      <c r="EX84" s="228">
        <v>-418</v>
      </c>
      <c r="EY84" s="229">
        <v>-2E-3</v>
      </c>
      <c r="EZ84" s="229">
        <v>1.2633000000000001</v>
      </c>
      <c r="FA84" s="227" t="s">
        <v>568</v>
      </c>
      <c r="FB84" s="161">
        <f t="shared" si="1"/>
        <v>3185700</v>
      </c>
    </row>
    <row r="85" spans="1:158" ht="17.25" hidden="1" thickBot="1" x14ac:dyDescent="0.3">
      <c r="A85" s="226">
        <v>46008</v>
      </c>
      <c r="B85" s="227" t="s">
        <v>172</v>
      </c>
      <c r="C85" s="227" t="s">
        <v>232</v>
      </c>
      <c r="D85" s="228">
        <v>700</v>
      </c>
      <c r="E85" s="231">
        <v>1356.5</v>
      </c>
      <c r="F85" s="231">
        <v>1370.3</v>
      </c>
      <c r="G85" s="228">
        <v>-13.8</v>
      </c>
      <c r="H85" s="229">
        <v>-1.01E-2</v>
      </c>
      <c r="I85" s="231">
        <v>1352.4</v>
      </c>
      <c r="J85" s="231">
        <v>1366</v>
      </c>
      <c r="K85" s="228">
        <v>-13.6</v>
      </c>
      <c r="L85" s="229">
        <v>-0.01</v>
      </c>
      <c r="M85" s="231">
        <v>1356.5</v>
      </c>
      <c r="N85" s="231">
        <v>1370.3</v>
      </c>
      <c r="O85" s="228">
        <v>-13.8</v>
      </c>
      <c r="P85" s="229">
        <v>-1.01E-2</v>
      </c>
      <c r="Q85" s="231">
        <v>1364.9</v>
      </c>
      <c r="R85" s="231">
        <v>1378.9</v>
      </c>
      <c r="S85" s="228">
        <v>-14</v>
      </c>
      <c r="T85" s="229">
        <v>-1.0200000000000001E-2</v>
      </c>
      <c r="U85" s="231">
        <v>1372.6</v>
      </c>
      <c r="V85" s="231">
        <v>1386.3</v>
      </c>
      <c r="W85" s="228">
        <v>-13.7</v>
      </c>
      <c r="X85" s="229">
        <v>-9.9000000000000008E-3</v>
      </c>
      <c r="Y85" s="228">
        <v>4.0999999999999996</v>
      </c>
      <c r="Z85" s="228">
        <v>4.3</v>
      </c>
      <c r="AA85" s="228">
        <v>-0.2</v>
      </c>
      <c r="AB85" s="229">
        <v>3.0000000000000001E-3</v>
      </c>
      <c r="AC85" s="228">
        <v>4.0999999999999996</v>
      </c>
      <c r="AD85" s="228">
        <v>4.3</v>
      </c>
      <c r="AE85" s="228">
        <v>-0.2</v>
      </c>
      <c r="AF85" s="229">
        <v>3.0000000000000001E-3</v>
      </c>
      <c r="AG85" s="228">
        <v>12.5</v>
      </c>
      <c r="AH85" s="228">
        <v>12.9</v>
      </c>
      <c r="AI85" s="228">
        <v>-0.4</v>
      </c>
      <c r="AJ85" s="229">
        <v>9.1999999999999998E-3</v>
      </c>
      <c r="AK85" s="228">
        <v>20.2</v>
      </c>
      <c r="AL85" s="228">
        <v>20.3</v>
      </c>
      <c r="AM85" s="228">
        <v>-0.1</v>
      </c>
      <c r="AN85" s="229">
        <v>1.49E-2</v>
      </c>
      <c r="AO85" s="231">
        <v>1354.41</v>
      </c>
      <c r="AP85" s="231">
        <v>1362.28</v>
      </c>
      <c r="AQ85" s="228">
        <v>0</v>
      </c>
      <c r="AR85" s="230">
        <v>15409800</v>
      </c>
      <c r="AS85" s="230">
        <v>11080300</v>
      </c>
      <c r="AT85" s="230">
        <v>4329500</v>
      </c>
      <c r="AU85" s="229">
        <v>0.39069999999999999</v>
      </c>
      <c r="AV85" s="230">
        <v>10273900</v>
      </c>
      <c r="AW85" s="230">
        <v>8652700</v>
      </c>
      <c r="AX85" s="230">
        <v>1621200</v>
      </c>
      <c r="AY85" s="229">
        <v>0.18740000000000001</v>
      </c>
      <c r="AZ85" s="230">
        <v>4938500</v>
      </c>
      <c r="BA85" s="230">
        <v>2364600</v>
      </c>
      <c r="BB85" s="230">
        <v>2573900</v>
      </c>
      <c r="BC85" s="229">
        <v>1.0885</v>
      </c>
      <c r="BD85" s="230">
        <v>197400</v>
      </c>
      <c r="BE85" s="230">
        <v>63000</v>
      </c>
      <c r="BF85" s="230">
        <v>134400</v>
      </c>
      <c r="BG85" s="229">
        <v>2.1333000000000002</v>
      </c>
      <c r="BH85" s="230">
        <v>51583700</v>
      </c>
      <c r="BI85" s="230">
        <v>27953100</v>
      </c>
      <c r="BJ85" s="230">
        <v>23630600</v>
      </c>
      <c r="BK85" s="229">
        <v>0.84540000000000004</v>
      </c>
      <c r="BL85" s="230">
        <v>39176900</v>
      </c>
      <c r="BM85" s="230">
        <v>19422200</v>
      </c>
      <c r="BN85" s="230">
        <v>19754700</v>
      </c>
      <c r="BO85" s="229">
        <v>1.0170999999999999</v>
      </c>
      <c r="BP85" s="230">
        <v>106170400</v>
      </c>
      <c r="BQ85" s="230">
        <v>58455600</v>
      </c>
      <c r="BR85" s="230">
        <v>47714800</v>
      </c>
      <c r="BS85" s="229">
        <v>0.81630000000000003</v>
      </c>
      <c r="BT85" s="230">
        <v>9787109</v>
      </c>
      <c r="BU85" s="230">
        <v>12478183</v>
      </c>
      <c r="BV85" s="230">
        <v>-2691074</v>
      </c>
      <c r="BW85" s="229">
        <v>-0.2157</v>
      </c>
      <c r="BX85" s="230">
        <v>120298500</v>
      </c>
      <c r="BY85" s="230">
        <v>118242600</v>
      </c>
      <c r="BZ85" s="230">
        <v>2055900</v>
      </c>
      <c r="CA85" s="229">
        <v>1.7399999999999999E-2</v>
      </c>
      <c r="CB85" s="230">
        <v>100984800</v>
      </c>
      <c r="CC85" s="230">
        <v>103269600</v>
      </c>
      <c r="CD85" s="230">
        <v>-2284800</v>
      </c>
      <c r="CE85" s="229">
        <v>-2.2100000000000002E-2</v>
      </c>
      <c r="CF85" s="230">
        <v>18314800</v>
      </c>
      <c r="CG85" s="230">
        <v>14086100</v>
      </c>
      <c r="CH85" s="230">
        <v>4228700</v>
      </c>
      <c r="CI85" s="229">
        <v>0.30020000000000002</v>
      </c>
      <c r="CJ85" s="230">
        <v>998900</v>
      </c>
      <c r="CK85" s="230">
        <v>886900</v>
      </c>
      <c r="CL85" s="230">
        <v>112000</v>
      </c>
      <c r="CM85" s="229">
        <v>0.1263</v>
      </c>
      <c r="CN85" s="230">
        <v>41790700</v>
      </c>
      <c r="CO85" s="230">
        <v>36829800</v>
      </c>
      <c r="CP85" s="230">
        <v>4960900</v>
      </c>
      <c r="CQ85" s="229">
        <v>0.13469999999999999</v>
      </c>
      <c r="CR85" s="230">
        <v>24943100</v>
      </c>
      <c r="CS85" s="230">
        <v>23776200</v>
      </c>
      <c r="CT85" s="230">
        <v>1166900</v>
      </c>
      <c r="CU85" s="229">
        <v>4.9099999999999998E-2</v>
      </c>
      <c r="CV85" s="230">
        <v>187032300</v>
      </c>
      <c r="CW85" s="230">
        <v>178848600</v>
      </c>
      <c r="CX85" s="230">
        <v>8183700</v>
      </c>
      <c r="CY85" s="229">
        <v>4.58E-2</v>
      </c>
      <c r="CZ85" s="228">
        <v>15.35</v>
      </c>
      <c r="DA85" s="228">
        <v>14.59</v>
      </c>
      <c r="DB85" s="228">
        <v>0.76</v>
      </c>
      <c r="DC85" s="228">
        <v>0.76</v>
      </c>
      <c r="DD85" s="228">
        <v>20.5</v>
      </c>
      <c r="DE85" s="228">
        <v>20.5</v>
      </c>
      <c r="DF85" s="228">
        <v>-5.15</v>
      </c>
      <c r="DG85" s="228">
        <v>0</v>
      </c>
      <c r="DH85" s="228">
        <v>15.43</v>
      </c>
      <c r="DI85" s="228">
        <v>14.57</v>
      </c>
      <c r="DJ85" s="228">
        <v>0.86</v>
      </c>
      <c r="DK85" s="228">
        <v>0.86</v>
      </c>
      <c r="DL85" s="228">
        <v>15.25</v>
      </c>
      <c r="DM85" s="228">
        <v>14.63</v>
      </c>
      <c r="DN85" s="228">
        <v>0.62</v>
      </c>
      <c r="DO85" s="228">
        <v>0.62</v>
      </c>
      <c r="DP85" s="228">
        <v>0.6</v>
      </c>
      <c r="DQ85" s="228">
        <v>0.65</v>
      </c>
      <c r="DR85" s="228">
        <v>-0.05</v>
      </c>
      <c r="DS85" s="229">
        <v>-7.6899999999999996E-2</v>
      </c>
      <c r="DT85" s="231">
        <v>1400</v>
      </c>
      <c r="DU85" s="231">
        <v>1400</v>
      </c>
      <c r="DV85" s="228">
        <v>0.76</v>
      </c>
      <c r="DW85" s="228">
        <v>0.69</v>
      </c>
      <c r="DX85" s="228">
        <v>7.0000000000000007E-2</v>
      </c>
      <c r="DY85" s="229">
        <v>0.1014</v>
      </c>
      <c r="DZ85" s="229">
        <v>0.1605</v>
      </c>
      <c r="EA85" s="230">
        <v>14973000</v>
      </c>
      <c r="EB85" s="229">
        <v>6.1999999999999998E-3</v>
      </c>
      <c r="EC85" s="229">
        <v>0.1605</v>
      </c>
      <c r="ED85" s="228">
        <v>7.87</v>
      </c>
      <c r="EE85" s="229">
        <v>5.7999999999999996E-3</v>
      </c>
      <c r="EF85" s="230">
        <v>5870069</v>
      </c>
      <c r="EG85" s="230">
        <v>5477566</v>
      </c>
      <c r="EH85" s="229">
        <v>7.17E-2</v>
      </c>
      <c r="EI85" s="229">
        <v>0.5998</v>
      </c>
      <c r="EJ85" s="231">
        <v>717699.17</v>
      </c>
      <c r="EK85" s="231">
        <v>528119.1</v>
      </c>
      <c r="EL85" s="231">
        <v>209132.03</v>
      </c>
      <c r="EM85" s="231">
        <v>12452</v>
      </c>
      <c r="EN85" s="231">
        <v>1454950.3</v>
      </c>
      <c r="EO85" s="231">
        <v>805318.66</v>
      </c>
      <c r="EP85" s="231">
        <v>649631.64</v>
      </c>
      <c r="EQ85" s="229">
        <v>0.80669999999999997</v>
      </c>
      <c r="ER85" s="231">
        <v>584906</v>
      </c>
      <c r="ES85" s="231">
        <v>337655</v>
      </c>
      <c r="ET85" s="231">
        <v>1633548</v>
      </c>
      <c r="EU85" s="231">
        <v>579785172</v>
      </c>
      <c r="EV85" s="231">
        <v>2556109</v>
      </c>
      <c r="EW85" s="231">
        <v>2461010</v>
      </c>
      <c r="EX85" s="231">
        <v>95099</v>
      </c>
      <c r="EY85" s="229">
        <v>3.8600000000000002E-2</v>
      </c>
      <c r="EZ85" s="229">
        <v>0.3226</v>
      </c>
      <c r="FA85" s="227" t="s">
        <v>567</v>
      </c>
      <c r="FB85" s="161">
        <f t="shared" si="1"/>
        <v>19313700</v>
      </c>
    </row>
    <row r="86" spans="1:158" ht="17.25" hidden="1" thickBot="1" x14ac:dyDescent="0.3">
      <c r="A86" s="226">
        <v>46008</v>
      </c>
      <c r="B86" s="227" t="s">
        <v>175</v>
      </c>
      <c r="C86" s="227" t="s">
        <v>472</v>
      </c>
      <c r="D86" s="228">
        <v>325</v>
      </c>
      <c r="E86" s="231">
        <v>1947.1</v>
      </c>
      <c r="F86" s="231">
        <v>1952.6</v>
      </c>
      <c r="G86" s="228">
        <v>-5.5</v>
      </c>
      <c r="H86" s="229">
        <v>-2.8E-3</v>
      </c>
      <c r="I86" s="231">
        <v>1947</v>
      </c>
      <c r="J86" s="231">
        <v>1951.2</v>
      </c>
      <c r="K86" s="228">
        <v>-4.2</v>
      </c>
      <c r="L86" s="229">
        <v>-2.2000000000000001E-3</v>
      </c>
      <c r="M86" s="231">
        <v>1947.1</v>
      </c>
      <c r="N86" s="231">
        <v>1952.6</v>
      </c>
      <c r="O86" s="228">
        <v>-5.5</v>
      </c>
      <c r="P86" s="229">
        <v>-2.8E-3</v>
      </c>
      <c r="Q86" s="231">
        <v>1957.1</v>
      </c>
      <c r="R86" s="231">
        <v>1963.2</v>
      </c>
      <c r="S86" s="228">
        <v>-6.1</v>
      </c>
      <c r="T86" s="229">
        <v>-3.0999999999999999E-3</v>
      </c>
      <c r="U86" s="231">
        <v>1978.1</v>
      </c>
      <c r="V86" s="231">
        <v>1978.1</v>
      </c>
      <c r="W86" s="228">
        <v>0</v>
      </c>
      <c r="X86" s="229">
        <v>0</v>
      </c>
      <c r="Y86" s="228">
        <v>0.1</v>
      </c>
      <c r="Z86" s="228">
        <v>1.4</v>
      </c>
      <c r="AA86" s="228">
        <v>-1.3</v>
      </c>
      <c r="AB86" s="229">
        <v>1E-4</v>
      </c>
      <c r="AC86" s="228">
        <v>0.1</v>
      </c>
      <c r="AD86" s="228">
        <v>1.4</v>
      </c>
      <c r="AE86" s="228">
        <v>-1.3</v>
      </c>
      <c r="AF86" s="229">
        <v>1E-4</v>
      </c>
      <c r="AG86" s="228">
        <v>10.1</v>
      </c>
      <c r="AH86" s="228">
        <v>12</v>
      </c>
      <c r="AI86" s="228">
        <v>-1.9</v>
      </c>
      <c r="AJ86" s="229">
        <v>5.1999999999999998E-3</v>
      </c>
      <c r="AK86" s="228">
        <v>31.1</v>
      </c>
      <c r="AL86" s="228">
        <v>26.9</v>
      </c>
      <c r="AM86" s="228">
        <v>4.2</v>
      </c>
      <c r="AN86" s="229">
        <v>1.6E-2</v>
      </c>
      <c r="AO86" s="231">
        <v>1945.73</v>
      </c>
      <c r="AP86" s="231">
        <v>1958.08</v>
      </c>
      <c r="AQ86" s="228">
        <v>0</v>
      </c>
      <c r="AR86" s="230">
        <v>664625</v>
      </c>
      <c r="AS86" s="230">
        <v>537550</v>
      </c>
      <c r="AT86" s="230">
        <v>127075</v>
      </c>
      <c r="AU86" s="229">
        <v>0.2364</v>
      </c>
      <c r="AV86" s="230">
        <v>591175</v>
      </c>
      <c r="AW86" s="230">
        <v>494000</v>
      </c>
      <c r="AX86" s="230">
        <v>97175</v>
      </c>
      <c r="AY86" s="229">
        <v>0.19670000000000001</v>
      </c>
      <c r="AZ86" s="230">
        <v>73450</v>
      </c>
      <c r="BA86" s="230">
        <v>42900</v>
      </c>
      <c r="BB86" s="230">
        <v>30550</v>
      </c>
      <c r="BC86" s="229">
        <v>0.71209999999999996</v>
      </c>
      <c r="BD86" s="228">
        <v>0</v>
      </c>
      <c r="BE86" s="228">
        <v>650</v>
      </c>
      <c r="BF86" s="228">
        <v>-650</v>
      </c>
      <c r="BG86" s="229">
        <v>-1</v>
      </c>
      <c r="BH86" s="230">
        <v>792350</v>
      </c>
      <c r="BI86" s="230">
        <v>930800</v>
      </c>
      <c r="BJ86" s="230">
        <v>-138450</v>
      </c>
      <c r="BK86" s="229">
        <v>-0.1487</v>
      </c>
      <c r="BL86" s="230">
        <v>250575</v>
      </c>
      <c r="BM86" s="230">
        <v>434200</v>
      </c>
      <c r="BN86" s="230">
        <v>-183625</v>
      </c>
      <c r="BO86" s="229">
        <v>-0.4229</v>
      </c>
      <c r="BP86" s="230">
        <v>1707550</v>
      </c>
      <c r="BQ86" s="230">
        <v>1902550</v>
      </c>
      <c r="BR86" s="230">
        <v>-195000</v>
      </c>
      <c r="BS86" s="229">
        <v>-0.10249999999999999</v>
      </c>
      <c r="BT86" s="230">
        <v>596109</v>
      </c>
      <c r="BU86" s="230">
        <v>456800</v>
      </c>
      <c r="BV86" s="230">
        <v>139309</v>
      </c>
      <c r="BW86" s="229">
        <v>0.30499999999999999</v>
      </c>
      <c r="BX86" s="230">
        <v>5715775</v>
      </c>
      <c r="BY86" s="230">
        <v>5826600</v>
      </c>
      <c r="BZ86" s="230">
        <v>-110825</v>
      </c>
      <c r="CA86" s="229">
        <v>-1.9E-2</v>
      </c>
      <c r="CB86" s="230">
        <v>5585450</v>
      </c>
      <c r="CC86" s="230">
        <v>5731700</v>
      </c>
      <c r="CD86" s="230">
        <v>-146250</v>
      </c>
      <c r="CE86" s="229">
        <v>-2.5499999999999998E-2</v>
      </c>
      <c r="CF86" s="230">
        <v>125125</v>
      </c>
      <c r="CG86" s="230">
        <v>89700</v>
      </c>
      <c r="CH86" s="230">
        <v>35425</v>
      </c>
      <c r="CI86" s="229">
        <v>0.39489999999999997</v>
      </c>
      <c r="CJ86" s="230">
        <v>5200</v>
      </c>
      <c r="CK86" s="230">
        <v>5200</v>
      </c>
      <c r="CL86" s="228">
        <v>0</v>
      </c>
      <c r="CM86" s="229">
        <v>0</v>
      </c>
      <c r="CN86" s="230">
        <v>1993550</v>
      </c>
      <c r="CO86" s="230">
        <v>1816100</v>
      </c>
      <c r="CP86" s="230">
        <v>177450</v>
      </c>
      <c r="CQ86" s="229">
        <v>9.7699999999999995E-2</v>
      </c>
      <c r="CR86" s="230">
        <v>1041300</v>
      </c>
      <c r="CS86" s="230">
        <v>1028625</v>
      </c>
      <c r="CT86" s="230">
        <v>12675</v>
      </c>
      <c r="CU86" s="229">
        <v>1.23E-2</v>
      </c>
      <c r="CV86" s="230">
        <v>8750625</v>
      </c>
      <c r="CW86" s="230">
        <v>8671325</v>
      </c>
      <c r="CX86" s="230">
        <v>79300</v>
      </c>
      <c r="CY86" s="229">
        <v>9.1000000000000004E-3</v>
      </c>
      <c r="CZ86" s="228">
        <v>20.71</v>
      </c>
      <c r="DA86" s="228">
        <v>19.71</v>
      </c>
      <c r="DB86" s="228">
        <v>1</v>
      </c>
      <c r="DC86" s="228">
        <v>1</v>
      </c>
      <c r="DD86" s="228">
        <v>28.3</v>
      </c>
      <c r="DE86" s="228">
        <v>28.37</v>
      </c>
      <c r="DF86" s="228">
        <v>-7.59</v>
      </c>
      <c r="DG86" s="228">
        <v>-7.0000000000000007E-2</v>
      </c>
      <c r="DH86" s="228">
        <v>21.04</v>
      </c>
      <c r="DI86" s="228">
        <v>20.27</v>
      </c>
      <c r="DJ86" s="228">
        <v>0.77</v>
      </c>
      <c r="DK86" s="228">
        <v>0.77</v>
      </c>
      <c r="DL86" s="228">
        <v>19.649999999999999</v>
      </c>
      <c r="DM86" s="228">
        <v>18.5</v>
      </c>
      <c r="DN86" s="228">
        <v>1.1499999999999999</v>
      </c>
      <c r="DO86" s="228">
        <v>1.1499999999999999</v>
      </c>
      <c r="DP86" s="228">
        <v>0.52</v>
      </c>
      <c r="DQ86" s="228">
        <v>0.56999999999999995</v>
      </c>
      <c r="DR86" s="228">
        <v>-0.05</v>
      </c>
      <c r="DS86" s="229">
        <v>-8.77E-2</v>
      </c>
      <c r="DT86" s="231">
        <v>2040</v>
      </c>
      <c r="DU86" s="231">
        <v>1900</v>
      </c>
      <c r="DV86" s="228">
        <v>0.32</v>
      </c>
      <c r="DW86" s="228">
        <v>0.47</v>
      </c>
      <c r="DX86" s="228">
        <v>-0.15</v>
      </c>
      <c r="DY86" s="229">
        <v>-0.31909999999999999</v>
      </c>
      <c r="DZ86" s="229">
        <v>2.2800000000000001E-2</v>
      </c>
      <c r="EA86" s="230">
        <v>94900</v>
      </c>
      <c r="EB86" s="229">
        <v>5.1000000000000004E-3</v>
      </c>
      <c r="EC86" s="229">
        <v>2.2800000000000001E-2</v>
      </c>
      <c r="ED86" s="228">
        <v>12.35</v>
      </c>
      <c r="EE86" s="229">
        <v>6.3E-3</v>
      </c>
      <c r="EF86" s="230">
        <v>391691</v>
      </c>
      <c r="EG86" s="230">
        <v>303806</v>
      </c>
      <c r="EH86" s="229">
        <v>0.2893</v>
      </c>
      <c r="EI86" s="229">
        <v>0.65710000000000002</v>
      </c>
      <c r="EJ86" s="231">
        <v>16208.21</v>
      </c>
      <c r="EK86" s="231">
        <v>4790.84</v>
      </c>
      <c r="EL86" s="231">
        <v>12940.85</v>
      </c>
      <c r="EM86" s="231">
        <v>1248</v>
      </c>
      <c r="EN86" s="231">
        <v>33939.9</v>
      </c>
      <c r="EO86" s="231">
        <v>38030.43</v>
      </c>
      <c r="EP86" s="231">
        <v>-4090.53</v>
      </c>
      <c r="EQ86" s="229">
        <v>-0.1076</v>
      </c>
      <c r="ER86" s="231">
        <v>41296</v>
      </c>
      <c r="ES86" s="231">
        <v>19890</v>
      </c>
      <c r="ET86" s="231">
        <v>111306</v>
      </c>
      <c r="EU86" s="231">
        <v>26688038</v>
      </c>
      <c r="EV86" s="231">
        <v>172492</v>
      </c>
      <c r="EW86" s="231">
        <v>171157</v>
      </c>
      <c r="EX86" s="231">
        <v>1335</v>
      </c>
      <c r="EY86" s="229">
        <v>7.7999999999999996E-3</v>
      </c>
      <c r="EZ86" s="229">
        <v>0.32790000000000002</v>
      </c>
      <c r="FA86" s="227" t="s">
        <v>568</v>
      </c>
      <c r="FB86" s="161">
        <f t="shared" si="1"/>
        <v>130325</v>
      </c>
    </row>
    <row r="87" spans="1:158" ht="17.25" hidden="1" thickBot="1" x14ac:dyDescent="0.3">
      <c r="A87" s="226">
        <v>46008</v>
      </c>
      <c r="B87" s="227" t="s">
        <v>175</v>
      </c>
      <c r="C87" s="227" t="s">
        <v>233</v>
      </c>
      <c r="D87" s="228">
        <v>925</v>
      </c>
      <c r="E87" s="228">
        <v>631.20000000000005</v>
      </c>
      <c r="F87" s="228">
        <v>639.9</v>
      </c>
      <c r="G87" s="228">
        <v>-8.6999999999999993</v>
      </c>
      <c r="H87" s="229">
        <v>-1.3599999999999999E-2</v>
      </c>
      <c r="I87" s="228">
        <v>630.5</v>
      </c>
      <c r="J87" s="228">
        <v>637.95000000000005</v>
      </c>
      <c r="K87" s="228">
        <v>-7.45</v>
      </c>
      <c r="L87" s="229">
        <v>-1.17E-2</v>
      </c>
      <c r="M87" s="228">
        <v>631.20000000000005</v>
      </c>
      <c r="N87" s="228">
        <v>639.9</v>
      </c>
      <c r="O87" s="228">
        <v>-8.6999999999999993</v>
      </c>
      <c r="P87" s="229">
        <v>-1.3599999999999999E-2</v>
      </c>
      <c r="Q87" s="228">
        <v>634.85</v>
      </c>
      <c r="R87" s="228">
        <v>643.85</v>
      </c>
      <c r="S87" s="228">
        <v>-9</v>
      </c>
      <c r="T87" s="229">
        <v>-1.4E-2</v>
      </c>
      <c r="U87" s="228">
        <v>636.65</v>
      </c>
      <c r="V87" s="228">
        <v>648</v>
      </c>
      <c r="W87" s="228">
        <v>-11.35</v>
      </c>
      <c r="X87" s="229">
        <v>-1.7500000000000002E-2</v>
      </c>
      <c r="Y87" s="228">
        <v>0.7</v>
      </c>
      <c r="Z87" s="228">
        <v>1.95</v>
      </c>
      <c r="AA87" s="228">
        <v>-1.25</v>
      </c>
      <c r="AB87" s="229">
        <v>1.1000000000000001E-3</v>
      </c>
      <c r="AC87" s="228">
        <v>0.7</v>
      </c>
      <c r="AD87" s="228">
        <v>1.95</v>
      </c>
      <c r="AE87" s="228">
        <v>-1.25</v>
      </c>
      <c r="AF87" s="229">
        <v>1.1000000000000001E-3</v>
      </c>
      <c r="AG87" s="228">
        <v>4.3499999999999996</v>
      </c>
      <c r="AH87" s="228">
        <v>5.9</v>
      </c>
      <c r="AI87" s="228">
        <v>-1.55</v>
      </c>
      <c r="AJ87" s="229">
        <v>6.8999999999999999E-3</v>
      </c>
      <c r="AK87" s="228">
        <v>6.15</v>
      </c>
      <c r="AL87" s="228">
        <v>10.050000000000001</v>
      </c>
      <c r="AM87" s="228">
        <v>-3.9</v>
      </c>
      <c r="AN87" s="229">
        <v>9.7999999999999997E-3</v>
      </c>
      <c r="AO87" s="228">
        <v>634.14</v>
      </c>
      <c r="AP87" s="228">
        <v>637.57000000000005</v>
      </c>
      <c r="AQ87" s="228">
        <v>0</v>
      </c>
      <c r="AR87" s="230">
        <v>1507750</v>
      </c>
      <c r="AS87" s="230">
        <v>2412400</v>
      </c>
      <c r="AT87" s="230">
        <v>-904650</v>
      </c>
      <c r="AU87" s="229">
        <v>-0.375</v>
      </c>
      <c r="AV87" s="230">
        <v>1389350</v>
      </c>
      <c r="AW87" s="230">
        <v>2198725</v>
      </c>
      <c r="AX87" s="230">
        <v>-809375</v>
      </c>
      <c r="AY87" s="229">
        <v>-0.36809999999999998</v>
      </c>
      <c r="AZ87" s="230">
        <v>114700</v>
      </c>
      <c r="BA87" s="230">
        <v>208125</v>
      </c>
      <c r="BB87" s="230">
        <v>-93425</v>
      </c>
      <c r="BC87" s="229">
        <v>-0.44890000000000002</v>
      </c>
      <c r="BD87" s="230">
        <v>3700</v>
      </c>
      <c r="BE87" s="230">
        <v>5550</v>
      </c>
      <c r="BF87" s="230">
        <v>-1850</v>
      </c>
      <c r="BG87" s="229">
        <v>-0.33329999999999999</v>
      </c>
      <c r="BH87" s="230">
        <v>3059900</v>
      </c>
      <c r="BI87" s="230">
        <v>6075400</v>
      </c>
      <c r="BJ87" s="230">
        <v>-3015500</v>
      </c>
      <c r="BK87" s="229">
        <v>-0.49630000000000002</v>
      </c>
      <c r="BL87" s="230">
        <v>1189550</v>
      </c>
      <c r="BM87" s="230">
        <v>1492950</v>
      </c>
      <c r="BN87" s="230">
        <v>-303400</v>
      </c>
      <c r="BO87" s="229">
        <v>-0.20319999999999999</v>
      </c>
      <c r="BP87" s="230">
        <v>5757200</v>
      </c>
      <c r="BQ87" s="230">
        <v>9980750</v>
      </c>
      <c r="BR87" s="230">
        <v>-4223550</v>
      </c>
      <c r="BS87" s="229">
        <v>-0.42320000000000002</v>
      </c>
      <c r="BT87" s="230">
        <v>385584</v>
      </c>
      <c r="BU87" s="230">
        <v>2382253</v>
      </c>
      <c r="BV87" s="230">
        <v>-1996669</v>
      </c>
      <c r="BW87" s="229">
        <v>-0.83809999999999996</v>
      </c>
      <c r="BX87" s="230">
        <v>16427075</v>
      </c>
      <c r="BY87" s="230">
        <v>16450200</v>
      </c>
      <c r="BZ87" s="230">
        <v>-23125</v>
      </c>
      <c r="CA87" s="229">
        <v>-1.4E-3</v>
      </c>
      <c r="CB87" s="230">
        <v>15971050</v>
      </c>
      <c r="CC87" s="230">
        <v>16042275</v>
      </c>
      <c r="CD87" s="230">
        <v>-71225</v>
      </c>
      <c r="CE87" s="229">
        <v>-4.4000000000000003E-3</v>
      </c>
      <c r="CF87" s="230">
        <v>422725</v>
      </c>
      <c r="CG87" s="230">
        <v>373700</v>
      </c>
      <c r="CH87" s="230">
        <v>49025</v>
      </c>
      <c r="CI87" s="229">
        <v>0.13120000000000001</v>
      </c>
      <c r="CJ87" s="230">
        <v>33300</v>
      </c>
      <c r="CK87" s="230">
        <v>34225</v>
      </c>
      <c r="CL87" s="228">
        <v>-925</v>
      </c>
      <c r="CM87" s="229">
        <v>-2.7E-2</v>
      </c>
      <c r="CN87" s="230">
        <v>4688825</v>
      </c>
      <c r="CO87" s="230">
        <v>4590775</v>
      </c>
      <c r="CP87" s="230">
        <v>98050</v>
      </c>
      <c r="CQ87" s="229">
        <v>2.1399999999999999E-2</v>
      </c>
      <c r="CR87" s="230">
        <v>2137675</v>
      </c>
      <c r="CS87" s="230">
        <v>2249600</v>
      </c>
      <c r="CT87" s="230">
        <v>-111925</v>
      </c>
      <c r="CU87" s="229">
        <v>-4.9799999999999997E-2</v>
      </c>
      <c r="CV87" s="230">
        <v>23253575</v>
      </c>
      <c r="CW87" s="230">
        <v>23290575</v>
      </c>
      <c r="CX87" s="230">
        <v>-37000</v>
      </c>
      <c r="CY87" s="229">
        <v>-1.6000000000000001E-3</v>
      </c>
      <c r="CZ87" s="228">
        <v>21.92</v>
      </c>
      <c r="DA87" s="228">
        <v>22.33</v>
      </c>
      <c r="DB87" s="228">
        <v>-0.41</v>
      </c>
      <c r="DC87" s="228">
        <v>-0.41</v>
      </c>
      <c r="DD87" s="228">
        <v>27.3</v>
      </c>
      <c r="DE87" s="228">
        <v>27.3</v>
      </c>
      <c r="DF87" s="228">
        <v>-5.38</v>
      </c>
      <c r="DG87" s="228">
        <v>0</v>
      </c>
      <c r="DH87" s="228">
        <v>22.38</v>
      </c>
      <c r="DI87" s="228">
        <v>22.59</v>
      </c>
      <c r="DJ87" s="228">
        <v>-0.21</v>
      </c>
      <c r="DK87" s="228">
        <v>-0.21</v>
      </c>
      <c r="DL87" s="228">
        <v>20.72</v>
      </c>
      <c r="DM87" s="228">
        <v>21.28</v>
      </c>
      <c r="DN87" s="228">
        <v>-0.56000000000000005</v>
      </c>
      <c r="DO87" s="228">
        <v>-0.56000000000000005</v>
      </c>
      <c r="DP87" s="228">
        <v>0.46</v>
      </c>
      <c r="DQ87" s="228">
        <v>0.49</v>
      </c>
      <c r="DR87" s="228">
        <v>-0.03</v>
      </c>
      <c r="DS87" s="229">
        <v>-6.1199999999999997E-2</v>
      </c>
      <c r="DT87" s="228">
        <v>630</v>
      </c>
      <c r="DU87" s="228">
        <v>590</v>
      </c>
      <c r="DV87" s="228">
        <v>0.39</v>
      </c>
      <c r="DW87" s="228">
        <v>0.25</v>
      </c>
      <c r="DX87" s="228">
        <v>0.14000000000000001</v>
      </c>
      <c r="DY87" s="229">
        <v>0.56000000000000005</v>
      </c>
      <c r="DZ87" s="229">
        <v>2.7799999999999998E-2</v>
      </c>
      <c r="EA87" s="230">
        <v>407925</v>
      </c>
      <c r="EB87" s="229">
        <v>5.7999999999999996E-3</v>
      </c>
      <c r="EC87" s="229">
        <v>2.7799999999999998E-2</v>
      </c>
      <c r="ED87" s="228">
        <v>3.43</v>
      </c>
      <c r="EE87" s="229">
        <v>5.4000000000000003E-3</v>
      </c>
      <c r="EF87" s="230">
        <v>174652</v>
      </c>
      <c r="EG87" s="230">
        <v>1728185</v>
      </c>
      <c r="EH87" s="229">
        <v>-0.89890000000000003</v>
      </c>
      <c r="EI87" s="229">
        <v>0.45300000000000001</v>
      </c>
      <c r="EJ87" s="231">
        <v>20329.18</v>
      </c>
      <c r="EK87" s="231">
        <v>7500.65</v>
      </c>
      <c r="EL87" s="231">
        <v>9565.44</v>
      </c>
      <c r="EM87" s="231">
        <v>2576</v>
      </c>
      <c r="EN87" s="231">
        <v>37395.269999999997</v>
      </c>
      <c r="EO87" s="231">
        <v>65823.56</v>
      </c>
      <c r="EP87" s="231">
        <v>-28428.29</v>
      </c>
      <c r="EQ87" s="229">
        <v>-0.43190000000000001</v>
      </c>
      <c r="ER87" s="231">
        <v>31076</v>
      </c>
      <c r="ES87" s="231">
        <v>12989</v>
      </c>
      <c r="ET87" s="231">
        <v>103705</v>
      </c>
      <c r="EU87" s="231">
        <v>48653643</v>
      </c>
      <c r="EV87" s="231">
        <v>147771</v>
      </c>
      <c r="EW87" s="231">
        <v>149360</v>
      </c>
      <c r="EX87" s="231">
        <v>-1589</v>
      </c>
      <c r="EY87" s="229">
        <v>-1.06E-2</v>
      </c>
      <c r="EZ87" s="229">
        <v>0.47789999999999999</v>
      </c>
      <c r="FA87" s="227" t="s">
        <v>568</v>
      </c>
      <c r="FB87" s="161">
        <f t="shared" si="1"/>
        <v>456025</v>
      </c>
    </row>
    <row r="88" spans="1:158" ht="17.25" hidden="1" thickBot="1" x14ac:dyDescent="0.3">
      <c r="A88" s="226">
        <v>46008</v>
      </c>
      <c r="B88" s="227" t="s">
        <v>188</v>
      </c>
      <c r="C88" s="227" t="s">
        <v>234</v>
      </c>
      <c r="D88" s="228">
        <v>71475</v>
      </c>
      <c r="E88" s="228">
        <v>11.17</v>
      </c>
      <c r="F88" s="228">
        <v>11.29</v>
      </c>
      <c r="G88" s="228">
        <v>-0.12</v>
      </c>
      <c r="H88" s="229">
        <v>-1.06E-2</v>
      </c>
      <c r="I88" s="228">
        <v>11.13</v>
      </c>
      <c r="J88" s="228">
        <v>11.25</v>
      </c>
      <c r="K88" s="228">
        <v>-0.12</v>
      </c>
      <c r="L88" s="229">
        <v>-1.0699999999999999E-2</v>
      </c>
      <c r="M88" s="228">
        <v>11.17</v>
      </c>
      <c r="N88" s="228">
        <v>11.29</v>
      </c>
      <c r="O88" s="228">
        <v>-0.12</v>
      </c>
      <c r="P88" s="229">
        <v>-1.06E-2</v>
      </c>
      <c r="Q88" s="228">
        <v>11.24</v>
      </c>
      <c r="R88" s="228">
        <v>11.37</v>
      </c>
      <c r="S88" s="228">
        <v>-0.13</v>
      </c>
      <c r="T88" s="229">
        <v>-1.14E-2</v>
      </c>
      <c r="U88" s="228">
        <v>11.31</v>
      </c>
      <c r="V88" s="228">
        <v>11.45</v>
      </c>
      <c r="W88" s="228">
        <v>-0.14000000000000001</v>
      </c>
      <c r="X88" s="229">
        <v>-1.2200000000000001E-2</v>
      </c>
      <c r="Y88" s="228">
        <v>0.04</v>
      </c>
      <c r="Z88" s="228">
        <v>0.04</v>
      </c>
      <c r="AA88" s="228">
        <v>0</v>
      </c>
      <c r="AB88" s="229">
        <v>3.5999999999999999E-3</v>
      </c>
      <c r="AC88" s="228">
        <v>0.04</v>
      </c>
      <c r="AD88" s="228">
        <v>0.04</v>
      </c>
      <c r="AE88" s="228">
        <v>0</v>
      </c>
      <c r="AF88" s="229">
        <v>3.5999999999999999E-3</v>
      </c>
      <c r="AG88" s="228">
        <v>0.11</v>
      </c>
      <c r="AH88" s="228">
        <v>0.12</v>
      </c>
      <c r="AI88" s="228">
        <v>-0.01</v>
      </c>
      <c r="AJ88" s="229">
        <v>9.9000000000000008E-3</v>
      </c>
      <c r="AK88" s="228">
        <v>0.18</v>
      </c>
      <c r="AL88" s="228">
        <v>0.2</v>
      </c>
      <c r="AM88" s="228">
        <v>-0.02</v>
      </c>
      <c r="AN88" s="229">
        <v>1.6199999999999999E-2</v>
      </c>
      <c r="AO88" s="228">
        <v>11.26</v>
      </c>
      <c r="AP88" s="228">
        <v>11.32</v>
      </c>
      <c r="AQ88" s="228">
        <v>0</v>
      </c>
      <c r="AR88" s="230">
        <v>634555050</v>
      </c>
      <c r="AS88" s="230">
        <v>890292600</v>
      </c>
      <c r="AT88" s="230">
        <v>-255737550</v>
      </c>
      <c r="AU88" s="229">
        <v>-0.2873</v>
      </c>
      <c r="AV88" s="230">
        <v>485672625</v>
      </c>
      <c r="AW88" s="230">
        <v>675867600</v>
      </c>
      <c r="AX88" s="230">
        <v>-190194975</v>
      </c>
      <c r="AY88" s="229">
        <v>-0.28139999999999998</v>
      </c>
      <c r="AZ88" s="230">
        <v>131514000</v>
      </c>
      <c r="BA88" s="230">
        <v>180974700</v>
      </c>
      <c r="BB88" s="230">
        <v>-49460700</v>
      </c>
      <c r="BC88" s="229">
        <v>-0.27329999999999999</v>
      </c>
      <c r="BD88" s="230">
        <v>17368425</v>
      </c>
      <c r="BE88" s="230">
        <v>33450300</v>
      </c>
      <c r="BF88" s="230">
        <v>-16081875</v>
      </c>
      <c r="BG88" s="229">
        <v>-0.48080000000000001</v>
      </c>
      <c r="BH88" s="230">
        <v>2044542375</v>
      </c>
      <c r="BI88" s="230">
        <v>2432151300</v>
      </c>
      <c r="BJ88" s="230">
        <v>-387608925</v>
      </c>
      <c r="BK88" s="229">
        <v>-0.15939999999999999</v>
      </c>
      <c r="BL88" s="230">
        <v>532059900</v>
      </c>
      <c r="BM88" s="230">
        <v>964412175</v>
      </c>
      <c r="BN88" s="230">
        <v>-432352275</v>
      </c>
      <c r="BO88" s="229">
        <v>-0.44829999999999998</v>
      </c>
      <c r="BP88" s="230">
        <v>3211157325</v>
      </c>
      <c r="BQ88" s="230">
        <v>4286856075</v>
      </c>
      <c r="BR88" s="230">
        <v>-1075698750</v>
      </c>
      <c r="BS88" s="229">
        <v>-0.25090000000000001</v>
      </c>
      <c r="BT88" s="230">
        <v>682566568</v>
      </c>
      <c r="BU88" s="230">
        <v>769109329</v>
      </c>
      <c r="BV88" s="230">
        <v>-86542761</v>
      </c>
      <c r="BW88" s="229">
        <v>-0.1125</v>
      </c>
      <c r="BX88" s="230">
        <v>6943367400</v>
      </c>
      <c r="BY88" s="230">
        <v>6925856025</v>
      </c>
      <c r="BZ88" s="230">
        <v>17511375</v>
      </c>
      <c r="CA88" s="229">
        <v>2.5000000000000001E-3</v>
      </c>
      <c r="CB88" s="230">
        <v>5986746000</v>
      </c>
      <c r="CC88" s="230">
        <v>6006044250</v>
      </c>
      <c r="CD88" s="230">
        <v>-19298250</v>
      </c>
      <c r="CE88" s="229">
        <v>-3.2000000000000002E-3</v>
      </c>
      <c r="CF88" s="230">
        <v>838115850</v>
      </c>
      <c r="CG88" s="230">
        <v>806452425</v>
      </c>
      <c r="CH88" s="230">
        <v>31663425</v>
      </c>
      <c r="CI88" s="229">
        <v>3.9300000000000002E-2</v>
      </c>
      <c r="CJ88" s="230">
        <v>118505550</v>
      </c>
      <c r="CK88" s="230">
        <v>113359350</v>
      </c>
      <c r="CL88" s="230">
        <v>5146200</v>
      </c>
      <c r="CM88" s="229">
        <v>4.5400000000000003E-2</v>
      </c>
      <c r="CN88" s="230">
        <v>2342807550</v>
      </c>
      <c r="CO88" s="230">
        <v>2426290350</v>
      </c>
      <c r="CP88" s="230">
        <v>-83482800</v>
      </c>
      <c r="CQ88" s="229">
        <v>-3.44E-2</v>
      </c>
      <c r="CR88" s="230">
        <v>1346731950</v>
      </c>
      <c r="CS88" s="230">
        <v>1353807975</v>
      </c>
      <c r="CT88" s="230">
        <v>-7076025</v>
      </c>
      <c r="CU88" s="229">
        <v>-5.1999999999999998E-3</v>
      </c>
      <c r="CV88" s="230">
        <v>10632906900</v>
      </c>
      <c r="CW88" s="230">
        <v>10705954350</v>
      </c>
      <c r="CX88" s="230">
        <v>-73047450</v>
      </c>
      <c r="CY88" s="229">
        <v>-6.7999999999999996E-3</v>
      </c>
      <c r="CZ88" s="228">
        <v>57.42</v>
      </c>
      <c r="DA88" s="228">
        <v>61.35</v>
      </c>
      <c r="DB88" s="228">
        <v>-3.93</v>
      </c>
      <c r="DC88" s="228">
        <v>-3.93</v>
      </c>
      <c r="DD88" s="228">
        <v>67.45</v>
      </c>
      <c r="DE88" s="228">
        <v>67.61</v>
      </c>
      <c r="DF88" s="228">
        <v>-10.029999999999999</v>
      </c>
      <c r="DG88" s="228">
        <v>-0.16</v>
      </c>
      <c r="DH88" s="228">
        <v>58.52</v>
      </c>
      <c r="DI88" s="228">
        <v>63.52</v>
      </c>
      <c r="DJ88" s="228">
        <v>-5</v>
      </c>
      <c r="DK88" s="228">
        <v>-5</v>
      </c>
      <c r="DL88" s="228">
        <v>53.2</v>
      </c>
      <c r="DM88" s="228">
        <v>55.88</v>
      </c>
      <c r="DN88" s="228">
        <v>-2.68</v>
      </c>
      <c r="DO88" s="228">
        <v>-2.68</v>
      </c>
      <c r="DP88" s="228">
        <v>0.56999999999999995</v>
      </c>
      <c r="DQ88" s="228">
        <v>0.56000000000000005</v>
      </c>
      <c r="DR88" s="228">
        <v>0.01</v>
      </c>
      <c r="DS88" s="229">
        <v>1.7899999999999999E-2</v>
      </c>
      <c r="DT88" s="228">
        <v>11</v>
      </c>
      <c r="DU88" s="228">
        <v>10</v>
      </c>
      <c r="DV88" s="228">
        <v>0.26</v>
      </c>
      <c r="DW88" s="228">
        <v>0.4</v>
      </c>
      <c r="DX88" s="228">
        <v>-0.14000000000000001</v>
      </c>
      <c r="DY88" s="229">
        <v>-0.35</v>
      </c>
      <c r="DZ88" s="229">
        <v>0.13780000000000001</v>
      </c>
      <c r="EA88" s="230">
        <v>919811775</v>
      </c>
      <c r="EB88" s="229">
        <v>6.3E-3</v>
      </c>
      <c r="EC88" s="229">
        <v>0.13780000000000001</v>
      </c>
      <c r="ED88" s="228">
        <v>0.06</v>
      </c>
      <c r="EE88" s="229">
        <v>5.3E-3</v>
      </c>
      <c r="EF88" s="230">
        <v>117614606</v>
      </c>
      <c r="EG88" s="230">
        <v>150537808</v>
      </c>
      <c r="EH88" s="229">
        <v>-0.21870000000000001</v>
      </c>
      <c r="EI88" s="229">
        <v>0.17230000000000001</v>
      </c>
      <c r="EJ88" s="231">
        <v>261939.35</v>
      </c>
      <c r="EK88" s="231">
        <v>58257.85</v>
      </c>
      <c r="EL88" s="231">
        <v>71538.740000000005</v>
      </c>
      <c r="EM88" s="231">
        <v>16896</v>
      </c>
      <c r="EN88" s="231">
        <v>391735.94</v>
      </c>
      <c r="EO88" s="231">
        <v>519359.57</v>
      </c>
      <c r="EP88" s="231">
        <v>-127623.63</v>
      </c>
      <c r="EQ88" s="229">
        <v>-0.2457</v>
      </c>
      <c r="ER88" s="231">
        <v>290840</v>
      </c>
      <c r="ES88" s="231">
        <v>136205</v>
      </c>
      <c r="ET88" s="231">
        <v>776327</v>
      </c>
      <c r="EU88" s="231">
        <v>8713529091</v>
      </c>
      <c r="EV88" s="231">
        <v>1203372</v>
      </c>
      <c r="EW88" s="231">
        <v>1220363</v>
      </c>
      <c r="EX88" s="231">
        <v>-16991</v>
      </c>
      <c r="EY88" s="229">
        <v>-1.3899999999999999E-2</v>
      </c>
      <c r="EZ88" s="229">
        <v>1.2202999999999999</v>
      </c>
      <c r="FA88" s="227" t="s">
        <v>567</v>
      </c>
      <c r="FB88" s="161">
        <f t="shared" si="1"/>
        <v>956621400</v>
      </c>
    </row>
    <row r="89" spans="1:158" ht="17.25" hidden="1" thickBot="1" x14ac:dyDescent="0.3">
      <c r="A89" s="226">
        <v>46008</v>
      </c>
      <c r="B89" s="227" t="s">
        <v>172</v>
      </c>
      <c r="C89" s="227" t="s">
        <v>235</v>
      </c>
      <c r="D89" s="228">
        <v>9275</v>
      </c>
      <c r="E89" s="228">
        <v>84.01</v>
      </c>
      <c r="F89" s="228">
        <v>83.52</v>
      </c>
      <c r="G89" s="228">
        <v>0.49</v>
      </c>
      <c r="H89" s="229">
        <v>5.8999999999999999E-3</v>
      </c>
      <c r="I89" s="228">
        <v>83.95</v>
      </c>
      <c r="J89" s="228">
        <v>83.46</v>
      </c>
      <c r="K89" s="228">
        <v>0.49</v>
      </c>
      <c r="L89" s="229">
        <v>5.8999999999999999E-3</v>
      </c>
      <c r="M89" s="228">
        <v>84.01</v>
      </c>
      <c r="N89" s="228">
        <v>83.52</v>
      </c>
      <c r="O89" s="228">
        <v>0.49</v>
      </c>
      <c r="P89" s="229">
        <v>5.8999999999999999E-3</v>
      </c>
      <c r="Q89" s="228">
        <v>84.51</v>
      </c>
      <c r="R89" s="228">
        <v>84.08</v>
      </c>
      <c r="S89" s="228">
        <v>0.43</v>
      </c>
      <c r="T89" s="229">
        <v>5.1000000000000004E-3</v>
      </c>
      <c r="U89" s="228">
        <v>84.96</v>
      </c>
      <c r="V89" s="228">
        <v>84.45</v>
      </c>
      <c r="W89" s="228">
        <v>0.51</v>
      </c>
      <c r="X89" s="229">
        <v>6.0000000000000001E-3</v>
      </c>
      <c r="Y89" s="228">
        <v>0.06</v>
      </c>
      <c r="Z89" s="228">
        <v>0.06</v>
      </c>
      <c r="AA89" s="228">
        <v>0</v>
      </c>
      <c r="AB89" s="229">
        <v>6.9999999999999999E-4</v>
      </c>
      <c r="AC89" s="228">
        <v>0.06</v>
      </c>
      <c r="AD89" s="228">
        <v>0.06</v>
      </c>
      <c r="AE89" s="228">
        <v>0</v>
      </c>
      <c r="AF89" s="229">
        <v>6.9999999999999999E-4</v>
      </c>
      <c r="AG89" s="228">
        <v>0.56000000000000005</v>
      </c>
      <c r="AH89" s="228">
        <v>0.62</v>
      </c>
      <c r="AI89" s="228">
        <v>-0.06</v>
      </c>
      <c r="AJ89" s="229">
        <v>6.7000000000000002E-3</v>
      </c>
      <c r="AK89" s="228">
        <v>1.01</v>
      </c>
      <c r="AL89" s="228">
        <v>0.99</v>
      </c>
      <c r="AM89" s="228">
        <v>0.02</v>
      </c>
      <c r="AN89" s="229">
        <v>1.2E-2</v>
      </c>
      <c r="AO89" s="228">
        <v>83.74</v>
      </c>
      <c r="AP89" s="228">
        <v>84.24</v>
      </c>
      <c r="AQ89" s="228">
        <v>0</v>
      </c>
      <c r="AR89" s="230">
        <v>46375000</v>
      </c>
      <c r="AS89" s="230">
        <v>62161050</v>
      </c>
      <c r="AT89" s="230">
        <v>-15786050</v>
      </c>
      <c r="AU89" s="229">
        <v>-0.254</v>
      </c>
      <c r="AV89" s="230">
        <v>36311625</v>
      </c>
      <c r="AW89" s="230">
        <v>47506550</v>
      </c>
      <c r="AX89" s="230">
        <v>-11194925</v>
      </c>
      <c r="AY89" s="229">
        <v>-0.23569999999999999</v>
      </c>
      <c r="AZ89" s="230">
        <v>9618175</v>
      </c>
      <c r="BA89" s="230">
        <v>12651100</v>
      </c>
      <c r="BB89" s="230">
        <v>-3032925</v>
      </c>
      <c r="BC89" s="229">
        <v>-0.2397</v>
      </c>
      <c r="BD89" s="230">
        <v>445200</v>
      </c>
      <c r="BE89" s="230">
        <v>2003400</v>
      </c>
      <c r="BF89" s="230">
        <v>-1558200</v>
      </c>
      <c r="BG89" s="229">
        <v>-0.77780000000000005</v>
      </c>
      <c r="BH89" s="230">
        <v>81397400</v>
      </c>
      <c r="BI89" s="230">
        <v>102757725</v>
      </c>
      <c r="BJ89" s="230">
        <v>-21360325</v>
      </c>
      <c r="BK89" s="229">
        <v>-0.2079</v>
      </c>
      <c r="BL89" s="230">
        <v>39780475</v>
      </c>
      <c r="BM89" s="230">
        <v>53155025</v>
      </c>
      <c r="BN89" s="230">
        <v>-13374550</v>
      </c>
      <c r="BO89" s="229">
        <v>-0.25159999999999999</v>
      </c>
      <c r="BP89" s="230">
        <v>167552875</v>
      </c>
      <c r="BQ89" s="230">
        <v>218073800</v>
      </c>
      <c r="BR89" s="230">
        <v>-50520925</v>
      </c>
      <c r="BS89" s="229">
        <v>-0.23169999999999999</v>
      </c>
      <c r="BT89" s="230">
        <v>25213949</v>
      </c>
      <c r="BU89" s="230">
        <v>31404660</v>
      </c>
      <c r="BV89" s="230">
        <v>-6190711</v>
      </c>
      <c r="BW89" s="229">
        <v>-0.1971</v>
      </c>
      <c r="BX89" s="230">
        <v>352422175</v>
      </c>
      <c r="BY89" s="230">
        <v>352236675</v>
      </c>
      <c r="BZ89" s="230">
        <v>185500</v>
      </c>
      <c r="CA89" s="229">
        <v>5.0000000000000001E-4</v>
      </c>
      <c r="CB89" s="230">
        <v>302049650</v>
      </c>
      <c r="CC89" s="230">
        <v>305908050</v>
      </c>
      <c r="CD89" s="230">
        <v>-3858400</v>
      </c>
      <c r="CE89" s="229">
        <v>-1.26E-2</v>
      </c>
      <c r="CF89" s="230">
        <v>46430650</v>
      </c>
      <c r="CG89" s="230">
        <v>42368200</v>
      </c>
      <c r="CH89" s="230">
        <v>4062450</v>
      </c>
      <c r="CI89" s="229">
        <v>9.5899999999999999E-2</v>
      </c>
      <c r="CJ89" s="230">
        <v>3941875</v>
      </c>
      <c r="CK89" s="230">
        <v>3960425</v>
      </c>
      <c r="CL89" s="230">
        <v>-18550</v>
      </c>
      <c r="CM89" s="229">
        <v>-4.7000000000000002E-3</v>
      </c>
      <c r="CN89" s="230">
        <v>132613950</v>
      </c>
      <c r="CO89" s="230">
        <v>131556600</v>
      </c>
      <c r="CP89" s="230">
        <v>1057350</v>
      </c>
      <c r="CQ89" s="229">
        <v>8.0000000000000002E-3</v>
      </c>
      <c r="CR89" s="230">
        <v>95708725</v>
      </c>
      <c r="CS89" s="230">
        <v>95022375</v>
      </c>
      <c r="CT89" s="230">
        <v>686350</v>
      </c>
      <c r="CU89" s="229">
        <v>7.1999999999999998E-3</v>
      </c>
      <c r="CV89" s="230">
        <v>580744850</v>
      </c>
      <c r="CW89" s="230">
        <v>578815650</v>
      </c>
      <c r="CX89" s="230">
        <v>1929200</v>
      </c>
      <c r="CY89" s="229">
        <v>3.3E-3</v>
      </c>
      <c r="CZ89" s="228">
        <v>23.45</v>
      </c>
      <c r="DA89" s="228">
        <v>24.22</v>
      </c>
      <c r="DB89" s="228">
        <v>-0.77</v>
      </c>
      <c r="DC89" s="228">
        <v>-0.77</v>
      </c>
      <c r="DD89" s="228">
        <v>33.18</v>
      </c>
      <c r="DE89" s="228">
        <v>33.25</v>
      </c>
      <c r="DF89" s="228">
        <v>-9.73</v>
      </c>
      <c r="DG89" s="228">
        <v>-7.0000000000000007E-2</v>
      </c>
      <c r="DH89" s="228">
        <v>23.05</v>
      </c>
      <c r="DI89" s="228">
        <v>23.97</v>
      </c>
      <c r="DJ89" s="228">
        <v>-0.92</v>
      </c>
      <c r="DK89" s="228">
        <v>-0.92</v>
      </c>
      <c r="DL89" s="228">
        <v>24.28</v>
      </c>
      <c r="DM89" s="228">
        <v>24.68</v>
      </c>
      <c r="DN89" s="228">
        <v>-0.4</v>
      </c>
      <c r="DO89" s="228">
        <v>-0.4</v>
      </c>
      <c r="DP89" s="228">
        <v>0.72</v>
      </c>
      <c r="DQ89" s="228">
        <v>0.72</v>
      </c>
      <c r="DR89" s="228">
        <v>0</v>
      </c>
      <c r="DS89" s="229">
        <v>0</v>
      </c>
      <c r="DT89" s="228">
        <v>85</v>
      </c>
      <c r="DU89" s="228">
        <v>80</v>
      </c>
      <c r="DV89" s="228">
        <v>0.49</v>
      </c>
      <c r="DW89" s="228">
        <v>0.52</v>
      </c>
      <c r="DX89" s="228">
        <v>-0.03</v>
      </c>
      <c r="DY89" s="229">
        <v>-5.7700000000000001E-2</v>
      </c>
      <c r="DZ89" s="229">
        <v>0.1429</v>
      </c>
      <c r="EA89" s="230">
        <v>46328625</v>
      </c>
      <c r="EB89" s="229">
        <v>6.0000000000000001E-3</v>
      </c>
      <c r="EC89" s="229">
        <v>0.1429</v>
      </c>
      <c r="ED89" s="228">
        <v>0.5</v>
      </c>
      <c r="EE89" s="229">
        <v>6.0000000000000001E-3</v>
      </c>
      <c r="EF89" s="230">
        <v>16457265</v>
      </c>
      <c r="EG89" s="230">
        <v>20117481</v>
      </c>
      <c r="EH89" s="229">
        <v>-0.18190000000000001</v>
      </c>
      <c r="EI89" s="229">
        <v>0.65269999999999995</v>
      </c>
      <c r="EJ89" s="231">
        <v>70409.399999999994</v>
      </c>
      <c r="EK89" s="231">
        <v>32552.63</v>
      </c>
      <c r="EL89" s="231">
        <v>38887.61</v>
      </c>
      <c r="EM89" s="231">
        <v>5843</v>
      </c>
      <c r="EN89" s="231">
        <v>141849.64000000001</v>
      </c>
      <c r="EO89" s="231">
        <v>184918.52</v>
      </c>
      <c r="EP89" s="231">
        <v>-43068.88</v>
      </c>
      <c r="EQ89" s="229">
        <v>-0.2329</v>
      </c>
      <c r="ER89" s="231">
        <v>112613</v>
      </c>
      <c r="ES89" s="231">
        <v>75634</v>
      </c>
      <c r="ET89" s="231">
        <v>296339</v>
      </c>
      <c r="EU89" s="231">
        <v>761294821</v>
      </c>
      <c r="EV89" s="231">
        <v>484586</v>
      </c>
      <c r="EW89" s="231">
        <v>481031</v>
      </c>
      <c r="EX89" s="231">
        <v>3555</v>
      </c>
      <c r="EY89" s="229">
        <v>7.4000000000000003E-3</v>
      </c>
      <c r="EZ89" s="229">
        <v>0.76280000000000003</v>
      </c>
      <c r="FA89" s="227" t="s">
        <v>555</v>
      </c>
      <c r="FB89" s="161">
        <f t="shared" si="1"/>
        <v>50372525</v>
      </c>
    </row>
    <row r="90" spans="1:158" ht="17.25" hidden="1" thickBot="1" x14ac:dyDescent="0.3">
      <c r="A90" s="226">
        <v>46008</v>
      </c>
      <c r="B90" s="227" t="s">
        <v>161</v>
      </c>
      <c r="C90" s="227" t="s">
        <v>514</v>
      </c>
      <c r="D90" s="228">
        <v>3750</v>
      </c>
      <c r="E90" s="228">
        <v>140.38999999999999</v>
      </c>
      <c r="F90" s="228">
        <v>140.51</v>
      </c>
      <c r="G90" s="228">
        <v>-0.12</v>
      </c>
      <c r="H90" s="229">
        <v>-8.9999999999999998E-4</v>
      </c>
      <c r="I90" s="228">
        <v>140.22</v>
      </c>
      <c r="J90" s="228">
        <v>140.4</v>
      </c>
      <c r="K90" s="228">
        <v>-0.18</v>
      </c>
      <c r="L90" s="229">
        <v>-1.2999999999999999E-3</v>
      </c>
      <c r="M90" s="228">
        <v>140.38999999999999</v>
      </c>
      <c r="N90" s="228">
        <v>140.51</v>
      </c>
      <c r="O90" s="228">
        <v>-0.12</v>
      </c>
      <c r="P90" s="229">
        <v>-8.9999999999999998E-4</v>
      </c>
      <c r="Q90" s="228">
        <v>141.02000000000001</v>
      </c>
      <c r="R90" s="228">
        <v>141.30000000000001</v>
      </c>
      <c r="S90" s="228">
        <v>-0.28000000000000003</v>
      </c>
      <c r="T90" s="229">
        <v>-2E-3</v>
      </c>
      <c r="U90" s="228">
        <v>140.81</v>
      </c>
      <c r="V90" s="228">
        <v>140.96</v>
      </c>
      <c r="W90" s="228">
        <v>-0.15</v>
      </c>
      <c r="X90" s="229">
        <v>-1.1000000000000001E-3</v>
      </c>
      <c r="Y90" s="228">
        <v>0.17</v>
      </c>
      <c r="Z90" s="228">
        <v>0.11</v>
      </c>
      <c r="AA90" s="228">
        <v>0.06</v>
      </c>
      <c r="AB90" s="229">
        <v>1.1999999999999999E-3</v>
      </c>
      <c r="AC90" s="228">
        <v>0.17</v>
      </c>
      <c r="AD90" s="228">
        <v>0.11</v>
      </c>
      <c r="AE90" s="228">
        <v>0.06</v>
      </c>
      <c r="AF90" s="229">
        <v>1.1999999999999999E-3</v>
      </c>
      <c r="AG90" s="228">
        <v>0.8</v>
      </c>
      <c r="AH90" s="228">
        <v>0.9</v>
      </c>
      <c r="AI90" s="228">
        <v>-0.1</v>
      </c>
      <c r="AJ90" s="229">
        <v>5.7000000000000002E-3</v>
      </c>
      <c r="AK90" s="228">
        <v>0.59</v>
      </c>
      <c r="AL90" s="228">
        <v>0.56000000000000005</v>
      </c>
      <c r="AM90" s="228">
        <v>0.03</v>
      </c>
      <c r="AN90" s="229">
        <v>4.1999999999999997E-3</v>
      </c>
      <c r="AO90" s="228">
        <v>140.83000000000001</v>
      </c>
      <c r="AP90" s="228">
        <v>141.74</v>
      </c>
      <c r="AQ90" s="228">
        <v>0</v>
      </c>
      <c r="AR90" s="230">
        <v>4106250</v>
      </c>
      <c r="AS90" s="230">
        <v>5756250</v>
      </c>
      <c r="AT90" s="230">
        <v>-1650000</v>
      </c>
      <c r="AU90" s="229">
        <v>-0.28660000000000002</v>
      </c>
      <c r="AV90" s="230">
        <v>3438750</v>
      </c>
      <c r="AW90" s="230">
        <v>5058750</v>
      </c>
      <c r="AX90" s="230">
        <v>-1620000</v>
      </c>
      <c r="AY90" s="229">
        <v>-0.32019999999999998</v>
      </c>
      <c r="AZ90" s="230">
        <v>525000</v>
      </c>
      <c r="BA90" s="230">
        <v>510000</v>
      </c>
      <c r="BB90" s="230">
        <v>15000</v>
      </c>
      <c r="BC90" s="229">
        <v>2.9399999999999999E-2</v>
      </c>
      <c r="BD90" s="230">
        <v>142500</v>
      </c>
      <c r="BE90" s="230">
        <v>187500</v>
      </c>
      <c r="BF90" s="230">
        <v>-45000</v>
      </c>
      <c r="BG90" s="229">
        <v>-0.24</v>
      </c>
      <c r="BH90" s="230">
        <v>14276250</v>
      </c>
      <c r="BI90" s="230">
        <v>18652500</v>
      </c>
      <c r="BJ90" s="230">
        <v>-4376250</v>
      </c>
      <c r="BK90" s="229">
        <v>-0.2346</v>
      </c>
      <c r="BL90" s="230">
        <v>4462500</v>
      </c>
      <c r="BM90" s="230">
        <v>5726250</v>
      </c>
      <c r="BN90" s="230">
        <v>-1263750</v>
      </c>
      <c r="BO90" s="229">
        <v>-0.22070000000000001</v>
      </c>
      <c r="BP90" s="230">
        <v>22845000</v>
      </c>
      <c r="BQ90" s="230">
        <v>30135000</v>
      </c>
      <c r="BR90" s="230">
        <v>-7290000</v>
      </c>
      <c r="BS90" s="229">
        <v>-0.2419</v>
      </c>
      <c r="BT90" s="230">
        <v>2006255</v>
      </c>
      <c r="BU90" s="230">
        <v>3258174</v>
      </c>
      <c r="BV90" s="230">
        <v>-1251919</v>
      </c>
      <c r="BW90" s="229">
        <v>-0.38419999999999999</v>
      </c>
      <c r="BX90" s="230">
        <v>56767500</v>
      </c>
      <c r="BY90" s="230">
        <v>56163750</v>
      </c>
      <c r="BZ90" s="230">
        <v>603750</v>
      </c>
      <c r="CA90" s="229">
        <v>1.0699999999999999E-2</v>
      </c>
      <c r="CB90" s="230">
        <v>50808750</v>
      </c>
      <c r="CC90" s="230">
        <v>50486250</v>
      </c>
      <c r="CD90" s="230">
        <v>322500</v>
      </c>
      <c r="CE90" s="229">
        <v>6.4000000000000003E-3</v>
      </c>
      <c r="CF90" s="230">
        <v>4713750</v>
      </c>
      <c r="CG90" s="230">
        <v>4500000</v>
      </c>
      <c r="CH90" s="230">
        <v>213750</v>
      </c>
      <c r="CI90" s="229">
        <v>4.7500000000000001E-2</v>
      </c>
      <c r="CJ90" s="230">
        <v>1245000</v>
      </c>
      <c r="CK90" s="230">
        <v>1177500</v>
      </c>
      <c r="CL90" s="230">
        <v>67500</v>
      </c>
      <c r="CM90" s="229">
        <v>5.7299999999999997E-2</v>
      </c>
      <c r="CN90" s="230">
        <v>46747500</v>
      </c>
      <c r="CO90" s="230">
        <v>46912500</v>
      </c>
      <c r="CP90" s="230">
        <v>-165000</v>
      </c>
      <c r="CQ90" s="229">
        <v>-3.5000000000000001E-3</v>
      </c>
      <c r="CR90" s="230">
        <v>33918750</v>
      </c>
      <c r="CS90" s="230">
        <v>33791250</v>
      </c>
      <c r="CT90" s="230">
        <v>127500</v>
      </c>
      <c r="CU90" s="229">
        <v>3.8E-3</v>
      </c>
      <c r="CV90" s="230">
        <v>137433750</v>
      </c>
      <c r="CW90" s="230">
        <v>136867500</v>
      </c>
      <c r="CX90" s="230">
        <v>566250</v>
      </c>
      <c r="CY90" s="229">
        <v>4.1000000000000003E-3</v>
      </c>
      <c r="CZ90" s="228">
        <v>29.05</v>
      </c>
      <c r="DA90" s="228">
        <v>29.51</v>
      </c>
      <c r="DB90" s="228">
        <v>-0.46</v>
      </c>
      <c r="DC90" s="228">
        <v>-0.46</v>
      </c>
      <c r="DD90" s="228">
        <v>53.4</v>
      </c>
      <c r="DE90" s="228">
        <v>53.53</v>
      </c>
      <c r="DF90" s="228">
        <v>-24.35</v>
      </c>
      <c r="DG90" s="228">
        <v>-0.13</v>
      </c>
      <c r="DH90" s="228">
        <v>29.28</v>
      </c>
      <c r="DI90" s="228">
        <v>30.11</v>
      </c>
      <c r="DJ90" s="228">
        <v>-0.83</v>
      </c>
      <c r="DK90" s="228">
        <v>-0.83</v>
      </c>
      <c r="DL90" s="228">
        <v>28.32</v>
      </c>
      <c r="DM90" s="228">
        <v>27.56</v>
      </c>
      <c r="DN90" s="228">
        <v>0.76</v>
      </c>
      <c r="DO90" s="228">
        <v>0.76</v>
      </c>
      <c r="DP90" s="228">
        <v>0.73</v>
      </c>
      <c r="DQ90" s="228">
        <v>0.72</v>
      </c>
      <c r="DR90" s="228">
        <v>0.01</v>
      </c>
      <c r="DS90" s="229">
        <v>1.3899999999999999E-2</v>
      </c>
      <c r="DT90" s="228">
        <v>150</v>
      </c>
      <c r="DU90" s="228">
        <v>140</v>
      </c>
      <c r="DV90" s="228">
        <v>0.31</v>
      </c>
      <c r="DW90" s="228">
        <v>0.31</v>
      </c>
      <c r="DX90" s="228">
        <v>0</v>
      </c>
      <c r="DY90" s="229">
        <v>0</v>
      </c>
      <c r="DZ90" s="229">
        <v>0.105</v>
      </c>
      <c r="EA90" s="230">
        <v>5677500</v>
      </c>
      <c r="EB90" s="229">
        <v>4.4999999999999997E-3</v>
      </c>
      <c r="EC90" s="229">
        <v>0.105</v>
      </c>
      <c r="ED90" s="228">
        <v>0.91</v>
      </c>
      <c r="EE90" s="229">
        <v>6.4999999999999997E-3</v>
      </c>
      <c r="EF90" s="230">
        <v>812890</v>
      </c>
      <c r="EG90" s="230">
        <v>1672656</v>
      </c>
      <c r="EH90" s="229">
        <v>-0.51400000000000001</v>
      </c>
      <c r="EI90" s="229">
        <v>0.4052</v>
      </c>
      <c r="EJ90" s="231">
        <v>21382.63</v>
      </c>
      <c r="EK90" s="231">
        <v>6314.03</v>
      </c>
      <c r="EL90" s="231">
        <v>5788.41</v>
      </c>
      <c r="EM90" s="231">
        <v>1732</v>
      </c>
      <c r="EN90" s="231">
        <v>33485.07</v>
      </c>
      <c r="EO90" s="231">
        <v>44272.72</v>
      </c>
      <c r="EP90" s="231">
        <v>-10787.65</v>
      </c>
      <c r="EQ90" s="229">
        <v>-0.2437</v>
      </c>
      <c r="ER90" s="231">
        <v>70819</v>
      </c>
      <c r="ES90" s="231">
        <v>46985</v>
      </c>
      <c r="ET90" s="231">
        <v>79731</v>
      </c>
      <c r="EU90" s="231">
        <v>133395043</v>
      </c>
      <c r="EV90" s="231">
        <v>197535</v>
      </c>
      <c r="EW90" s="231">
        <v>196898</v>
      </c>
      <c r="EX90" s="228">
        <v>637</v>
      </c>
      <c r="EY90" s="229">
        <v>3.2000000000000002E-3</v>
      </c>
      <c r="EZ90" s="229">
        <v>1.0303</v>
      </c>
      <c r="FA90" s="227" t="s">
        <v>567</v>
      </c>
      <c r="FB90" s="161">
        <f t="shared" si="1"/>
        <v>5958750</v>
      </c>
    </row>
    <row r="91" spans="1:158" ht="17.25" hidden="1" thickBot="1" x14ac:dyDescent="0.3">
      <c r="A91" s="226">
        <v>46008</v>
      </c>
      <c r="B91" s="227" t="s">
        <v>175</v>
      </c>
      <c r="C91" s="227" t="s">
        <v>667</v>
      </c>
      <c r="D91" s="228">
        <v>1650</v>
      </c>
      <c r="E91" s="228">
        <v>563.54999999999995</v>
      </c>
      <c r="F91" s="228">
        <v>567.45000000000005</v>
      </c>
      <c r="G91" s="228">
        <v>-3.9</v>
      </c>
      <c r="H91" s="229">
        <v>-6.8999999999999999E-3</v>
      </c>
      <c r="I91" s="228">
        <v>563.1</v>
      </c>
      <c r="J91" s="228">
        <v>566.70000000000005</v>
      </c>
      <c r="K91" s="228">
        <v>-3.6</v>
      </c>
      <c r="L91" s="229">
        <v>-6.4000000000000003E-3</v>
      </c>
      <c r="M91" s="228">
        <v>563.54999999999995</v>
      </c>
      <c r="N91" s="228">
        <v>567.45000000000005</v>
      </c>
      <c r="O91" s="228">
        <v>-3.9</v>
      </c>
      <c r="P91" s="229">
        <v>-6.8999999999999999E-3</v>
      </c>
      <c r="Q91" s="228">
        <v>567.29999999999995</v>
      </c>
      <c r="R91" s="228">
        <v>570.95000000000005</v>
      </c>
      <c r="S91" s="228">
        <v>-3.65</v>
      </c>
      <c r="T91" s="229">
        <v>-6.4000000000000003E-3</v>
      </c>
      <c r="U91" s="228">
        <v>0</v>
      </c>
      <c r="V91" s="228">
        <v>0</v>
      </c>
      <c r="W91" s="228">
        <v>0</v>
      </c>
      <c r="X91" s="229">
        <v>0</v>
      </c>
      <c r="Y91" s="228">
        <v>0.45</v>
      </c>
      <c r="Z91" s="228">
        <v>0.75</v>
      </c>
      <c r="AA91" s="228">
        <v>-0.3</v>
      </c>
      <c r="AB91" s="229">
        <v>8.0000000000000004E-4</v>
      </c>
      <c r="AC91" s="228">
        <v>0.45</v>
      </c>
      <c r="AD91" s="228">
        <v>0.75</v>
      </c>
      <c r="AE91" s="228">
        <v>-0.3</v>
      </c>
      <c r="AF91" s="229">
        <v>8.0000000000000004E-4</v>
      </c>
      <c r="AG91" s="228">
        <v>4.2</v>
      </c>
      <c r="AH91" s="228">
        <v>4.25</v>
      </c>
      <c r="AI91" s="228">
        <v>-0.05</v>
      </c>
      <c r="AJ91" s="229">
        <v>7.4999999999999997E-3</v>
      </c>
      <c r="AK91" s="228">
        <v>0</v>
      </c>
      <c r="AL91" s="228">
        <v>0</v>
      </c>
      <c r="AM91" s="228">
        <v>0</v>
      </c>
      <c r="AN91" s="229">
        <v>0</v>
      </c>
      <c r="AO91" s="228">
        <v>567.48</v>
      </c>
      <c r="AP91" s="228">
        <v>569.91999999999996</v>
      </c>
      <c r="AQ91" s="228">
        <v>0</v>
      </c>
      <c r="AR91" s="230">
        <v>1555950</v>
      </c>
      <c r="AS91" s="230">
        <v>1849650</v>
      </c>
      <c r="AT91" s="230">
        <v>-293700</v>
      </c>
      <c r="AU91" s="229">
        <v>-0.1588</v>
      </c>
      <c r="AV91" s="230">
        <v>1371150</v>
      </c>
      <c r="AW91" s="230">
        <v>1701150</v>
      </c>
      <c r="AX91" s="230">
        <v>-330000</v>
      </c>
      <c r="AY91" s="229">
        <v>-0.19400000000000001</v>
      </c>
      <c r="AZ91" s="230">
        <v>184800</v>
      </c>
      <c r="BA91" s="230">
        <v>148500</v>
      </c>
      <c r="BB91" s="230">
        <v>36300</v>
      </c>
      <c r="BC91" s="229">
        <v>0.24440000000000001</v>
      </c>
      <c r="BD91" s="228">
        <v>0</v>
      </c>
      <c r="BE91" s="228">
        <v>0</v>
      </c>
      <c r="BF91" s="228">
        <v>0</v>
      </c>
      <c r="BG91" s="229">
        <v>0</v>
      </c>
      <c r="BH91" s="230">
        <v>9726750</v>
      </c>
      <c r="BI91" s="230">
        <v>12081300</v>
      </c>
      <c r="BJ91" s="230">
        <v>-2354550</v>
      </c>
      <c r="BK91" s="229">
        <v>-0.19489999999999999</v>
      </c>
      <c r="BL91" s="230">
        <v>2128500</v>
      </c>
      <c r="BM91" s="230">
        <v>2534400</v>
      </c>
      <c r="BN91" s="230">
        <v>-405900</v>
      </c>
      <c r="BO91" s="229">
        <v>-0.16020000000000001</v>
      </c>
      <c r="BP91" s="230">
        <v>13411200</v>
      </c>
      <c r="BQ91" s="230">
        <v>16465350</v>
      </c>
      <c r="BR91" s="230">
        <v>-3054150</v>
      </c>
      <c r="BS91" s="229">
        <v>-0.1855</v>
      </c>
      <c r="BT91" s="230">
        <v>403998</v>
      </c>
      <c r="BU91" s="230">
        <v>521381</v>
      </c>
      <c r="BV91" s="230">
        <v>-117383</v>
      </c>
      <c r="BW91" s="229">
        <v>-0.22509999999999999</v>
      </c>
      <c r="BX91" s="230">
        <v>12094500</v>
      </c>
      <c r="BY91" s="230">
        <v>12076350</v>
      </c>
      <c r="BZ91" s="230">
        <v>18150</v>
      </c>
      <c r="CA91" s="229">
        <v>1.5E-3</v>
      </c>
      <c r="CB91" s="230">
        <v>11682000</v>
      </c>
      <c r="CC91" s="230">
        <v>11680350</v>
      </c>
      <c r="CD91" s="230">
        <v>1650</v>
      </c>
      <c r="CE91" s="229">
        <v>1E-4</v>
      </c>
      <c r="CF91" s="230">
        <v>412500</v>
      </c>
      <c r="CG91" s="230">
        <v>396000</v>
      </c>
      <c r="CH91" s="230">
        <v>16500</v>
      </c>
      <c r="CI91" s="229">
        <v>4.1700000000000001E-2</v>
      </c>
      <c r="CJ91" s="228">
        <v>0</v>
      </c>
      <c r="CK91" s="228">
        <v>0</v>
      </c>
      <c r="CL91" s="228">
        <v>0</v>
      </c>
      <c r="CM91" s="229">
        <v>0</v>
      </c>
      <c r="CN91" s="230">
        <v>7599900</v>
      </c>
      <c r="CO91" s="230">
        <v>7316100</v>
      </c>
      <c r="CP91" s="230">
        <v>283800</v>
      </c>
      <c r="CQ91" s="229">
        <v>3.8800000000000001E-2</v>
      </c>
      <c r="CR91" s="230">
        <v>4582050</v>
      </c>
      <c r="CS91" s="230">
        <v>4412100</v>
      </c>
      <c r="CT91" s="230">
        <v>169950</v>
      </c>
      <c r="CU91" s="229">
        <v>3.85E-2</v>
      </c>
      <c r="CV91" s="230">
        <v>24276450</v>
      </c>
      <c r="CW91" s="230">
        <v>23804550</v>
      </c>
      <c r="CX91" s="230">
        <v>471900</v>
      </c>
      <c r="CY91" s="229">
        <v>1.9800000000000002E-2</v>
      </c>
      <c r="CZ91" s="228">
        <v>31.01</v>
      </c>
      <c r="DA91" s="228">
        <v>30.64</v>
      </c>
      <c r="DB91" s="228">
        <v>0.37</v>
      </c>
      <c r="DC91" s="228">
        <v>0.37</v>
      </c>
      <c r="DD91" s="228">
        <v>49.41</v>
      </c>
      <c r="DE91" s="228">
        <v>49.52</v>
      </c>
      <c r="DF91" s="228">
        <v>-18.399999999999999</v>
      </c>
      <c r="DG91" s="228">
        <v>-0.11</v>
      </c>
      <c r="DH91" s="228">
        <v>31.34</v>
      </c>
      <c r="DI91" s="228">
        <v>30.79</v>
      </c>
      <c r="DJ91" s="228">
        <v>0.55000000000000004</v>
      </c>
      <c r="DK91" s="228">
        <v>0.55000000000000004</v>
      </c>
      <c r="DL91" s="228">
        <v>29.55</v>
      </c>
      <c r="DM91" s="228">
        <v>29.96</v>
      </c>
      <c r="DN91" s="228">
        <v>-0.41</v>
      </c>
      <c r="DO91" s="228">
        <v>-0.41</v>
      </c>
      <c r="DP91" s="228">
        <v>0.6</v>
      </c>
      <c r="DQ91" s="228">
        <v>0.6</v>
      </c>
      <c r="DR91" s="228">
        <v>0</v>
      </c>
      <c r="DS91" s="229">
        <v>0</v>
      </c>
      <c r="DT91" s="228">
        <v>580</v>
      </c>
      <c r="DU91" s="228">
        <v>530</v>
      </c>
      <c r="DV91" s="228">
        <v>0.22</v>
      </c>
      <c r="DW91" s="228">
        <v>0.21</v>
      </c>
      <c r="DX91" s="228">
        <v>0.01</v>
      </c>
      <c r="DY91" s="229">
        <v>4.7600000000000003E-2</v>
      </c>
      <c r="DZ91" s="229">
        <v>3.4099999999999998E-2</v>
      </c>
      <c r="EA91" s="230">
        <v>396000</v>
      </c>
      <c r="EB91" s="229">
        <v>6.7000000000000002E-3</v>
      </c>
      <c r="EC91" s="229">
        <v>3.4099999999999998E-2</v>
      </c>
      <c r="ED91" s="228">
        <v>2.44</v>
      </c>
      <c r="EE91" s="229">
        <v>4.3E-3</v>
      </c>
      <c r="EF91" s="230">
        <v>114171</v>
      </c>
      <c r="EG91" s="230">
        <v>201118</v>
      </c>
      <c r="EH91" s="229">
        <v>-0.43230000000000002</v>
      </c>
      <c r="EI91" s="229">
        <v>0.28260000000000002</v>
      </c>
      <c r="EJ91" s="231">
        <v>57981.59</v>
      </c>
      <c r="EK91" s="231">
        <v>11921.43</v>
      </c>
      <c r="EL91" s="231">
        <v>8834.18</v>
      </c>
      <c r="EM91" s="231">
        <v>1638</v>
      </c>
      <c r="EN91" s="231">
        <v>78737.2</v>
      </c>
      <c r="EO91" s="231">
        <v>96833.66</v>
      </c>
      <c r="EP91" s="231">
        <v>-18096.46</v>
      </c>
      <c r="EQ91" s="229">
        <v>-0.18690000000000001</v>
      </c>
      <c r="ER91" s="231">
        <v>44534</v>
      </c>
      <c r="ES91" s="231">
        <v>25042</v>
      </c>
      <c r="ET91" s="231">
        <v>68174</v>
      </c>
      <c r="EU91" s="231">
        <v>47888370</v>
      </c>
      <c r="EV91" s="231">
        <v>137750</v>
      </c>
      <c r="EW91" s="231">
        <v>135576</v>
      </c>
      <c r="EX91" s="231">
        <v>2174</v>
      </c>
      <c r="EY91" s="229">
        <v>1.6E-2</v>
      </c>
      <c r="EZ91" s="229">
        <v>0.50690000000000002</v>
      </c>
      <c r="FA91" s="227" t="s">
        <v>567</v>
      </c>
      <c r="FB91" s="161">
        <f t="shared" si="1"/>
        <v>412500</v>
      </c>
    </row>
    <row r="92" spans="1:158" ht="17.25" hidden="1" thickBot="1" x14ac:dyDescent="0.3">
      <c r="A92" s="226">
        <v>46008</v>
      </c>
      <c r="B92" s="227" t="s">
        <v>206</v>
      </c>
      <c r="C92" s="227" t="s">
        <v>501</v>
      </c>
      <c r="D92" s="228">
        <v>1000</v>
      </c>
      <c r="E92" s="228">
        <v>715.75</v>
      </c>
      <c r="F92" s="228">
        <v>727.45</v>
      </c>
      <c r="G92" s="228">
        <v>-11.7</v>
      </c>
      <c r="H92" s="229">
        <v>-1.61E-2</v>
      </c>
      <c r="I92" s="228">
        <v>713.2</v>
      </c>
      <c r="J92" s="228">
        <v>725.25</v>
      </c>
      <c r="K92" s="228">
        <v>-12.05</v>
      </c>
      <c r="L92" s="229">
        <v>-1.66E-2</v>
      </c>
      <c r="M92" s="228">
        <v>715.75</v>
      </c>
      <c r="N92" s="228">
        <v>727.45</v>
      </c>
      <c r="O92" s="228">
        <v>-11.7</v>
      </c>
      <c r="P92" s="229">
        <v>-1.61E-2</v>
      </c>
      <c r="Q92" s="228">
        <v>720.05</v>
      </c>
      <c r="R92" s="228">
        <v>732.15</v>
      </c>
      <c r="S92" s="228">
        <v>-12.1</v>
      </c>
      <c r="T92" s="229">
        <v>-1.6500000000000001E-2</v>
      </c>
      <c r="U92" s="228">
        <v>724.95</v>
      </c>
      <c r="V92" s="228">
        <v>735.6</v>
      </c>
      <c r="W92" s="228">
        <v>-10.65</v>
      </c>
      <c r="X92" s="229">
        <v>-1.4500000000000001E-2</v>
      </c>
      <c r="Y92" s="228">
        <v>2.5499999999999998</v>
      </c>
      <c r="Z92" s="228">
        <v>2.2000000000000002</v>
      </c>
      <c r="AA92" s="228">
        <v>0.35</v>
      </c>
      <c r="AB92" s="229">
        <v>3.5999999999999999E-3</v>
      </c>
      <c r="AC92" s="228">
        <v>2.5499999999999998</v>
      </c>
      <c r="AD92" s="228">
        <v>2.2000000000000002</v>
      </c>
      <c r="AE92" s="228">
        <v>0.35</v>
      </c>
      <c r="AF92" s="229">
        <v>3.5999999999999999E-3</v>
      </c>
      <c r="AG92" s="228">
        <v>6.85</v>
      </c>
      <c r="AH92" s="228">
        <v>6.9</v>
      </c>
      <c r="AI92" s="228">
        <v>-0.05</v>
      </c>
      <c r="AJ92" s="229">
        <v>9.5999999999999992E-3</v>
      </c>
      <c r="AK92" s="228">
        <v>11.75</v>
      </c>
      <c r="AL92" s="228">
        <v>10.35</v>
      </c>
      <c r="AM92" s="228">
        <v>1.4</v>
      </c>
      <c r="AN92" s="229">
        <v>1.6500000000000001E-2</v>
      </c>
      <c r="AO92" s="228">
        <v>720.58</v>
      </c>
      <c r="AP92" s="228">
        <v>724.49</v>
      </c>
      <c r="AQ92" s="228">
        <v>0</v>
      </c>
      <c r="AR92" s="230">
        <v>3476000</v>
      </c>
      <c r="AS92" s="230">
        <v>2305000</v>
      </c>
      <c r="AT92" s="230">
        <v>1171000</v>
      </c>
      <c r="AU92" s="229">
        <v>0.50800000000000001</v>
      </c>
      <c r="AV92" s="230">
        <v>2893000</v>
      </c>
      <c r="AW92" s="230">
        <v>2092000</v>
      </c>
      <c r="AX92" s="230">
        <v>801000</v>
      </c>
      <c r="AY92" s="229">
        <v>0.38290000000000002</v>
      </c>
      <c r="AZ92" s="230">
        <v>543000</v>
      </c>
      <c r="BA92" s="230">
        <v>201000</v>
      </c>
      <c r="BB92" s="230">
        <v>342000</v>
      </c>
      <c r="BC92" s="229">
        <v>1.7015</v>
      </c>
      <c r="BD92" s="230">
        <v>40000</v>
      </c>
      <c r="BE92" s="230">
        <v>12000</v>
      </c>
      <c r="BF92" s="230">
        <v>28000</v>
      </c>
      <c r="BG92" s="229">
        <v>2.3332999999999999</v>
      </c>
      <c r="BH92" s="230">
        <v>8767000</v>
      </c>
      <c r="BI92" s="230">
        <v>5103000</v>
      </c>
      <c r="BJ92" s="230">
        <v>3664000</v>
      </c>
      <c r="BK92" s="229">
        <v>0.71799999999999997</v>
      </c>
      <c r="BL92" s="230">
        <v>3551000</v>
      </c>
      <c r="BM92" s="230">
        <v>1940000</v>
      </c>
      <c r="BN92" s="230">
        <v>1611000</v>
      </c>
      <c r="BO92" s="229">
        <v>0.83040000000000003</v>
      </c>
      <c r="BP92" s="230">
        <v>15794000</v>
      </c>
      <c r="BQ92" s="230">
        <v>9348000</v>
      </c>
      <c r="BR92" s="230">
        <v>6446000</v>
      </c>
      <c r="BS92" s="229">
        <v>0.68959999999999999</v>
      </c>
      <c r="BT92" s="230">
        <v>2598042</v>
      </c>
      <c r="BU92" s="230">
        <v>2142454</v>
      </c>
      <c r="BV92" s="230">
        <v>455588</v>
      </c>
      <c r="BW92" s="229">
        <v>0.21260000000000001</v>
      </c>
      <c r="BX92" s="230">
        <v>27223000</v>
      </c>
      <c r="BY92" s="230">
        <v>26504000</v>
      </c>
      <c r="BZ92" s="230">
        <v>719000</v>
      </c>
      <c r="CA92" s="229">
        <v>2.7099999999999999E-2</v>
      </c>
      <c r="CB92" s="230">
        <v>25356000</v>
      </c>
      <c r="CC92" s="230">
        <v>24949000</v>
      </c>
      <c r="CD92" s="230">
        <v>407000</v>
      </c>
      <c r="CE92" s="229">
        <v>1.6299999999999999E-2</v>
      </c>
      <c r="CF92" s="230">
        <v>1708000</v>
      </c>
      <c r="CG92" s="230">
        <v>1421000</v>
      </c>
      <c r="CH92" s="230">
        <v>287000</v>
      </c>
      <c r="CI92" s="229">
        <v>0.20200000000000001</v>
      </c>
      <c r="CJ92" s="230">
        <v>159000</v>
      </c>
      <c r="CK92" s="230">
        <v>134000</v>
      </c>
      <c r="CL92" s="230">
        <v>25000</v>
      </c>
      <c r="CM92" s="229">
        <v>0.18659999999999999</v>
      </c>
      <c r="CN92" s="230">
        <v>10998000</v>
      </c>
      <c r="CO92" s="230">
        <v>9601000</v>
      </c>
      <c r="CP92" s="230">
        <v>1397000</v>
      </c>
      <c r="CQ92" s="229">
        <v>0.14549999999999999</v>
      </c>
      <c r="CR92" s="230">
        <v>6565000</v>
      </c>
      <c r="CS92" s="230">
        <v>6236000</v>
      </c>
      <c r="CT92" s="230">
        <v>329000</v>
      </c>
      <c r="CU92" s="229">
        <v>5.28E-2</v>
      </c>
      <c r="CV92" s="230">
        <v>44786000</v>
      </c>
      <c r="CW92" s="230">
        <v>42341000</v>
      </c>
      <c r="CX92" s="230">
        <v>2445000</v>
      </c>
      <c r="CY92" s="229">
        <v>5.7700000000000001E-2</v>
      </c>
      <c r="CZ92" s="228">
        <v>22.63</v>
      </c>
      <c r="DA92" s="228">
        <v>21.06</v>
      </c>
      <c r="DB92" s="228">
        <v>1.57</v>
      </c>
      <c r="DC92" s="228">
        <v>1.57</v>
      </c>
      <c r="DD92" s="228">
        <v>34.08</v>
      </c>
      <c r="DE92" s="228">
        <v>34.090000000000003</v>
      </c>
      <c r="DF92" s="228">
        <v>-11.45</v>
      </c>
      <c r="DG92" s="228">
        <v>-0.01</v>
      </c>
      <c r="DH92" s="228">
        <v>23.46</v>
      </c>
      <c r="DI92" s="228">
        <v>21.44</v>
      </c>
      <c r="DJ92" s="228">
        <v>2.02</v>
      </c>
      <c r="DK92" s="228">
        <v>2.02</v>
      </c>
      <c r="DL92" s="228">
        <v>20.6</v>
      </c>
      <c r="DM92" s="228">
        <v>20.059999999999999</v>
      </c>
      <c r="DN92" s="228">
        <v>0.54</v>
      </c>
      <c r="DO92" s="228">
        <v>0.54</v>
      </c>
      <c r="DP92" s="228">
        <v>0.6</v>
      </c>
      <c r="DQ92" s="228">
        <v>0.65</v>
      </c>
      <c r="DR92" s="228">
        <v>-0.05</v>
      </c>
      <c r="DS92" s="229">
        <v>-7.6899999999999996E-2</v>
      </c>
      <c r="DT92" s="228">
        <v>750</v>
      </c>
      <c r="DU92" s="228">
        <v>720</v>
      </c>
      <c r="DV92" s="228">
        <v>0.41</v>
      </c>
      <c r="DW92" s="228">
        <v>0.38</v>
      </c>
      <c r="DX92" s="228">
        <v>0.03</v>
      </c>
      <c r="DY92" s="229">
        <v>7.8899999999999998E-2</v>
      </c>
      <c r="DZ92" s="229">
        <v>6.8599999999999994E-2</v>
      </c>
      <c r="EA92" s="230">
        <v>1555000</v>
      </c>
      <c r="EB92" s="229">
        <v>6.0000000000000001E-3</v>
      </c>
      <c r="EC92" s="229">
        <v>6.8599999999999994E-2</v>
      </c>
      <c r="ED92" s="228">
        <v>3.91</v>
      </c>
      <c r="EE92" s="229">
        <v>5.4000000000000003E-3</v>
      </c>
      <c r="EF92" s="230">
        <v>1860536</v>
      </c>
      <c r="EG92" s="230">
        <v>1444056</v>
      </c>
      <c r="EH92" s="229">
        <v>0.28839999999999999</v>
      </c>
      <c r="EI92" s="229">
        <v>0.71609999999999996</v>
      </c>
      <c r="EJ92" s="231">
        <v>65957.83</v>
      </c>
      <c r="EK92" s="231">
        <v>25473</v>
      </c>
      <c r="EL92" s="231">
        <v>25071.49</v>
      </c>
      <c r="EM92" s="231">
        <v>3056</v>
      </c>
      <c r="EN92" s="231">
        <v>116502.32</v>
      </c>
      <c r="EO92" s="231">
        <v>69505.39</v>
      </c>
      <c r="EP92" s="231">
        <v>46996.93</v>
      </c>
      <c r="EQ92" s="229">
        <v>0.67620000000000002</v>
      </c>
      <c r="ER92" s="231">
        <v>83213</v>
      </c>
      <c r="ES92" s="231">
        <v>47306</v>
      </c>
      <c r="ET92" s="231">
        <v>194937</v>
      </c>
      <c r="EU92" s="231">
        <v>111956321</v>
      </c>
      <c r="EV92" s="231">
        <v>325456</v>
      </c>
      <c r="EW92" s="231">
        <v>310906</v>
      </c>
      <c r="EX92" s="231">
        <v>14550</v>
      </c>
      <c r="EY92" s="229">
        <v>4.6800000000000001E-2</v>
      </c>
      <c r="EZ92" s="229">
        <v>0.4</v>
      </c>
      <c r="FA92" s="227" t="s">
        <v>567</v>
      </c>
      <c r="FB92" s="161">
        <f t="shared" si="1"/>
        <v>1867000</v>
      </c>
    </row>
    <row r="93" spans="1:158" ht="17.25" hidden="1" thickBot="1" x14ac:dyDescent="0.3">
      <c r="A93" s="226">
        <v>46008</v>
      </c>
      <c r="B93" s="227" t="s">
        <v>172</v>
      </c>
      <c r="C93" s="227" t="s">
        <v>578</v>
      </c>
      <c r="D93" s="228">
        <v>1000</v>
      </c>
      <c r="E93" s="228">
        <v>776.35</v>
      </c>
      <c r="F93" s="228">
        <v>774.75</v>
      </c>
      <c r="G93" s="228">
        <v>1.6</v>
      </c>
      <c r="H93" s="229">
        <v>2.0999999999999999E-3</v>
      </c>
      <c r="I93" s="228">
        <v>775</v>
      </c>
      <c r="J93" s="228">
        <v>773.15</v>
      </c>
      <c r="K93" s="228">
        <v>1.85</v>
      </c>
      <c r="L93" s="229">
        <v>2.3999999999999998E-3</v>
      </c>
      <c r="M93" s="228">
        <v>776.35</v>
      </c>
      <c r="N93" s="228">
        <v>774.75</v>
      </c>
      <c r="O93" s="228">
        <v>1.6</v>
      </c>
      <c r="P93" s="229">
        <v>2.0999999999999999E-3</v>
      </c>
      <c r="Q93" s="228">
        <v>779.85</v>
      </c>
      <c r="R93" s="228">
        <v>779.35</v>
      </c>
      <c r="S93" s="228">
        <v>0.5</v>
      </c>
      <c r="T93" s="229">
        <v>5.9999999999999995E-4</v>
      </c>
      <c r="U93" s="228">
        <v>781.65</v>
      </c>
      <c r="V93" s="228">
        <v>783.3</v>
      </c>
      <c r="W93" s="228">
        <v>-1.65</v>
      </c>
      <c r="X93" s="229">
        <v>-2.0999999999999999E-3</v>
      </c>
      <c r="Y93" s="228">
        <v>1.35</v>
      </c>
      <c r="Z93" s="228">
        <v>1.6</v>
      </c>
      <c r="AA93" s="228">
        <v>-0.25</v>
      </c>
      <c r="AB93" s="229">
        <v>1.6999999999999999E-3</v>
      </c>
      <c r="AC93" s="228">
        <v>1.35</v>
      </c>
      <c r="AD93" s="228">
        <v>1.6</v>
      </c>
      <c r="AE93" s="228">
        <v>-0.25</v>
      </c>
      <c r="AF93" s="229">
        <v>1.6999999999999999E-3</v>
      </c>
      <c r="AG93" s="228">
        <v>4.8499999999999996</v>
      </c>
      <c r="AH93" s="228">
        <v>6.2</v>
      </c>
      <c r="AI93" s="228">
        <v>-1.35</v>
      </c>
      <c r="AJ93" s="229">
        <v>6.3E-3</v>
      </c>
      <c r="AK93" s="228">
        <v>6.65</v>
      </c>
      <c r="AL93" s="228">
        <v>10.15</v>
      </c>
      <c r="AM93" s="228">
        <v>-3.5</v>
      </c>
      <c r="AN93" s="229">
        <v>8.6E-3</v>
      </c>
      <c r="AO93" s="228">
        <v>778.09</v>
      </c>
      <c r="AP93" s="228">
        <v>781.28</v>
      </c>
      <c r="AQ93" s="228">
        <v>0</v>
      </c>
      <c r="AR93" s="230">
        <v>1526000</v>
      </c>
      <c r="AS93" s="230">
        <v>2613000</v>
      </c>
      <c r="AT93" s="230">
        <v>-1087000</v>
      </c>
      <c r="AU93" s="229">
        <v>-0.41599999999999998</v>
      </c>
      <c r="AV93" s="230">
        <v>1401000</v>
      </c>
      <c r="AW93" s="230">
        <v>2368000</v>
      </c>
      <c r="AX93" s="230">
        <v>-967000</v>
      </c>
      <c r="AY93" s="229">
        <v>-0.40839999999999999</v>
      </c>
      <c r="AZ93" s="230">
        <v>114000</v>
      </c>
      <c r="BA93" s="230">
        <v>233000</v>
      </c>
      <c r="BB93" s="230">
        <v>-119000</v>
      </c>
      <c r="BC93" s="229">
        <v>-0.51070000000000004</v>
      </c>
      <c r="BD93" s="230">
        <v>11000</v>
      </c>
      <c r="BE93" s="230">
        <v>12000</v>
      </c>
      <c r="BF93" s="230">
        <v>-1000</v>
      </c>
      <c r="BG93" s="229">
        <v>-8.3299999999999999E-2</v>
      </c>
      <c r="BH93" s="230">
        <v>4781000</v>
      </c>
      <c r="BI93" s="230">
        <v>8082000</v>
      </c>
      <c r="BJ93" s="230">
        <v>-3301000</v>
      </c>
      <c r="BK93" s="229">
        <v>-0.40839999999999999</v>
      </c>
      <c r="BL93" s="230">
        <v>1718000</v>
      </c>
      <c r="BM93" s="230">
        <v>2594000</v>
      </c>
      <c r="BN93" s="230">
        <v>-876000</v>
      </c>
      <c r="BO93" s="229">
        <v>-0.3377</v>
      </c>
      <c r="BP93" s="230">
        <v>8025000</v>
      </c>
      <c r="BQ93" s="230">
        <v>13289000</v>
      </c>
      <c r="BR93" s="230">
        <v>-5264000</v>
      </c>
      <c r="BS93" s="229">
        <v>-0.39610000000000001</v>
      </c>
      <c r="BT93" s="230">
        <v>929594</v>
      </c>
      <c r="BU93" s="230">
        <v>1787765</v>
      </c>
      <c r="BV93" s="230">
        <v>-858171</v>
      </c>
      <c r="BW93" s="229">
        <v>-0.48</v>
      </c>
      <c r="BX93" s="230">
        <v>11728000</v>
      </c>
      <c r="BY93" s="230">
        <v>11919000</v>
      </c>
      <c r="BZ93" s="230">
        <v>-191000</v>
      </c>
      <c r="CA93" s="229">
        <v>-1.6E-2</v>
      </c>
      <c r="CB93" s="230">
        <v>11082000</v>
      </c>
      <c r="CC93" s="230">
        <v>11296000</v>
      </c>
      <c r="CD93" s="230">
        <v>-214000</v>
      </c>
      <c r="CE93" s="229">
        <v>-1.89E-2</v>
      </c>
      <c r="CF93" s="230">
        <v>581000</v>
      </c>
      <c r="CG93" s="230">
        <v>556000</v>
      </c>
      <c r="CH93" s="230">
        <v>25000</v>
      </c>
      <c r="CI93" s="229">
        <v>4.4999999999999998E-2</v>
      </c>
      <c r="CJ93" s="230">
        <v>65000</v>
      </c>
      <c r="CK93" s="230">
        <v>67000</v>
      </c>
      <c r="CL93" s="230">
        <v>-2000</v>
      </c>
      <c r="CM93" s="229">
        <v>-2.9899999999999999E-2</v>
      </c>
      <c r="CN93" s="230">
        <v>12542000</v>
      </c>
      <c r="CO93" s="230">
        <v>12306000</v>
      </c>
      <c r="CP93" s="230">
        <v>236000</v>
      </c>
      <c r="CQ93" s="229">
        <v>1.9199999999999998E-2</v>
      </c>
      <c r="CR93" s="230">
        <v>5081000</v>
      </c>
      <c r="CS93" s="230">
        <v>5056000</v>
      </c>
      <c r="CT93" s="230">
        <v>25000</v>
      </c>
      <c r="CU93" s="229">
        <v>4.8999999999999998E-3</v>
      </c>
      <c r="CV93" s="230">
        <v>29351000</v>
      </c>
      <c r="CW93" s="230">
        <v>29281000</v>
      </c>
      <c r="CX93" s="230">
        <v>70000</v>
      </c>
      <c r="CY93" s="229">
        <v>2.3999999999999998E-3</v>
      </c>
      <c r="CZ93" s="228">
        <v>27.51</v>
      </c>
      <c r="DA93" s="228">
        <v>28.39</v>
      </c>
      <c r="DB93" s="228">
        <v>-0.88</v>
      </c>
      <c r="DC93" s="228">
        <v>-0.88</v>
      </c>
      <c r="DD93" s="228">
        <v>37.71</v>
      </c>
      <c r="DE93" s="228">
        <v>37.81</v>
      </c>
      <c r="DF93" s="228">
        <v>-10.199999999999999</v>
      </c>
      <c r="DG93" s="228">
        <v>-0.1</v>
      </c>
      <c r="DH93" s="228">
        <v>27.94</v>
      </c>
      <c r="DI93" s="228">
        <v>29.1</v>
      </c>
      <c r="DJ93" s="228">
        <v>-1.1599999999999999</v>
      </c>
      <c r="DK93" s="228">
        <v>-1.1599999999999999</v>
      </c>
      <c r="DL93" s="228">
        <v>26.32</v>
      </c>
      <c r="DM93" s="228">
        <v>26.18</v>
      </c>
      <c r="DN93" s="228">
        <v>0.14000000000000001</v>
      </c>
      <c r="DO93" s="228">
        <v>0.14000000000000001</v>
      </c>
      <c r="DP93" s="228">
        <v>0.41</v>
      </c>
      <c r="DQ93" s="228">
        <v>0.41</v>
      </c>
      <c r="DR93" s="228">
        <v>0</v>
      </c>
      <c r="DS93" s="229">
        <v>0</v>
      </c>
      <c r="DT93" s="228">
        <v>900</v>
      </c>
      <c r="DU93" s="228">
        <v>850</v>
      </c>
      <c r="DV93" s="228">
        <v>0.36</v>
      </c>
      <c r="DW93" s="228">
        <v>0.32</v>
      </c>
      <c r="DX93" s="228">
        <v>0.04</v>
      </c>
      <c r="DY93" s="229">
        <v>0.125</v>
      </c>
      <c r="DZ93" s="229">
        <v>5.5100000000000003E-2</v>
      </c>
      <c r="EA93" s="230">
        <v>623000</v>
      </c>
      <c r="EB93" s="229">
        <v>4.4999999999999997E-3</v>
      </c>
      <c r="EC93" s="229">
        <v>5.5100000000000003E-2</v>
      </c>
      <c r="ED93" s="228">
        <v>3.19</v>
      </c>
      <c r="EE93" s="229">
        <v>4.1000000000000003E-3</v>
      </c>
      <c r="EF93" s="230">
        <v>380391</v>
      </c>
      <c r="EG93" s="230">
        <v>930477</v>
      </c>
      <c r="EH93" s="229">
        <v>-0.59119999999999995</v>
      </c>
      <c r="EI93" s="229">
        <v>0.40920000000000001</v>
      </c>
      <c r="EJ93" s="231">
        <v>39316.160000000003</v>
      </c>
      <c r="EK93" s="231">
        <v>13111.88</v>
      </c>
      <c r="EL93" s="231">
        <v>11877.92</v>
      </c>
      <c r="EM93" s="231">
        <v>2202</v>
      </c>
      <c r="EN93" s="231">
        <v>64305.96</v>
      </c>
      <c r="EO93" s="231">
        <v>107202.36</v>
      </c>
      <c r="EP93" s="231">
        <v>-42896.4</v>
      </c>
      <c r="EQ93" s="229">
        <v>-0.40010000000000001</v>
      </c>
      <c r="ER93" s="231">
        <v>108043</v>
      </c>
      <c r="ES93" s="231">
        <v>40567</v>
      </c>
      <c r="ET93" s="231">
        <v>91074</v>
      </c>
      <c r="EU93" s="231">
        <v>52862157</v>
      </c>
      <c r="EV93" s="231">
        <v>239684</v>
      </c>
      <c r="EW93" s="231">
        <v>238958</v>
      </c>
      <c r="EX93" s="228">
        <v>726</v>
      </c>
      <c r="EY93" s="229">
        <v>3.0000000000000001E-3</v>
      </c>
      <c r="EZ93" s="229">
        <v>0.55520000000000003</v>
      </c>
      <c r="FA93" s="227" t="s">
        <v>556</v>
      </c>
      <c r="FB93" s="161">
        <f t="shared" si="1"/>
        <v>646000</v>
      </c>
    </row>
    <row r="94" spans="1:158" ht="17.25" hidden="1" thickBot="1" x14ac:dyDescent="0.3">
      <c r="A94" s="226">
        <v>46008</v>
      </c>
      <c r="B94" s="227" t="s">
        <v>181</v>
      </c>
      <c r="C94" s="227" t="s">
        <v>689</v>
      </c>
      <c r="D94" s="228">
        <v>1</v>
      </c>
      <c r="E94" s="228">
        <v>9.84</v>
      </c>
      <c r="F94" s="228">
        <v>10.06</v>
      </c>
      <c r="G94" s="228">
        <v>-0.22</v>
      </c>
      <c r="H94" s="229">
        <v>-2.2100000000000002E-2</v>
      </c>
      <c r="I94" s="228">
        <v>9.84</v>
      </c>
      <c r="J94" s="228">
        <v>10.06</v>
      </c>
      <c r="K94" s="228">
        <v>-0.22</v>
      </c>
      <c r="L94" s="229">
        <v>-2.2100000000000002E-2</v>
      </c>
      <c r="M94" s="228">
        <v>0</v>
      </c>
      <c r="N94" s="228">
        <v>0</v>
      </c>
      <c r="O94" s="228">
        <v>0</v>
      </c>
      <c r="P94" s="229">
        <v>0</v>
      </c>
      <c r="Q94" s="228">
        <v>0</v>
      </c>
      <c r="R94" s="228">
        <v>0</v>
      </c>
      <c r="S94" s="228">
        <v>0</v>
      </c>
      <c r="T94" s="229">
        <v>0</v>
      </c>
      <c r="U94" s="228">
        <v>0</v>
      </c>
      <c r="V94" s="228">
        <v>0</v>
      </c>
      <c r="W94" s="228">
        <v>0</v>
      </c>
      <c r="X94" s="229">
        <v>0</v>
      </c>
      <c r="Y94" s="228">
        <v>0</v>
      </c>
      <c r="Z94" s="228">
        <v>0</v>
      </c>
      <c r="AA94" s="228">
        <v>0</v>
      </c>
      <c r="AB94" s="229">
        <v>0</v>
      </c>
      <c r="AC94" s="228">
        <v>0</v>
      </c>
      <c r="AD94" s="228">
        <v>0</v>
      </c>
      <c r="AE94" s="228">
        <v>0</v>
      </c>
      <c r="AF94" s="229">
        <v>0</v>
      </c>
      <c r="AG94" s="228">
        <v>0</v>
      </c>
      <c r="AH94" s="228">
        <v>0</v>
      </c>
      <c r="AI94" s="228">
        <v>0</v>
      </c>
      <c r="AJ94" s="229">
        <v>0</v>
      </c>
      <c r="AK94" s="228">
        <v>0</v>
      </c>
      <c r="AL94" s="228">
        <v>0</v>
      </c>
      <c r="AM94" s="228">
        <v>0</v>
      </c>
      <c r="AN94" s="229">
        <v>0</v>
      </c>
      <c r="AO94" s="228">
        <v>0</v>
      </c>
      <c r="AP94" s="228">
        <v>0</v>
      </c>
      <c r="AQ94" s="228">
        <v>0</v>
      </c>
      <c r="AR94" s="228">
        <v>0</v>
      </c>
      <c r="AS94" s="228">
        <v>0</v>
      </c>
      <c r="AT94" s="228">
        <v>0</v>
      </c>
      <c r="AU94" s="229">
        <v>0</v>
      </c>
      <c r="AV94" s="228">
        <v>0</v>
      </c>
      <c r="AW94" s="228">
        <v>0</v>
      </c>
      <c r="AX94" s="228">
        <v>0</v>
      </c>
      <c r="AY94" s="229">
        <v>0</v>
      </c>
      <c r="AZ94" s="228">
        <v>0</v>
      </c>
      <c r="BA94" s="228">
        <v>0</v>
      </c>
      <c r="BB94" s="228">
        <v>0</v>
      </c>
      <c r="BC94" s="229">
        <v>0</v>
      </c>
      <c r="BD94" s="228">
        <v>0</v>
      </c>
      <c r="BE94" s="228">
        <v>0</v>
      </c>
      <c r="BF94" s="228">
        <v>0</v>
      </c>
      <c r="BG94" s="229">
        <v>0</v>
      </c>
      <c r="BH94" s="228">
        <v>0</v>
      </c>
      <c r="BI94" s="228">
        <v>0</v>
      </c>
      <c r="BJ94" s="228">
        <v>0</v>
      </c>
      <c r="BK94" s="229">
        <v>0</v>
      </c>
      <c r="BL94" s="228">
        <v>0</v>
      </c>
      <c r="BM94" s="228">
        <v>0</v>
      </c>
      <c r="BN94" s="228">
        <v>0</v>
      </c>
      <c r="BO94" s="229">
        <v>0</v>
      </c>
      <c r="BP94" s="228">
        <v>0</v>
      </c>
      <c r="BQ94" s="228">
        <v>0</v>
      </c>
      <c r="BR94" s="228">
        <v>0</v>
      </c>
      <c r="BS94" s="229">
        <v>0</v>
      </c>
      <c r="BT94" s="228">
        <v>0</v>
      </c>
      <c r="BU94" s="228">
        <v>0</v>
      </c>
      <c r="BV94" s="228">
        <v>0</v>
      </c>
      <c r="BW94" s="229">
        <v>0</v>
      </c>
      <c r="BX94" s="228">
        <v>0</v>
      </c>
      <c r="BY94" s="228">
        <v>0</v>
      </c>
      <c r="BZ94" s="228">
        <v>0</v>
      </c>
      <c r="CA94" s="229">
        <v>0</v>
      </c>
      <c r="CB94" s="228">
        <v>0</v>
      </c>
      <c r="CC94" s="228">
        <v>0</v>
      </c>
      <c r="CD94" s="228">
        <v>0</v>
      </c>
      <c r="CE94" s="229">
        <v>0</v>
      </c>
      <c r="CF94" s="228">
        <v>0</v>
      </c>
      <c r="CG94" s="228">
        <v>0</v>
      </c>
      <c r="CH94" s="228">
        <v>0</v>
      </c>
      <c r="CI94" s="229">
        <v>0</v>
      </c>
      <c r="CJ94" s="228">
        <v>0</v>
      </c>
      <c r="CK94" s="228">
        <v>0</v>
      </c>
      <c r="CL94" s="228">
        <v>0</v>
      </c>
      <c r="CM94" s="229">
        <v>0</v>
      </c>
      <c r="CN94" s="228">
        <v>0</v>
      </c>
      <c r="CO94" s="228">
        <v>0</v>
      </c>
      <c r="CP94" s="228">
        <v>0</v>
      </c>
      <c r="CQ94" s="229">
        <v>0</v>
      </c>
      <c r="CR94" s="228">
        <v>0</v>
      </c>
      <c r="CS94" s="228">
        <v>0</v>
      </c>
      <c r="CT94" s="228">
        <v>0</v>
      </c>
      <c r="CU94" s="229">
        <v>0</v>
      </c>
      <c r="CV94" s="228">
        <v>0</v>
      </c>
      <c r="CW94" s="228">
        <v>0</v>
      </c>
      <c r="CX94" s="228">
        <v>0</v>
      </c>
      <c r="CY94" s="229">
        <v>0</v>
      </c>
      <c r="CZ94" s="228">
        <v>0</v>
      </c>
      <c r="DA94" s="228">
        <v>0</v>
      </c>
      <c r="DB94" s="228">
        <v>0</v>
      </c>
      <c r="DC94" s="228">
        <v>0</v>
      </c>
      <c r="DD94" s="228">
        <v>0</v>
      </c>
      <c r="DE94" s="228">
        <v>0</v>
      </c>
      <c r="DF94" s="228">
        <v>0</v>
      </c>
      <c r="DG94" s="228">
        <v>0</v>
      </c>
      <c r="DH94" s="228">
        <v>0</v>
      </c>
      <c r="DI94" s="228">
        <v>0</v>
      </c>
      <c r="DJ94" s="228">
        <v>0</v>
      </c>
      <c r="DK94" s="228">
        <v>0</v>
      </c>
      <c r="DL94" s="228">
        <v>0</v>
      </c>
      <c r="DM94" s="228">
        <v>0</v>
      </c>
      <c r="DN94" s="228">
        <v>0</v>
      </c>
      <c r="DO94" s="228">
        <v>0</v>
      </c>
      <c r="DP94" s="228">
        <v>0</v>
      </c>
      <c r="DQ94" s="228">
        <v>0</v>
      </c>
      <c r="DR94" s="228">
        <v>0</v>
      </c>
      <c r="DS94" s="229">
        <v>0</v>
      </c>
      <c r="DT94" s="228">
        <v>0</v>
      </c>
      <c r="DU94" s="228">
        <v>0</v>
      </c>
      <c r="DV94" s="228">
        <v>0</v>
      </c>
      <c r="DW94" s="228">
        <v>0</v>
      </c>
      <c r="DX94" s="228">
        <v>0</v>
      </c>
      <c r="DY94" s="229">
        <v>0</v>
      </c>
      <c r="DZ94" s="229">
        <v>0</v>
      </c>
      <c r="EA94" s="228">
        <v>0</v>
      </c>
      <c r="EB94" s="229">
        <v>0</v>
      </c>
      <c r="EC94" s="229">
        <v>0</v>
      </c>
      <c r="ED94" s="228">
        <v>0</v>
      </c>
      <c r="EE94" s="229">
        <v>0</v>
      </c>
      <c r="EF94" s="228">
        <v>0</v>
      </c>
      <c r="EG94" s="228">
        <v>0</v>
      </c>
      <c r="EH94" s="229">
        <v>0</v>
      </c>
      <c r="EI94" s="229">
        <v>0</v>
      </c>
      <c r="EJ94" s="228">
        <v>0</v>
      </c>
      <c r="EK94" s="228">
        <v>0</v>
      </c>
      <c r="EL94" s="228">
        <v>0</v>
      </c>
      <c r="EM94" s="228">
        <v>0</v>
      </c>
      <c r="EN94" s="228">
        <v>0</v>
      </c>
      <c r="EO94" s="228">
        <v>0</v>
      </c>
      <c r="EP94" s="228">
        <v>0</v>
      </c>
      <c r="EQ94" s="229">
        <v>0</v>
      </c>
      <c r="ER94" s="228">
        <v>0</v>
      </c>
      <c r="ES94" s="228">
        <v>0</v>
      </c>
      <c r="ET94" s="228">
        <v>0</v>
      </c>
      <c r="EU94" s="228">
        <v>0</v>
      </c>
      <c r="EV94" s="228">
        <v>0</v>
      </c>
      <c r="EW94" s="228">
        <v>0</v>
      </c>
      <c r="EX94" s="228">
        <v>0</v>
      </c>
      <c r="EY94" s="229">
        <v>0</v>
      </c>
      <c r="EZ94" s="229">
        <v>0</v>
      </c>
      <c r="FA94" s="227" t="s">
        <v>237</v>
      </c>
      <c r="FB94" s="161">
        <f t="shared" si="1"/>
        <v>0</v>
      </c>
    </row>
    <row r="95" spans="1:158" ht="17.25" hidden="1" thickBot="1" x14ac:dyDescent="0.3">
      <c r="A95" s="226">
        <v>46008</v>
      </c>
      <c r="B95" s="227" t="s">
        <v>215</v>
      </c>
      <c r="C95" s="227" t="s">
        <v>238</v>
      </c>
      <c r="D95" s="228">
        <v>150</v>
      </c>
      <c r="E95" s="231">
        <v>4984</v>
      </c>
      <c r="F95" s="231">
        <v>4979.5</v>
      </c>
      <c r="G95" s="228">
        <v>4.5</v>
      </c>
      <c r="H95" s="229">
        <v>8.9999999999999998E-4</v>
      </c>
      <c r="I95" s="231">
        <v>4980.5</v>
      </c>
      <c r="J95" s="231">
        <v>4974</v>
      </c>
      <c r="K95" s="228">
        <v>6.5</v>
      </c>
      <c r="L95" s="229">
        <v>1.2999999999999999E-3</v>
      </c>
      <c r="M95" s="231">
        <v>4984</v>
      </c>
      <c r="N95" s="231">
        <v>4979.5</v>
      </c>
      <c r="O95" s="228">
        <v>4.5</v>
      </c>
      <c r="P95" s="229">
        <v>8.9999999999999998E-4</v>
      </c>
      <c r="Q95" s="231">
        <v>5009.5</v>
      </c>
      <c r="R95" s="231">
        <v>5002</v>
      </c>
      <c r="S95" s="228">
        <v>7.5</v>
      </c>
      <c r="T95" s="229">
        <v>1.5E-3</v>
      </c>
      <c r="U95" s="231">
        <v>5039.5</v>
      </c>
      <c r="V95" s="231">
        <v>5034.5</v>
      </c>
      <c r="W95" s="228">
        <v>5</v>
      </c>
      <c r="X95" s="229">
        <v>1E-3</v>
      </c>
      <c r="Y95" s="228">
        <v>3.5</v>
      </c>
      <c r="Z95" s="228">
        <v>5.5</v>
      </c>
      <c r="AA95" s="228">
        <v>-2</v>
      </c>
      <c r="AB95" s="229">
        <v>6.9999999999999999E-4</v>
      </c>
      <c r="AC95" s="228">
        <v>3.5</v>
      </c>
      <c r="AD95" s="228">
        <v>5.5</v>
      </c>
      <c r="AE95" s="228">
        <v>-2</v>
      </c>
      <c r="AF95" s="229">
        <v>6.9999999999999999E-4</v>
      </c>
      <c r="AG95" s="228">
        <v>29</v>
      </c>
      <c r="AH95" s="228">
        <v>28</v>
      </c>
      <c r="AI95" s="228">
        <v>1</v>
      </c>
      <c r="AJ95" s="229">
        <v>5.7999999999999996E-3</v>
      </c>
      <c r="AK95" s="228">
        <v>59</v>
      </c>
      <c r="AL95" s="228">
        <v>60.5</v>
      </c>
      <c r="AM95" s="228">
        <v>-1.5</v>
      </c>
      <c r="AN95" s="229">
        <v>1.18E-2</v>
      </c>
      <c r="AO95" s="231">
        <v>4977.93</v>
      </c>
      <c r="AP95" s="231">
        <v>5001.1099999999997</v>
      </c>
      <c r="AQ95" s="228">
        <v>0</v>
      </c>
      <c r="AR95" s="230">
        <v>1128150</v>
      </c>
      <c r="AS95" s="230">
        <v>1986600</v>
      </c>
      <c r="AT95" s="230">
        <v>-858450</v>
      </c>
      <c r="AU95" s="229">
        <v>-0.43209999999999998</v>
      </c>
      <c r="AV95" s="230">
        <v>925050</v>
      </c>
      <c r="AW95" s="230">
        <v>1704150</v>
      </c>
      <c r="AX95" s="230">
        <v>-779100</v>
      </c>
      <c r="AY95" s="229">
        <v>-0.4572</v>
      </c>
      <c r="AZ95" s="230">
        <v>186300</v>
      </c>
      <c r="BA95" s="230">
        <v>257100</v>
      </c>
      <c r="BB95" s="230">
        <v>-70800</v>
      </c>
      <c r="BC95" s="229">
        <v>-0.27539999999999998</v>
      </c>
      <c r="BD95" s="230">
        <v>16800</v>
      </c>
      <c r="BE95" s="230">
        <v>25350</v>
      </c>
      <c r="BF95" s="230">
        <v>-8550</v>
      </c>
      <c r="BG95" s="229">
        <v>-0.33729999999999999</v>
      </c>
      <c r="BH95" s="230">
        <v>8553900</v>
      </c>
      <c r="BI95" s="230">
        <v>12705600</v>
      </c>
      <c r="BJ95" s="230">
        <v>-4151700</v>
      </c>
      <c r="BK95" s="229">
        <v>-0.32679999999999998</v>
      </c>
      <c r="BL95" s="230">
        <v>4325250</v>
      </c>
      <c r="BM95" s="230">
        <v>6288750</v>
      </c>
      <c r="BN95" s="230">
        <v>-1963500</v>
      </c>
      <c r="BO95" s="229">
        <v>-0.31219999999999998</v>
      </c>
      <c r="BP95" s="230">
        <v>14007300</v>
      </c>
      <c r="BQ95" s="230">
        <v>20980950</v>
      </c>
      <c r="BR95" s="230">
        <v>-6973650</v>
      </c>
      <c r="BS95" s="229">
        <v>-0.33239999999999997</v>
      </c>
      <c r="BT95" s="230">
        <v>1662896</v>
      </c>
      <c r="BU95" s="230">
        <v>2577890</v>
      </c>
      <c r="BV95" s="230">
        <v>-914994</v>
      </c>
      <c r="BW95" s="229">
        <v>-0.35489999999999999</v>
      </c>
      <c r="BX95" s="230">
        <v>12282600</v>
      </c>
      <c r="BY95" s="230">
        <v>12496350</v>
      </c>
      <c r="BZ95" s="230">
        <v>-213750</v>
      </c>
      <c r="CA95" s="229">
        <v>-1.7100000000000001E-2</v>
      </c>
      <c r="CB95" s="230">
        <v>10935900</v>
      </c>
      <c r="CC95" s="230">
        <v>11178450</v>
      </c>
      <c r="CD95" s="230">
        <v>-242550</v>
      </c>
      <c r="CE95" s="229">
        <v>-2.1700000000000001E-2</v>
      </c>
      <c r="CF95" s="230">
        <v>1162350</v>
      </c>
      <c r="CG95" s="230">
        <v>1133550</v>
      </c>
      <c r="CH95" s="230">
        <v>28800</v>
      </c>
      <c r="CI95" s="229">
        <v>2.5399999999999999E-2</v>
      </c>
      <c r="CJ95" s="230">
        <v>184350</v>
      </c>
      <c r="CK95" s="230">
        <v>184350</v>
      </c>
      <c r="CL95" s="228">
        <v>0</v>
      </c>
      <c r="CM95" s="229">
        <v>0</v>
      </c>
      <c r="CN95" s="230">
        <v>17122350</v>
      </c>
      <c r="CO95" s="230">
        <v>17578350</v>
      </c>
      <c r="CP95" s="230">
        <v>-456000</v>
      </c>
      <c r="CQ95" s="229">
        <v>-2.5899999999999999E-2</v>
      </c>
      <c r="CR95" s="230">
        <v>8243550</v>
      </c>
      <c r="CS95" s="230">
        <v>8530350</v>
      </c>
      <c r="CT95" s="230">
        <v>-286800</v>
      </c>
      <c r="CU95" s="229">
        <v>-3.3599999999999998E-2</v>
      </c>
      <c r="CV95" s="230">
        <v>37648500</v>
      </c>
      <c r="CW95" s="230">
        <v>38605050</v>
      </c>
      <c r="CX95" s="230">
        <v>-956550</v>
      </c>
      <c r="CY95" s="229">
        <v>-2.4799999999999999E-2</v>
      </c>
      <c r="CZ95" s="228">
        <v>29.86</v>
      </c>
      <c r="DA95" s="228">
        <v>30.91</v>
      </c>
      <c r="DB95" s="228">
        <v>-1.05</v>
      </c>
      <c r="DC95" s="228">
        <v>-1.05</v>
      </c>
      <c r="DD95" s="228">
        <v>33.799999999999997</v>
      </c>
      <c r="DE95" s="228">
        <v>33.880000000000003</v>
      </c>
      <c r="DF95" s="228">
        <v>-3.94</v>
      </c>
      <c r="DG95" s="228">
        <v>-0.08</v>
      </c>
      <c r="DH95" s="228">
        <v>29.87</v>
      </c>
      <c r="DI95" s="228">
        <v>30.79</v>
      </c>
      <c r="DJ95" s="228">
        <v>-0.92</v>
      </c>
      <c r="DK95" s="228">
        <v>-0.92</v>
      </c>
      <c r="DL95" s="228">
        <v>29.83</v>
      </c>
      <c r="DM95" s="228">
        <v>31.13</v>
      </c>
      <c r="DN95" s="228">
        <v>-1.3</v>
      </c>
      <c r="DO95" s="228">
        <v>-1.3</v>
      </c>
      <c r="DP95" s="228">
        <v>0.48</v>
      </c>
      <c r="DQ95" s="228">
        <v>0.49</v>
      </c>
      <c r="DR95" s="228">
        <v>-0.01</v>
      </c>
      <c r="DS95" s="229">
        <v>-2.0400000000000001E-2</v>
      </c>
      <c r="DT95" s="231">
        <v>5500</v>
      </c>
      <c r="DU95" s="231">
        <v>4500</v>
      </c>
      <c r="DV95" s="228">
        <v>0.51</v>
      </c>
      <c r="DW95" s="228">
        <v>0.49</v>
      </c>
      <c r="DX95" s="228">
        <v>0.02</v>
      </c>
      <c r="DY95" s="229">
        <v>4.0800000000000003E-2</v>
      </c>
      <c r="DZ95" s="229">
        <v>0.1096</v>
      </c>
      <c r="EA95" s="230">
        <v>1317900</v>
      </c>
      <c r="EB95" s="229">
        <v>5.1000000000000004E-3</v>
      </c>
      <c r="EC95" s="229">
        <v>0.1096</v>
      </c>
      <c r="ED95" s="228">
        <v>23.18</v>
      </c>
      <c r="EE95" s="229">
        <v>4.7000000000000002E-3</v>
      </c>
      <c r="EF95" s="230">
        <v>930071</v>
      </c>
      <c r="EG95" s="230">
        <v>1559460</v>
      </c>
      <c r="EH95" s="229">
        <v>-0.40360000000000001</v>
      </c>
      <c r="EI95" s="229">
        <v>0.55930000000000002</v>
      </c>
      <c r="EJ95" s="231">
        <v>455138.54</v>
      </c>
      <c r="EK95" s="231">
        <v>209145.59</v>
      </c>
      <c r="EL95" s="231">
        <v>56210.33</v>
      </c>
      <c r="EM95" s="231">
        <v>26766</v>
      </c>
      <c r="EN95" s="231">
        <v>720494.46</v>
      </c>
      <c r="EO95" s="231">
        <v>1077705.32</v>
      </c>
      <c r="EP95" s="231">
        <v>-357210.86</v>
      </c>
      <c r="EQ95" s="229">
        <v>-0.33150000000000002</v>
      </c>
      <c r="ER95" s="231">
        <v>931444</v>
      </c>
      <c r="ES95" s="231">
        <v>401953</v>
      </c>
      <c r="ET95" s="231">
        <v>612563</v>
      </c>
      <c r="EU95" s="231">
        <v>32732860</v>
      </c>
      <c r="EV95" s="231">
        <v>1945960</v>
      </c>
      <c r="EW95" s="231">
        <v>1994358</v>
      </c>
      <c r="EX95" s="231">
        <v>-48398</v>
      </c>
      <c r="EY95" s="229">
        <v>-2.4299999999999999E-2</v>
      </c>
      <c r="EZ95" s="229">
        <v>1.1501999999999999</v>
      </c>
      <c r="FA95" s="227" t="s">
        <v>556</v>
      </c>
      <c r="FB95" s="161">
        <f t="shared" si="1"/>
        <v>1346700</v>
      </c>
    </row>
    <row r="96" spans="1:158" ht="17.25" hidden="1" thickBot="1" x14ac:dyDescent="0.3">
      <c r="A96" s="226">
        <v>46008</v>
      </c>
      <c r="B96" s="227" t="s">
        <v>172</v>
      </c>
      <c r="C96" s="227" t="s">
        <v>239</v>
      </c>
      <c r="D96" s="228">
        <v>700</v>
      </c>
      <c r="E96" s="228">
        <v>834.65</v>
      </c>
      <c r="F96" s="228">
        <v>846.6</v>
      </c>
      <c r="G96" s="228">
        <v>-11.95</v>
      </c>
      <c r="H96" s="229">
        <v>-1.41E-2</v>
      </c>
      <c r="I96" s="228">
        <v>833.85</v>
      </c>
      <c r="J96" s="228">
        <v>845.05</v>
      </c>
      <c r="K96" s="228">
        <v>-11.2</v>
      </c>
      <c r="L96" s="229">
        <v>-1.3299999999999999E-2</v>
      </c>
      <c r="M96" s="228">
        <v>834.65</v>
      </c>
      <c r="N96" s="228">
        <v>846.6</v>
      </c>
      <c r="O96" s="228">
        <v>-11.95</v>
      </c>
      <c r="P96" s="229">
        <v>-1.41E-2</v>
      </c>
      <c r="Q96" s="228">
        <v>839.8</v>
      </c>
      <c r="R96" s="228">
        <v>851.9</v>
      </c>
      <c r="S96" s="228">
        <v>-12.1</v>
      </c>
      <c r="T96" s="229">
        <v>-1.4200000000000001E-2</v>
      </c>
      <c r="U96" s="228">
        <v>844.8</v>
      </c>
      <c r="V96" s="228">
        <v>855.4</v>
      </c>
      <c r="W96" s="228">
        <v>-10.6</v>
      </c>
      <c r="X96" s="229">
        <v>-1.24E-2</v>
      </c>
      <c r="Y96" s="228">
        <v>0.8</v>
      </c>
      <c r="Z96" s="228">
        <v>1.55</v>
      </c>
      <c r="AA96" s="228">
        <v>-0.75</v>
      </c>
      <c r="AB96" s="229">
        <v>1E-3</v>
      </c>
      <c r="AC96" s="228">
        <v>0.8</v>
      </c>
      <c r="AD96" s="228">
        <v>1.55</v>
      </c>
      <c r="AE96" s="228">
        <v>-0.75</v>
      </c>
      <c r="AF96" s="229">
        <v>1E-3</v>
      </c>
      <c r="AG96" s="228">
        <v>5.95</v>
      </c>
      <c r="AH96" s="228">
        <v>6.85</v>
      </c>
      <c r="AI96" s="228">
        <v>-0.9</v>
      </c>
      <c r="AJ96" s="229">
        <v>7.1000000000000004E-3</v>
      </c>
      <c r="AK96" s="228">
        <v>10.95</v>
      </c>
      <c r="AL96" s="228">
        <v>10.35</v>
      </c>
      <c r="AM96" s="228">
        <v>0.6</v>
      </c>
      <c r="AN96" s="229">
        <v>1.3100000000000001E-2</v>
      </c>
      <c r="AO96" s="228">
        <v>835.64</v>
      </c>
      <c r="AP96" s="228">
        <v>840.99</v>
      </c>
      <c r="AQ96" s="228">
        <v>0</v>
      </c>
      <c r="AR96" s="230">
        <v>7035700</v>
      </c>
      <c r="AS96" s="230">
        <v>4316200</v>
      </c>
      <c r="AT96" s="230">
        <v>2719500</v>
      </c>
      <c r="AU96" s="229">
        <v>0.63009999999999999</v>
      </c>
      <c r="AV96" s="230">
        <v>5600700</v>
      </c>
      <c r="AW96" s="230">
        <v>3614800</v>
      </c>
      <c r="AX96" s="230">
        <v>1985900</v>
      </c>
      <c r="AY96" s="229">
        <v>0.5494</v>
      </c>
      <c r="AZ96" s="230">
        <v>1227100</v>
      </c>
      <c r="BA96" s="230">
        <v>671300</v>
      </c>
      <c r="BB96" s="230">
        <v>555800</v>
      </c>
      <c r="BC96" s="229">
        <v>0.82789999999999997</v>
      </c>
      <c r="BD96" s="230">
        <v>207900</v>
      </c>
      <c r="BE96" s="230">
        <v>30100</v>
      </c>
      <c r="BF96" s="230">
        <v>177800</v>
      </c>
      <c r="BG96" s="229">
        <v>5.907</v>
      </c>
      <c r="BH96" s="230">
        <v>17574900</v>
      </c>
      <c r="BI96" s="230">
        <v>10781400</v>
      </c>
      <c r="BJ96" s="230">
        <v>6793500</v>
      </c>
      <c r="BK96" s="229">
        <v>0.63009999999999999</v>
      </c>
      <c r="BL96" s="230">
        <v>15474900</v>
      </c>
      <c r="BM96" s="230">
        <v>4355400</v>
      </c>
      <c r="BN96" s="230">
        <v>11119500</v>
      </c>
      <c r="BO96" s="229">
        <v>2.5529999999999999</v>
      </c>
      <c r="BP96" s="230">
        <v>40085500</v>
      </c>
      <c r="BQ96" s="230">
        <v>19453000</v>
      </c>
      <c r="BR96" s="230">
        <v>20632500</v>
      </c>
      <c r="BS96" s="229">
        <v>1.0606</v>
      </c>
      <c r="BT96" s="230">
        <v>3214781</v>
      </c>
      <c r="BU96" s="230">
        <v>2874681</v>
      </c>
      <c r="BV96" s="230">
        <v>340100</v>
      </c>
      <c r="BW96" s="229">
        <v>0.1183</v>
      </c>
      <c r="BX96" s="230">
        <v>47792500</v>
      </c>
      <c r="BY96" s="230">
        <v>48011600</v>
      </c>
      <c r="BZ96" s="230">
        <v>-219100</v>
      </c>
      <c r="CA96" s="229">
        <v>-4.5999999999999999E-3</v>
      </c>
      <c r="CB96" s="230">
        <v>43131900</v>
      </c>
      <c r="CC96" s="230">
        <v>44156000</v>
      </c>
      <c r="CD96" s="230">
        <v>-1024100</v>
      </c>
      <c r="CE96" s="229">
        <v>-2.3199999999999998E-2</v>
      </c>
      <c r="CF96" s="230">
        <v>4190900</v>
      </c>
      <c r="CG96" s="230">
        <v>3481800</v>
      </c>
      <c r="CH96" s="230">
        <v>709100</v>
      </c>
      <c r="CI96" s="229">
        <v>0.20369999999999999</v>
      </c>
      <c r="CJ96" s="230">
        <v>469700</v>
      </c>
      <c r="CK96" s="230">
        <v>373800</v>
      </c>
      <c r="CL96" s="230">
        <v>95900</v>
      </c>
      <c r="CM96" s="229">
        <v>0.25659999999999999</v>
      </c>
      <c r="CN96" s="230">
        <v>14210000</v>
      </c>
      <c r="CO96" s="230">
        <v>13754300</v>
      </c>
      <c r="CP96" s="230">
        <v>455700</v>
      </c>
      <c r="CQ96" s="229">
        <v>3.3099999999999997E-2</v>
      </c>
      <c r="CR96" s="230">
        <v>9935100</v>
      </c>
      <c r="CS96" s="230">
        <v>9559200</v>
      </c>
      <c r="CT96" s="230">
        <v>375900</v>
      </c>
      <c r="CU96" s="229">
        <v>3.9300000000000002E-2</v>
      </c>
      <c r="CV96" s="230">
        <v>71937600</v>
      </c>
      <c r="CW96" s="230">
        <v>71325100</v>
      </c>
      <c r="CX96" s="230">
        <v>612500</v>
      </c>
      <c r="CY96" s="229">
        <v>8.6E-3</v>
      </c>
      <c r="CZ96" s="228">
        <v>27.21</v>
      </c>
      <c r="DA96" s="228">
        <v>26.35</v>
      </c>
      <c r="DB96" s="228">
        <v>0.86</v>
      </c>
      <c r="DC96" s="228">
        <v>0.86</v>
      </c>
      <c r="DD96" s="228">
        <v>44.31</v>
      </c>
      <c r="DE96" s="228">
        <v>44.39</v>
      </c>
      <c r="DF96" s="228">
        <v>-17.100000000000001</v>
      </c>
      <c r="DG96" s="228">
        <v>-0.08</v>
      </c>
      <c r="DH96" s="228">
        <v>27.55</v>
      </c>
      <c r="DI96" s="228">
        <v>26.47</v>
      </c>
      <c r="DJ96" s="228">
        <v>1.08</v>
      </c>
      <c r="DK96" s="228">
        <v>1.08</v>
      </c>
      <c r="DL96" s="228">
        <v>26.82</v>
      </c>
      <c r="DM96" s="228">
        <v>26.06</v>
      </c>
      <c r="DN96" s="228">
        <v>0.76</v>
      </c>
      <c r="DO96" s="228">
        <v>0.76</v>
      </c>
      <c r="DP96" s="228">
        <v>0.7</v>
      </c>
      <c r="DQ96" s="228">
        <v>0.69</v>
      </c>
      <c r="DR96" s="228">
        <v>0.01</v>
      </c>
      <c r="DS96" s="229">
        <v>1.4500000000000001E-2</v>
      </c>
      <c r="DT96" s="228">
        <v>900</v>
      </c>
      <c r="DU96" s="228">
        <v>820</v>
      </c>
      <c r="DV96" s="228">
        <v>0.88</v>
      </c>
      <c r="DW96" s="228">
        <v>0.4</v>
      </c>
      <c r="DX96" s="228">
        <v>0.48</v>
      </c>
      <c r="DY96" s="229">
        <v>1.2</v>
      </c>
      <c r="DZ96" s="229">
        <v>9.7500000000000003E-2</v>
      </c>
      <c r="EA96" s="230">
        <v>3855600</v>
      </c>
      <c r="EB96" s="229">
        <v>6.1999999999999998E-3</v>
      </c>
      <c r="EC96" s="229">
        <v>9.7500000000000003E-2</v>
      </c>
      <c r="ED96" s="228">
        <v>5.35</v>
      </c>
      <c r="EE96" s="229">
        <v>6.4000000000000003E-3</v>
      </c>
      <c r="EF96" s="230">
        <v>1509934</v>
      </c>
      <c r="EG96" s="230">
        <v>1481232</v>
      </c>
      <c r="EH96" s="229">
        <v>1.9400000000000001E-2</v>
      </c>
      <c r="EI96" s="229">
        <v>0.46970000000000001</v>
      </c>
      <c r="EJ96" s="231">
        <v>154210.60999999999</v>
      </c>
      <c r="EK96" s="231">
        <v>127664.64</v>
      </c>
      <c r="EL96" s="231">
        <v>58880.5</v>
      </c>
      <c r="EM96" s="231">
        <v>7615</v>
      </c>
      <c r="EN96" s="231">
        <v>340755.75</v>
      </c>
      <c r="EO96" s="231">
        <v>168349.7</v>
      </c>
      <c r="EP96" s="231">
        <v>172406.05</v>
      </c>
      <c r="EQ96" s="229">
        <v>1.0241</v>
      </c>
      <c r="ER96" s="231">
        <v>125960</v>
      </c>
      <c r="ES96" s="231">
        <v>81949</v>
      </c>
      <c r="ET96" s="231">
        <v>399164</v>
      </c>
      <c r="EU96" s="231">
        <v>93805784</v>
      </c>
      <c r="EV96" s="231">
        <v>607073</v>
      </c>
      <c r="EW96" s="231">
        <v>607979</v>
      </c>
      <c r="EX96" s="228">
        <v>-906</v>
      </c>
      <c r="EY96" s="229">
        <v>-1.5E-3</v>
      </c>
      <c r="EZ96" s="229">
        <v>0.76690000000000003</v>
      </c>
      <c r="FA96" s="227" t="s">
        <v>568</v>
      </c>
      <c r="FB96" s="161">
        <f t="shared" si="1"/>
        <v>4660600</v>
      </c>
    </row>
    <row r="97" spans="1:158" ht="17.25" hidden="1" thickBot="1" x14ac:dyDescent="0.3">
      <c r="A97" s="226">
        <v>46008</v>
      </c>
      <c r="B97" s="227" t="s">
        <v>188</v>
      </c>
      <c r="C97" s="227" t="s">
        <v>473</v>
      </c>
      <c r="D97" s="228">
        <v>1700</v>
      </c>
      <c r="E97" s="228">
        <v>408.6</v>
      </c>
      <c r="F97" s="228">
        <v>409.6</v>
      </c>
      <c r="G97" s="228">
        <v>-1</v>
      </c>
      <c r="H97" s="229">
        <v>-2.3999999999999998E-3</v>
      </c>
      <c r="I97" s="228">
        <v>407.2</v>
      </c>
      <c r="J97" s="228">
        <v>408.15</v>
      </c>
      <c r="K97" s="228">
        <v>-0.95</v>
      </c>
      <c r="L97" s="229">
        <v>-2.3E-3</v>
      </c>
      <c r="M97" s="228">
        <v>408.6</v>
      </c>
      <c r="N97" s="228">
        <v>409.6</v>
      </c>
      <c r="O97" s="228">
        <v>-1</v>
      </c>
      <c r="P97" s="229">
        <v>-2.3999999999999998E-3</v>
      </c>
      <c r="Q97" s="228">
        <v>410.95</v>
      </c>
      <c r="R97" s="228">
        <v>412.4</v>
      </c>
      <c r="S97" s="228">
        <v>-1.45</v>
      </c>
      <c r="T97" s="229">
        <v>-3.5000000000000001E-3</v>
      </c>
      <c r="U97" s="228">
        <v>413.5</v>
      </c>
      <c r="V97" s="228">
        <v>415</v>
      </c>
      <c r="W97" s="228">
        <v>-1.5</v>
      </c>
      <c r="X97" s="229">
        <v>-3.5999999999999999E-3</v>
      </c>
      <c r="Y97" s="228">
        <v>1.4</v>
      </c>
      <c r="Z97" s="228">
        <v>1.45</v>
      </c>
      <c r="AA97" s="228">
        <v>-0.05</v>
      </c>
      <c r="AB97" s="229">
        <v>3.3999999999999998E-3</v>
      </c>
      <c r="AC97" s="228">
        <v>1.4</v>
      </c>
      <c r="AD97" s="228">
        <v>1.45</v>
      </c>
      <c r="AE97" s="228">
        <v>-0.05</v>
      </c>
      <c r="AF97" s="229">
        <v>3.3999999999999998E-3</v>
      </c>
      <c r="AG97" s="228">
        <v>3.75</v>
      </c>
      <c r="AH97" s="228">
        <v>4.25</v>
      </c>
      <c r="AI97" s="228">
        <v>-0.5</v>
      </c>
      <c r="AJ97" s="229">
        <v>9.1999999999999998E-3</v>
      </c>
      <c r="AK97" s="228">
        <v>6.3</v>
      </c>
      <c r="AL97" s="228">
        <v>6.85</v>
      </c>
      <c r="AM97" s="228">
        <v>-0.55000000000000004</v>
      </c>
      <c r="AN97" s="229">
        <v>1.55E-2</v>
      </c>
      <c r="AO97" s="228">
        <v>407.58</v>
      </c>
      <c r="AP97" s="228">
        <v>410.26</v>
      </c>
      <c r="AQ97" s="228">
        <v>0</v>
      </c>
      <c r="AR97" s="230">
        <v>5943200</v>
      </c>
      <c r="AS97" s="230">
        <v>7605800</v>
      </c>
      <c r="AT97" s="230">
        <v>-1662600</v>
      </c>
      <c r="AU97" s="229">
        <v>-0.21859999999999999</v>
      </c>
      <c r="AV97" s="230">
        <v>5186700</v>
      </c>
      <c r="AW97" s="230">
        <v>6533100</v>
      </c>
      <c r="AX97" s="230">
        <v>-1346400</v>
      </c>
      <c r="AY97" s="229">
        <v>-0.20610000000000001</v>
      </c>
      <c r="AZ97" s="230">
        <v>744600</v>
      </c>
      <c r="BA97" s="230">
        <v>1055700</v>
      </c>
      <c r="BB97" s="230">
        <v>-311100</v>
      </c>
      <c r="BC97" s="229">
        <v>-0.29470000000000002</v>
      </c>
      <c r="BD97" s="230">
        <v>11900</v>
      </c>
      <c r="BE97" s="230">
        <v>17000</v>
      </c>
      <c r="BF97" s="230">
        <v>-5100</v>
      </c>
      <c r="BG97" s="229">
        <v>-0.3</v>
      </c>
      <c r="BH97" s="230">
        <v>17535500</v>
      </c>
      <c r="BI97" s="230">
        <v>19539800</v>
      </c>
      <c r="BJ97" s="230">
        <v>-2004300</v>
      </c>
      <c r="BK97" s="229">
        <v>-0.1026</v>
      </c>
      <c r="BL97" s="230">
        <v>4323100</v>
      </c>
      <c r="BM97" s="230">
        <v>7136600</v>
      </c>
      <c r="BN97" s="230">
        <v>-2813500</v>
      </c>
      <c r="BO97" s="229">
        <v>-0.39419999999999999</v>
      </c>
      <c r="BP97" s="230">
        <v>27801800</v>
      </c>
      <c r="BQ97" s="230">
        <v>34282200</v>
      </c>
      <c r="BR97" s="230">
        <v>-6480400</v>
      </c>
      <c r="BS97" s="229">
        <v>-0.189</v>
      </c>
      <c r="BT97" s="230">
        <v>4617669</v>
      </c>
      <c r="BU97" s="230">
        <v>4545247</v>
      </c>
      <c r="BV97" s="230">
        <v>72422</v>
      </c>
      <c r="BW97" s="229">
        <v>1.5900000000000001E-2</v>
      </c>
      <c r="BX97" s="230">
        <v>83617900</v>
      </c>
      <c r="BY97" s="230">
        <v>84542700</v>
      </c>
      <c r="BZ97" s="230">
        <v>-924800</v>
      </c>
      <c r="CA97" s="229">
        <v>-1.09E-2</v>
      </c>
      <c r="CB97" s="230">
        <v>80750000</v>
      </c>
      <c r="CC97" s="230">
        <v>81906000</v>
      </c>
      <c r="CD97" s="230">
        <v>-1156000</v>
      </c>
      <c r="CE97" s="229">
        <v>-1.41E-2</v>
      </c>
      <c r="CF97" s="230">
        <v>2680900</v>
      </c>
      <c r="CG97" s="230">
        <v>2448000</v>
      </c>
      <c r="CH97" s="230">
        <v>232900</v>
      </c>
      <c r="CI97" s="229">
        <v>9.5100000000000004E-2</v>
      </c>
      <c r="CJ97" s="230">
        <v>187000</v>
      </c>
      <c r="CK97" s="230">
        <v>188700</v>
      </c>
      <c r="CL97" s="230">
        <v>-1700</v>
      </c>
      <c r="CM97" s="229">
        <v>-8.9999999999999993E-3</v>
      </c>
      <c r="CN97" s="230">
        <v>26888900</v>
      </c>
      <c r="CO97" s="230">
        <v>27132000</v>
      </c>
      <c r="CP97" s="230">
        <v>-243100</v>
      </c>
      <c r="CQ97" s="229">
        <v>-8.9999999999999993E-3</v>
      </c>
      <c r="CR97" s="230">
        <v>15793000</v>
      </c>
      <c r="CS97" s="230">
        <v>15640000</v>
      </c>
      <c r="CT97" s="230">
        <v>153000</v>
      </c>
      <c r="CU97" s="229">
        <v>9.7999999999999997E-3</v>
      </c>
      <c r="CV97" s="230">
        <v>126299800</v>
      </c>
      <c r="CW97" s="230">
        <v>127314700</v>
      </c>
      <c r="CX97" s="230">
        <v>-1014900</v>
      </c>
      <c r="CY97" s="229">
        <v>-8.0000000000000002E-3</v>
      </c>
      <c r="CZ97" s="228">
        <v>26.8</v>
      </c>
      <c r="DA97" s="228">
        <v>28.19</v>
      </c>
      <c r="DB97" s="228">
        <v>-1.39</v>
      </c>
      <c r="DC97" s="228">
        <v>-1.39</v>
      </c>
      <c r="DD97" s="228">
        <v>38.61</v>
      </c>
      <c r="DE97" s="228">
        <v>38.71</v>
      </c>
      <c r="DF97" s="228">
        <v>-11.81</v>
      </c>
      <c r="DG97" s="228">
        <v>-0.1</v>
      </c>
      <c r="DH97" s="228">
        <v>26.84</v>
      </c>
      <c r="DI97" s="228">
        <v>28.21</v>
      </c>
      <c r="DJ97" s="228">
        <v>-1.37</v>
      </c>
      <c r="DK97" s="228">
        <v>-1.37</v>
      </c>
      <c r="DL97" s="228">
        <v>26.65</v>
      </c>
      <c r="DM97" s="228">
        <v>28.15</v>
      </c>
      <c r="DN97" s="228">
        <v>-1.5</v>
      </c>
      <c r="DO97" s="228">
        <v>-1.5</v>
      </c>
      <c r="DP97" s="228">
        <v>0.59</v>
      </c>
      <c r="DQ97" s="228">
        <v>0.57999999999999996</v>
      </c>
      <c r="DR97" s="228">
        <v>0.01</v>
      </c>
      <c r="DS97" s="229">
        <v>1.72E-2</v>
      </c>
      <c r="DT97" s="228">
        <v>420</v>
      </c>
      <c r="DU97" s="228">
        <v>400</v>
      </c>
      <c r="DV97" s="228">
        <v>0.25</v>
      </c>
      <c r="DW97" s="228">
        <v>0.37</v>
      </c>
      <c r="DX97" s="228">
        <v>-0.12</v>
      </c>
      <c r="DY97" s="229">
        <v>-0.32429999999999998</v>
      </c>
      <c r="DZ97" s="229">
        <v>3.4299999999999997E-2</v>
      </c>
      <c r="EA97" s="230">
        <v>2636700</v>
      </c>
      <c r="EB97" s="229">
        <v>5.7999999999999996E-3</v>
      </c>
      <c r="EC97" s="229">
        <v>3.4299999999999997E-2</v>
      </c>
      <c r="ED97" s="228">
        <v>2.68</v>
      </c>
      <c r="EE97" s="229">
        <v>6.6E-3</v>
      </c>
      <c r="EF97" s="230">
        <v>3299742</v>
      </c>
      <c r="EG97" s="230">
        <v>2724097</v>
      </c>
      <c r="EH97" s="229">
        <v>0.21129999999999999</v>
      </c>
      <c r="EI97" s="229">
        <v>0.71460000000000001</v>
      </c>
      <c r="EJ97" s="231">
        <v>74980.009999999995</v>
      </c>
      <c r="EK97" s="231">
        <v>17441.36</v>
      </c>
      <c r="EL97" s="231">
        <v>24243.72</v>
      </c>
      <c r="EM97" s="231">
        <v>5959</v>
      </c>
      <c r="EN97" s="231">
        <v>116665.09</v>
      </c>
      <c r="EO97" s="231">
        <v>143302.9</v>
      </c>
      <c r="EP97" s="231">
        <v>-26637.81</v>
      </c>
      <c r="EQ97" s="229">
        <v>-0.18590000000000001</v>
      </c>
      <c r="ER97" s="231">
        <v>113925</v>
      </c>
      <c r="ES97" s="231">
        <v>61963</v>
      </c>
      <c r="ET97" s="231">
        <v>341735</v>
      </c>
      <c r="EU97" s="231">
        <v>197705578</v>
      </c>
      <c r="EV97" s="231">
        <v>517624</v>
      </c>
      <c r="EW97" s="231">
        <v>522667</v>
      </c>
      <c r="EX97" s="231">
        <v>-5043</v>
      </c>
      <c r="EY97" s="229">
        <v>-9.5999999999999992E-3</v>
      </c>
      <c r="EZ97" s="229">
        <v>0.63880000000000003</v>
      </c>
      <c r="FA97" s="227" t="s">
        <v>568</v>
      </c>
      <c r="FB97" s="161">
        <f t="shared" si="1"/>
        <v>2867900</v>
      </c>
    </row>
    <row r="98" spans="1:158" ht="17.25" hidden="1" thickBot="1" x14ac:dyDescent="0.3">
      <c r="A98" s="226">
        <v>46008</v>
      </c>
      <c r="B98" s="227" t="s">
        <v>221</v>
      </c>
      <c r="C98" s="227" t="s">
        <v>240</v>
      </c>
      <c r="D98" s="228">
        <v>400</v>
      </c>
      <c r="E98" s="231">
        <v>1605.8</v>
      </c>
      <c r="F98" s="231">
        <v>1596.8</v>
      </c>
      <c r="G98" s="228">
        <v>9</v>
      </c>
      <c r="H98" s="229">
        <v>5.5999999999999999E-3</v>
      </c>
      <c r="I98" s="231">
        <v>1602</v>
      </c>
      <c r="J98" s="231">
        <v>1592.9</v>
      </c>
      <c r="K98" s="228">
        <v>9.1</v>
      </c>
      <c r="L98" s="229">
        <v>5.7000000000000002E-3</v>
      </c>
      <c r="M98" s="231">
        <v>1605.8</v>
      </c>
      <c r="N98" s="231">
        <v>1596.8</v>
      </c>
      <c r="O98" s="228">
        <v>9</v>
      </c>
      <c r="P98" s="229">
        <v>5.5999999999999999E-3</v>
      </c>
      <c r="Q98" s="231">
        <v>1615.9</v>
      </c>
      <c r="R98" s="231">
        <v>1606.8</v>
      </c>
      <c r="S98" s="228">
        <v>9.1</v>
      </c>
      <c r="T98" s="229">
        <v>5.7000000000000002E-3</v>
      </c>
      <c r="U98" s="231">
        <v>1624.7</v>
      </c>
      <c r="V98" s="231">
        <v>1616.1</v>
      </c>
      <c r="W98" s="228">
        <v>8.6</v>
      </c>
      <c r="X98" s="229">
        <v>5.3E-3</v>
      </c>
      <c r="Y98" s="228">
        <v>3.8</v>
      </c>
      <c r="Z98" s="228">
        <v>3.9</v>
      </c>
      <c r="AA98" s="228">
        <v>-0.1</v>
      </c>
      <c r="AB98" s="229">
        <v>2.3999999999999998E-3</v>
      </c>
      <c r="AC98" s="228">
        <v>3.8</v>
      </c>
      <c r="AD98" s="228">
        <v>3.9</v>
      </c>
      <c r="AE98" s="228">
        <v>-0.1</v>
      </c>
      <c r="AF98" s="229">
        <v>2.3999999999999998E-3</v>
      </c>
      <c r="AG98" s="228">
        <v>13.9</v>
      </c>
      <c r="AH98" s="228">
        <v>13.9</v>
      </c>
      <c r="AI98" s="228">
        <v>0</v>
      </c>
      <c r="AJ98" s="229">
        <v>8.6999999999999994E-3</v>
      </c>
      <c r="AK98" s="228">
        <v>22.7</v>
      </c>
      <c r="AL98" s="228">
        <v>23.2</v>
      </c>
      <c r="AM98" s="228">
        <v>-0.5</v>
      </c>
      <c r="AN98" s="229">
        <v>1.4200000000000001E-2</v>
      </c>
      <c r="AO98" s="231">
        <v>1604.09</v>
      </c>
      <c r="AP98" s="231">
        <v>1614.6</v>
      </c>
      <c r="AQ98" s="228">
        <v>0</v>
      </c>
      <c r="AR98" s="230">
        <v>9063600</v>
      </c>
      <c r="AS98" s="230">
        <v>11102000</v>
      </c>
      <c r="AT98" s="230">
        <v>-2038400</v>
      </c>
      <c r="AU98" s="229">
        <v>-0.18360000000000001</v>
      </c>
      <c r="AV98" s="230">
        <v>6319200</v>
      </c>
      <c r="AW98" s="230">
        <v>8089200</v>
      </c>
      <c r="AX98" s="230">
        <v>-1770000</v>
      </c>
      <c r="AY98" s="229">
        <v>-0.21879999999999999</v>
      </c>
      <c r="AZ98" s="230">
        <v>2713600</v>
      </c>
      <c r="BA98" s="230">
        <v>2943200</v>
      </c>
      <c r="BB98" s="230">
        <v>-229600</v>
      </c>
      <c r="BC98" s="229">
        <v>-7.8E-2</v>
      </c>
      <c r="BD98" s="230">
        <v>30800</v>
      </c>
      <c r="BE98" s="230">
        <v>69600</v>
      </c>
      <c r="BF98" s="230">
        <v>-38800</v>
      </c>
      <c r="BG98" s="229">
        <v>-0.5575</v>
      </c>
      <c r="BH98" s="230">
        <v>22052400</v>
      </c>
      <c r="BI98" s="230">
        <v>21366400</v>
      </c>
      <c r="BJ98" s="230">
        <v>686000</v>
      </c>
      <c r="BK98" s="229">
        <v>3.2099999999999997E-2</v>
      </c>
      <c r="BL98" s="230">
        <v>11901200</v>
      </c>
      <c r="BM98" s="230">
        <v>13144000</v>
      </c>
      <c r="BN98" s="230">
        <v>-1242800</v>
      </c>
      <c r="BO98" s="229">
        <v>-9.4600000000000004E-2</v>
      </c>
      <c r="BP98" s="230">
        <v>43017200</v>
      </c>
      <c r="BQ98" s="230">
        <v>45612400</v>
      </c>
      <c r="BR98" s="230">
        <v>-2595200</v>
      </c>
      <c r="BS98" s="229">
        <v>-5.6899999999999999E-2</v>
      </c>
      <c r="BT98" s="230">
        <v>4991558</v>
      </c>
      <c r="BU98" s="230">
        <v>5842021</v>
      </c>
      <c r="BV98" s="230">
        <v>-850463</v>
      </c>
      <c r="BW98" s="229">
        <v>-0.14560000000000001</v>
      </c>
      <c r="BX98" s="230">
        <v>70711600</v>
      </c>
      <c r="BY98" s="230">
        <v>69658400</v>
      </c>
      <c r="BZ98" s="230">
        <v>1053200</v>
      </c>
      <c r="CA98" s="229">
        <v>1.5100000000000001E-2</v>
      </c>
      <c r="CB98" s="230">
        <v>59705600</v>
      </c>
      <c r="CC98" s="230">
        <v>61054400</v>
      </c>
      <c r="CD98" s="230">
        <v>-1348800</v>
      </c>
      <c r="CE98" s="229">
        <v>-2.2100000000000002E-2</v>
      </c>
      <c r="CF98" s="230">
        <v>10657200</v>
      </c>
      <c r="CG98" s="230">
        <v>8258800</v>
      </c>
      <c r="CH98" s="230">
        <v>2398400</v>
      </c>
      <c r="CI98" s="229">
        <v>0.29039999999999999</v>
      </c>
      <c r="CJ98" s="230">
        <v>348800</v>
      </c>
      <c r="CK98" s="230">
        <v>345200</v>
      </c>
      <c r="CL98" s="230">
        <v>3600</v>
      </c>
      <c r="CM98" s="229">
        <v>1.04E-2</v>
      </c>
      <c r="CN98" s="230">
        <v>27824000</v>
      </c>
      <c r="CO98" s="230">
        <v>26938400</v>
      </c>
      <c r="CP98" s="230">
        <v>885600</v>
      </c>
      <c r="CQ98" s="229">
        <v>3.2899999999999999E-2</v>
      </c>
      <c r="CR98" s="230">
        <v>17991600</v>
      </c>
      <c r="CS98" s="230">
        <v>17270800</v>
      </c>
      <c r="CT98" s="230">
        <v>720800</v>
      </c>
      <c r="CU98" s="229">
        <v>4.1700000000000001E-2</v>
      </c>
      <c r="CV98" s="230">
        <v>116527200</v>
      </c>
      <c r="CW98" s="230">
        <v>113867600</v>
      </c>
      <c r="CX98" s="230">
        <v>2659600</v>
      </c>
      <c r="CY98" s="229">
        <v>2.3400000000000001E-2</v>
      </c>
      <c r="CZ98" s="228">
        <v>17.12</v>
      </c>
      <c r="DA98" s="228">
        <v>18.079999999999998</v>
      </c>
      <c r="DB98" s="228">
        <v>-0.96</v>
      </c>
      <c r="DC98" s="228">
        <v>-0.96</v>
      </c>
      <c r="DD98" s="228">
        <v>28.4</v>
      </c>
      <c r="DE98" s="228">
        <v>28.46</v>
      </c>
      <c r="DF98" s="228">
        <v>-11.28</v>
      </c>
      <c r="DG98" s="228">
        <v>-0.06</v>
      </c>
      <c r="DH98" s="228">
        <v>16.32</v>
      </c>
      <c r="DI98" s="228">
        <v>17.59</v>
      </c>
      <c r="DJ98" s="228">
        <v>-1.27</v>
      </c>
      <c r="DK98" s="228">
        <v>-1.27</v>
      </c>
      <c r="DL98" s="228">
        <v>18.61</v>
      </c>
      <c r="DM98" s="228">
        <v>18.89</v>
      </c>
      <c r="DN98" s="228">
        <v>-0.28000000000000003</v>
      </c>
      <c r="DO98" s="228">
        <v>-0.28000000000000003</v>
      </c>
      <c r="DP98" s="228">
        <v>0.65</v>
      </c>
      <c r="DQ98" s="228">
        <v>0.64</v>
      </c>
      <c r="DR98" s="228">
        <v>0.01</v>
      </c>
      <c r="DS98" s="229">
        <v>1.5599999999999999E-2</v>
      </c>
      <c r="DT98" s="231">
        <v>1600</v>
      </c>
      <c r="DU98" s="231">
        <v>1600</v>
      </c>
      <c r="DV98" s="228">
        <v>0.54</v>
      </c>
      <c r="DW98" s="228">
        <v>0.62</v>
      </c>
      <c r="DX98" s="228">
        <v>-0.08</v>
      </c>
      <c r="DY98" s="229">
        <v>-0.129</v>
      </c>
      <c r="DZ98" s="229">
        <v>0.15559999999999999</v>
      </c>
      <c r="EA98" s="230">
        <v>8604000</v>
      </c>
      <c r="EB98" s="229">
        <v>6.3E-3</v>
      </c>
      <c r="EC98" s="229">
        <v>0.15559999999999999</v>
      </c>
      <c r="ED98" s="228">
        <v>10.51</v>
      </c>
      <c r="EE98" s="229">
        <v>6.6E-3</v>
      </c>
      <c r="EF98" s="230">
        <v>2592673</v>
      </c>
      <c r="EG98" s="230">
        <v>3009285</v>
      </c>
      <c r="EH98" s="229">
        <v>-0.1384</v>
      </c>
      <c r="EI98" s="229">
        <v>0.51939999999999997</v>
      </c>
      <c r="EJ98" s="231">
        <v>362818.59</v>
      </c>
      <c r="EK98" s="231">
        <v>188303.19</v>
      </c>
      <c r="EL98" s="231">
        <v>145679.49</v>
      </c>
      <c r="EM98" s="231">
        <v>17974</v>
      </c>
      <c r="EN98" s="231">
        <v>696801.27</v>
      </c>
      <c r="EO98" s="231">
        <v>736269.36</v>
      </c>
      <c r="EP98" s="231">
        <v>-39468.089999999997</v>
      </c>
      <c r="EQ98" s="229">
        <v>-5.3600000000000002E-2</v>
      </c>
      <c r="ER98" s="231">
        <v>453709</v>
      </c>
      <c r="ES98" s="231">
        <v>275930</v>
      </c>
      <c r="ET98" s="231">
        <v>1136629</v>
      </c>
      <c r="EU98" s="231">
        <v>341789333</v>
      </c>
      <c r="EV98" s="231">
        <v>1866268</v>
      </c>
      <c r="EW98" s="231">
        <v>1817027</v>
      </c>
      <c r="EX98" s="231">
        <v>49241</v>
      </c>
      <c r="EY98" s="229">
        <v>2.7099999999999999E-2</v>
      </c>
      <c r="EZ98" s="229">
        <v>0.34089999999999998</v>
      </c>
      <c r="FA98" s="227" t="s">
        <v>555</v>
      </c>
      <c r="FB98" s="161">
        <f t="shared" si="1"/>
        <v>11006000</v>
      </c>
    </row>
    <row r="99" spans="1:158" ht="17.25" hidden="1" thickBot="1" x14ac:dyDescent="0.3">
      <c r="A99" s="226">
        <v>46008</v>
      </c>
      <c r="B99" s="227" t="s">
        <v>161</v>
      </c>
      <c r="C99" s="227" t="s">
        <v>670</v>
      </c>
      <c r="D99" s="228">
        <v>3272</v>
      </c>
      <c r="E99" s="228">
        <v>126.43</v>
      </c>
      <c r="F99" s="228">
        <v>127.2</v>
      </c>
      <c r="G99" s="228">
        <v>-0.77</v>
      </c>
      <c r="H99" s="229">
        <v>-6.1000000000000004E-3</v>
      </c>
      <c r="I99" s="228">
        <v>126.04</v>
      </c>
      <c r="J99" s="228">
        <v>126.92</v>
      </c>
      <c r="K99" s="228">
        <v>-0.88</v>
      </c>
      <c r="L99" s="229">
        <v>-6.8999999999999999E-3</v>
      </c>
      <c r="M99" s="228">
        <v>126.43</v>
      </c>
      <c r="N99" s="228">
        <v>127.2</v>
      </c>
      <c r="O99" s="228">
        <v>-0.77</v>
      </c>
      <c r="P99" s="229">
        <v>-6.1000000000000004E-3</v>
      </c>
      <c r="Q99" s="228">
        <v>127.1</v>
      </c>
      <c r="R99" s="228">
        <v>127.94</v>
      </c>
      <c r="S99" s="228">
        <v>-0.84</v>
      </c>
      <c r="T99" s="229">
        <v>-6.6E-3</v>
      </c>
      <c r="U99" s="228">
        <v>127.36</v>
      </c>
      <c r="V99" s="228">
        <v>128.72999999999999</v>
      </c>
      <c r="W99" s="228">
        <v>-1.37</v>
      </c>
      <c r="X99" s="229">
        <v>-1.06E-2</v>
      </c>
      <c r="Y99" s="228">
        <v>0.39</v>
      </c>
      <c r="Z99" s="228">
        <v>0.28000000000000003</v>
      </c>
      <c r="AA99" s="228">
        <v>0.11</v>
      </c>
      <c r="AB99" s="229">
        <v>3.0999999999999999E-3</v>
      </c>
      <c r="AC99" s="228">
        <v>0.39</v>
      </c>
      <c r="AD99" s="228">
        <v>0.28000000000000003</v>
      </c>
      <c r="AE99" s="228">
        <v>0.11</v>
      </c>
      <c r="AF99" s="229">
        <v>3.0999999999999999E-3</v>
      </c>
      <c r="AG99" s="228">
        <v>1.06</v>
      </c>
      <c r="AH99" s="228">
        <v>1.02</v>
      </c>
      <c r="AI99" s="228">
        <v>0.04</v>
      </c>
      <c r="AJ99" s="229">
        <v>8.3999999999999995E-3</v>
      </c>
      <c r="AK99" s="228">
        <v>1.32</v>
      </c>
      <c r="AL99" s="228">
        <v>1.81</v>
      </c>
      <c r="AM99" s="228">
        <v>-0.49</v>
      </c>
      <c r="AN99" s="229">
        <v>1.0500000000000001E-2</v>
      </c>
      <c r="AO99" s="228">
        <v>126.74</v>
      </c>
      <c r="AP99" s="228">
        <v>127.39</v>
      </c>
      <c r="AQ99" s="228">
        <v>0</v>
      </c>
      <c r="AR99" s="230">
        <v>7499424</v>
      </c>
      <c r="AS99" s="230">
        <v>8386136</v>
      </c>
      <c r="AT99" s="230">
        <v>-886712</v>
      </c>
      <c r="AU99" s="229">
        <v>-0.1057</v>
      </c>
      <c r="AV99" s="230">
        <v>6606168</v>
      </c>
      <c r="AW99" s="230">
        <v>7646664</v>
      </c>
      <c r="AX99" s="230">
        <v>-1040496</v>
      </c>
      <c r="AY99" s="229">
        <v>-0.1361</v>
      </c>
      <c r="AZ99" s="230">
        <v>883440</v>
      </c>
      <c r="BA99" s="230">
        <v>716568</v>
      </c>
      <c r="BB99" s="230">
        <v>166872</v>
      </c>
      <c r="BC99" s="229">
        <v>0.2329</v>
      </c>
      <c r="BD99" s="230">
        <v>9816</v>
      </c>
      <c r="BE99" s="230">
        <v>22904</v>
      </c>
      <c r="BF99" s="230">
        <v>-13088</v>
      </c>
      <c r="BG99" s="229">
        <v>-0.57140000000000002</v>
      </c>
      <c r="BH99" s="230">
        <v>10215184</v>
      </c>
      <c r="BI99" s="230">
        <v>15676152</v>
      </c>
      <c r="BJ99" s="230">
        <v>-5460968</v>
      </c>
      <c r="BK99" s="229">
        <v>-0.34839999999999999</v>
      </c>
      <c r="BL99" s="230">
        <v>6092464</v>
      </c>
      <c r="BM99" s="230">
        <v>7842984</v>
      </c>
      <c r="BN99" s="230">
        <v>-1750520</v>
      </c>
      <c r="BO99" s="229">
        <v>-0.22320000000000001</v>
      </c>
      <c r="BP99" s="230">
        <v>23807072</v>
      </c>
      <c r="BQ99" s="230">
        <v>31905272</v>
      </c>
      <c r="BR99" s="230">
        <v>-8098200</v>
      </c>
      <c r="BS99" s="229">
        <v>-0.25380000000000003</v>
      </c>
      <c r="BT99" s="230">
        <v>10257293</v>
      </c>
      <c r="BU99" s="230">
        <v>6165623</v>
      </c>
      <c r="BV99" s="230">
        <v>4091670</v>
      </c>
      <c r="BW99" s="229">
        <v>0.66359999999999997</v>
      </c>
      <c r="BX99" s="230">
        <v>88268690</v>
      </c>
      <c r="BY99" s="230">
        <v>88802569</v>
      </c>
      <c r="BZ99" s="230">
        <v>-533879</v>
      </c>
      <c r="CA99" s="229">
        <v>-6.0000000000000001E-3</v>
      </c>
      <c r="CB99" s="230">
        <v>81783640</v>
      </c>
      <c r="CC99" s="230">
        <v>82542744</v>
      </c>
      <c r="CD99" s="230">
        <v>-759104</v>
      </c>
      <c r="CE99" s="229">
        <v>-9.1999999999999998E-3</v>
      </c>
      <c r="CF99" s="230">
        <v>5691400</v>
      </c>
      <c r="CG99" s="230">
        <v>5469750</v>
      </c>
      <c r="CH99" s="230">
        <v>221650</v>
      </c>
      <c r="CI99" s="229">
        <v>4.0500000000000001E-2</v>
      </c>
      <c r="CJ99" s="230">
        <v>793650</v>
      </c>
      <c r="CK99" s="230">
        <v>790075</v>
      </c>
      <c r="CL99" s="230">
        <v>3575</v>
      </c>
      <c r="CM99" s="229">
        <v>4.4999999999999997E-3</v>
      </c>
      <c r="CN99" s="230">
        <v>46514642</v>
      </c>
      <c r="CO99" s="230">
        <v>46643582</v>
      </c>
      <c r="CP99" s="230">
        <v>-128940</v>
      </c>
      <c r="CQ99" s="229">
        <v>-2.8E-3</v>
      </c>
      <c r="CR99" s="230">
        <v>22714230</v>
      </c>
      <c r="CS99" s="230">
        <v>23409287</v>
      </c>
      <c r="CT99" s="230">
        <v>-695057</v>
      </c>
      <c r="CU99" s="229">
        <v>-2.9700000000000001E-2</v>
      </c>
      <c r="CV99" s="230">
        <v>157497562</v>
      </c>
      <c r="CW99" s="230">
        <v>158855438</v>
      </c>
      <c r="CX99" s="230">
        <v>-1357876</v>
      </c>
      <c r="CY99" s="229">
        <v>-8.5000000000000006E-3</v>
      </c>
      <c r="CZ99" s="228">
        <v>31.19</v>
      </c>
      <c r="DA99" s="228">
        <v>31.13</v>
      </c>
      <c r="DB99" s="228">
        <v>0.06</v>
      </c>
      <c r="DC99" s="228">
        <v>0.06</v>
      </c>
      <c r="DD99" s="228">
        <v>53.1</v>
      </c>
      <c r="DE99" s="228">
        <v>53.22</v>
      </c>
      <c r="DF99" s="228">
        <v>-21.91</v>
      </c>
      <c r="DG99" s="228">
        <v>-0.12</v>
      </c>
      <c r="DH99" s="228">
        <v>32.22</v>
      </c>
      <c r="DI99" s="228">
        <v>32.020000000000003</v>
      </c>
      <c r="DJ99" s="228">
        <v>0.2</v>
      </c>
      <c r="DK99" s="228">
        <v>0.2</v>
      </c>
      <c r="DL99" s="228">
        <v>29.46</v>
      </c>
      <c r="DM99" s="228">
        <v>29.35</v>
      </c>
      <c r="DN99" s="228">
        <v>0.11</v>
      </c>
      <c r="DO99" s="228">
        <v>0.11</v>
      </c>
      <c r="DP99" s="228">
        <v>0.49</v>
      </c>
      <c r="DQ99" s="228">
        <v>0.5</v>
      </c>
      <c r="DR99" s="228">
        <v>-0.01</v>
      </c>
      <c r="DS99" s="229">
        <v>-0.02</v>
      </c>
      <c r="DT99" s="228">
        <v>140</v>
      </c>
      <c r="DU99" s="228">
        <v>120</v>
      </c>
      <c r="DV99" s="228">
        <v>0.6</v>
      </c>
      <c r="DW99" s="228">
        <v>0.5</v>
      </c>
      <c r="DX99" s="228">
        <v>0.1</v>
      </c>
      <c r="DY99" s="229">
        <v>0.2</v>
      </c>
      <c r="DZ99" s="229">
        <v>7.3499999999999996E-2</v>
      </c>
      <c r="EA99" s="230">
        <v>6259825</v>
      </c>
      <c r="EB99" s="229">
        <v>5.3E-3</v>
      </c>
      <c r="EC99" s="229">
        <v>7.3499999999999996E-2</v>
      </c>
      <c r="ED99" s="228">
        <v>0.65</v>
      </c>
      <c r="EE99" s="229">
        <v>5.1000000000000004E-3</v>
      </c>
      <c r="EF99" s="230">
        <v>7708949</v>
      </c>
      <c r="EG99" s="230">
        <v>2498025</v>
      </c>
      <c r="EH99" s="229">
        <v>2.0859999999999999</v>
      </c>
      <c r="EI99" s="229">
        <v>0.75160000000000005</v>
      </c>
      <c r="EJ99" s="231">
        <v>13904.8</v>
      </c>
      <c r="EK99" s="231">
        <v>7769.46</v>
      </c>
      <c r="EL99" s="231">
        <v>9615.66</v>
      </c>
      <c r="EM99" s="231">
        <v>4042</v>
      </c>
      <c r="EN99" s="231">
        <v>31289.919999999998</v>
      </c>
      <c r="EO99" s="231">
        <v>41529.919999999998</v>
      </c>
      <c r="EP99" s="231">
        <v>-10240</v>
      </c>
      <c r="EQ99" s="229">
        <v>-0.24660000000000001</v>
      </c>
      <c r="ER99" s="231">
        <v>65105</v>
      </c>
      <c r="ES99" s="231">
        <v>29318</v>
      </c>
      <c r="ET99" s="231">
        <v>111644</v>
      </c>
      <c r="EU99" s="231">
        <v>144708707</v>
      </c>
      <c r="EV99" s="231">
        <v>206067</v>
      </c>
      <c r="EW99" s="231">
        <v>208386</v>
      </c>
      <c r="EX99" s="231">
        <v>-2319</v>
      </c>
      <c r="EY99" s="229">
        <v>-1.11E-2</v>
      </c>
      <c r="EZ99" s="229">
        <v>1.0884</v>
      </c>
      <c r="FA99" s="227" t="s">
        <v>568</v>
      </c>
      <c r="FB99" s="161">
        <f t="shared" si="1"/>
        <v>6485050</v>
      </c>
    </row>
    <row r="100" spans="1:158" ht="17.25" hidden="1" thickBot="1" x14ac:dyDescent="0.3">
      <c r="A100" s="226">
        <v>46008</v>
      </c>
      <c r="B100" s="227" t="s">
        <v>193</v>
      </c>
      <c r="C100" s="227" t="s">
        <v>241</v>
      </c>
      <c r="D100" s="228">
        <v>4875</v>
      </c>
      <c r="E100" s="228">
        <v>168.64</v>
      </c>
      <c r="F100" s="228">
        <v>168.07</v>
      </c>
      <c r="G100" s="228">
        <v>0.56999999999999995</v>
      </c>
      <c r="H100" s="229">
        <v>3.3999999999999998E-3</v>
      </c>
      <c r="I100" s="228">
        <v>168.16</v>
      </c>
      <c r="J100" s="228">
        <v>167.74</v>
      </c>
      <c r="K100" s="228">
        <v>0.42</v>
      </c>
      <c r="L100" s="229">
        <v>2.5000000000000001E-3</v>
      </c>
      <c r="M100" s="228">
        <v>168.64</v>
      </c>
      <c r="N100" s="228">
        <v>168.07</v>
      </c>
      <c r="O100" s="228">
        <v>0.56999999999999995</v>
      </c>
      <c r="P100" s="229">
        <v>3.3999999999999998E-3</v>
      </c>
      <c r="Q100" s="228">
        <v>169.56</v>
      </c>
      <c r="R100" s="228">
        <v>168.92</v>
      </c>
      <c r="S100" s="228">
        <v>0.64</v>
      </c>
      <c r="T100" s="229">
        <v>3.8E-3</v>
      </c>
      <c r="U100" s="228">
        <v>170.17</v>
      </c>
      <c r="V100" s="228">
        <v>169.81</v>
      </c>
      <c r="W100" s="228">
        <v>0.36</v>
      </c>
      <c r="X100" s="229">
        <v>2.0999999999999999E-3</v>
      </c>
      <c r="Y100" s="228">
        <v>0.48</v>
      </c>
      <c r="Z100" s="228">
        <v>0.33</v>
      </c>
      <c r="AA100" s="228">
        <v>0.15</v>
      </c>
      <c r="AB100" s="229">
        <v>2.8999999999999998E-3</v>
      </c>
      <c r="AC100" s="228">
        <v>0.48</v>
      </c>
      <c r="AD100" s="228">
        <v>0.33</v>
      </c>
      <c r="AE100" s="228">
        <v>0.15</v>
      </c>
      <c r="AF100" s="229">
        <v>2.8999999999999998E-3</v>
      </c>
      <c r="AG100" s="228">
        <v>1.4</v>
      </c>
      <c r="AH100" s="228">
        <v>1.18</v>
      </c>
      <c r="AI100" s="228">
        <v>0.22</v>
      </c>
      <c r="AJ100" s="229">
        <v>8.3000000000000001E-3</v>
      </c>
      <c r="AK100" s="228">
        <v>2.0099999999999998</v>
      </c>
      <c r="AL100" s="228">
        <v>2.0699999999999998</v>
      </c>
      <c r="AM100" s="228">
        <v>-0.06</v>
      </c>
      <c r="AN100" s="229">
        <v>1.2E-2</v>
      </c>
      <c r="AO100" s="228">
        <v>168.67</v>
      </c>
      <c r="AP100" s="228">
        <v>169.69</v>
      </c>
      <c r="AQ100" s="228">
        <v>0</v>
      </c>
      <c r="AR100" s="230">
        <v>19305000</v>
      </c>
      <c r="AS100" s="230">
        <v>28031250</v>
      </c>
      <c r="AT100" s="230">
        <v>-8726250</v>
      </c>
      <c r="AU100" s="229">
        <v>-0.31130000000000002</v>
      </c>
      <c r="AV100" s="230">
        <v>17267250</v>
      </c>
      <c r="AW100" s="230">
        <v>24526125</v>
      </c>
      <c r="AX100" s="230">
        <v>-7258875</v>
      </c>
      <c r="AY100" s="229">
        <v>-0.29599999999999999</v>
      </c>
      <c r="AZ100" s="230">
        <v>1847625</v>
      </c>
      <c r="BA100" s="230">
        <v>3246750</v>
      </c>
      <c r="BB100" s="230">
        <v>-1399125</v>
      </c>
      <c r="BC100" s="229">
        <v>-0.43090000000000001</v>
      </c>
      <c r="BD100" s="230">
        <v>190125</v>
      </c>
      <c r="BE100" s="230">
        <v>258375</v>
      </c>
      <c r="BF100" s="230">
        <v>-68250</v>
      </c>
      <c r="BG100" s="229">
        <v>-0.26419999999999999</v>
      </c>
      <c r="BH100" s="230">
        <v>95706000</v>
      </c>
      <c r="BI100" s="230">
        <v>126101625</v>
      </c>
      <c r="BJ100" s="230">
        <v>-30395625</v>
      </c>
      <c r="BK100" s="229">
        <v>-0.24099999999999999</v>
      </c>
      <c r="BL100" s="230">
        <v>55472625</v>
      </c>
      <c r="BM100" s="230">
        <v>62195250</v>
      </c>
      <c r="BN100" s="230">
        <v>-6722625</v>
      </c>
      <c r="BO100" s="229">
        <v>-0.1081</v>
      </c>
      <c r="BP100" s="230">
        <v>170483625</v>
      </c>
      <c r="BQ100" s="230">
        <v>216328125</v>
      </c>
      <c r="BR100" s="230">
        <v>-45844500</v>
      </c>
      <c r="BS100" s="229">
        <v>-0.21190000000000001</v>
      </c>
      <c r="BT100" s="230">
        <v>18164482</v>
      </c>
      <c r="BU100" s="230">
        <v>28365313</v>
      </c>
      <c r="BV100" s="230">
        <v>-10200831</v>
      </c>
      <c r="BW100" s="229">
        <v>-0.35959999999999998</v>
      </c>
      <c r="BX100" s="230">
        <v>96798000</v>
      </c>
      <c r="BY100" s="230">
        <v>95525625</v>
      </c>
      <c r="BZ100" s="230">
        <v>1272375</v>
      </c>
      <c r="CA100" s="229">
        <v>1.3299999999999999E-2</v>
      </c>
      <c r="CB100" s="230">
        <v>90948000</v>
      </c>
      <c r="CC100" s="230">
        <v>90055875</v>
      </c>
      <c r="CD100" s="230">
        <v>892125</v>
      </c>
      <c r="CE100" s="229">
        <v>9.9000000000000008E-3</v>
      </c>
      <c r="CF100" s="230">
        <v>5167500</v>
      </c>
      <c r="CG100" s="230">
        <v>4787250</v>
      </c>
      <c r="CH100" s="230">
        <v>380250</v>
      </c>
      <c r="CI100" s="229">
        <v>7.9399999999999998E-2</v>
      </c>
      <c r="CJ100" s="230">
        <v>682500</v>
      </c>
      <c r="CK100" s="230">
        <v>682500</v>
      </c>
      <c r="CL100" s="228">
        <v>0</v>
      </c>
      <c r="CM100" s="229">
        <v>0</v>
      </c>
      <c r="CN100" s="230">
        <v>63194625</v>
      </c>
      <c r="CO100" s="230">
        <v>65651625</v>
      </c>
      <c r="CP100" s="230">
        <v>-2457000</v>
      </c>
      <c r="CQ100" s="229">
        <v>-3.7400000000000003E-2</v>
      </c>
      <c r="CR100" s="230">
        <v>41788500</v>
      </c>
      <c r="CS100" s="230">
        <v>38181000</v>
      </c>
      <c r="CT100" s="230">
        <v>3607500</v>
      </c>
      <c r="CU100" s="229">
        <v>9.4500000000000001E-2</v>
      </c>
      <c r="CV100" s="230">
        <v>201781125</v>
      </c>
      <c r="CW100" s="230">
        <v>199358250</v>
      </c>
      <c r="CX100" s="230">
        <v>2422875</v>
      </c>
      <c r="CY100" s="229">
        <v>1.2200000000000001E-2</v>
      </c>
      <c r="CZ100" s="228">
        <v>22.08</v>
      </c>
      <c r="DA100" s="228">
        <v>23.03</v>
      </c>
      <c r="DB100" s="228">
        <v>-0.95</v>
      </c>
      <c r="DC100" s="228">
        <v>-0.95</v>
      </c>
      <c r="DD100" s="228">
        <v>31.05</v>
      </c>
      <c r="DE100" s="228">
        <v>31.12</v>
      </c>
      <c r="DF100" s="228">
        <v>-8.9700000000000006</v>
      </c>
      <c r="DG100" s="228">
        <v>-7.0000000000000007E-2</v>
      </c>
      <c r="DH100" s="228">
        <v>21.72</v>
      </c>
      <c r="DI100" s="228">
        <v>23.13</v>
      </c>
      <c r="DJ100" s="228">
        <v>-1.41</v>
      </c>
      <c r="DK100" s="228">
        <v>-1.41</v>
      </c>
      <c r="DL100" s="228">
        <v>22.68</v>
      </c>
      <c r="DM100" s="228">
        <v>22.83</v>
      </c>
      <c r="DN100" s="228">
        <v>-0.15</v>
      </c>
      <c r="DO100" s="228">
        <v>-0.15</v>
      </c>
      <c r="DP100" s="228">
        <v>0.66</v>
      </c>
      <c r="DQ100" s="228">
        <v>0.57999999999999996</v>
      </c>
      <c r="DR100" s="228">
        <v>0.08</v>
      </c>
      <c r="DS100" s="229">
        <v>0.13789999999999999</v>
      </c>
      <c r="DT100" s="228">
        <v>170</v>
      </c>
      <c r="DU100" s="228">
        <v>160</v>
      </c>
      <c r="DV100" s="228">
        <v>0.57999999999999996</v>
      </c>
      <c r="DW100" s="228">
        <v>0.49</v>
      </c>
      <c r="DX100" s="228">
        <v>0.09</v>
      </c>
      <c r="DY100" s="229">
        <v>0.1837</v>
      </c>
      <c r="DZ100" s="229">
        <v>6.0400000000000002E-2</v>
      </c>
      <c r="EA100" s="230">
        <v>5469750</v>
      </c>
      <c r="EB100" s="229">
        <v>5.4999999999999997E-3</v>
      </c>
      <c r="EC100" s="229">
        <v>6.0400000000000002E-2</v>
      </c>
      <c r="ED100" s="228">
        <v>1.02</v>
      </c>
      <c r="EE100" s="229">
        <v>6.0000000000000001E-3</v>
      </c>
      <c r="EF100" s="230">
        <v>10362553</v>
      </c>
      <c r="EG100" s="230">
        <v>15298721</v>
      </c>
      <c r="EH100" s="229">
        <v>-0.32269999999999999</v>
      </c>
      <c r="EI100" s="229">
        <v>0.57050000000000001</v>
      </c>
      <c r="EJ100" s="231">
        <v>165993.29999999999</v>
      </c>
      <c r="EK100" s="231">
        <v>92306.07</v>
      </c>
      <c r="EL100" s="231">
        <v>32583.87</v>
      </c>
      <c r="EM100" s="231">
        <v>4545</v>
      </c>
      <c r="EN100" s="231">
        <v>290883.24</v>
      </c>
      <c r="EO100" s="231">
        <v>369462.85</v>
      </c>
      <c r="EP100" s="231">
        <v>-78579.61</v>
      </c>
      <c r="EQ100" s="229">
        <v>-0.2127</v>
      </c>
      <c r="ER100" s="231">
        <v>109405</v>
      </c>
      <c r="ES100" s="231">
        <v>67575</v>
      </c>
      <c r="ET100" s="231">
        <v>163298</v>
      </c>
      <c r="EU100" s="231">
        <v>684903861</v>
      </c>
      <c r="EV100" s="231">
        <v>340278</v>
      </c>
      <c r="EW100" s="231">
        <v>335663</v>
      </c>
      <c r="EX100" s="231">
        <v>4615</v>
      </c>
      <c r="EY100" s="229">
        <v>1.37E-2</v>
      </c>
      <c r="EZ100" s="229">
        <v>0.29459999999999997</v>
      </c>
      <c r="FA100" s="227" t="s">
        <v>555</v>
      </c>
      <c r="FB100" s="161">
        <f t="shared" si="1"/>
        <v>5850000</v>
      </c>
    </row>
    <row r="101" spans="1:158" ht="17.25" hidden="1" thickBot="1" x14ac:dyDescent="0.3">
      <c r="A101" s="226">
        <v>46008</v>
      </c>
      <c r="B101" s="227" t="s">
        <v>215</v>
      </c>
      <c r="C101" s="227" t="s">
        <v>490</v>
      </c>
      <c r="D101" s="228">
        <v>875</v>
      </c>
      <c r="E101" s="228">
        <v>667.25</v>
      </c>
      <c r="F101" s="228">
        <v>672.5</v>
      </c>
      <c r="G101" s="228">
        <v>-5.25</v>
      </c>
      <c r="H101" s="229">
        <v>-7.7999999999999996E-3</v>
      </c>
      <c r="I101" s="228">
        <v>666.1</v>
      </c>
      <c r="J101" s="228">
        <v>671.05</v>
      </c>
      <c r="K101" s="228">
        <v>-4.95</v>
      </c>
      <c r="L101" s="229">
        <v>-7.4000000000000003E-3</v>
      </c>
      <c r="M101" s="228">
        <v>667.25</v>
      </c>
      <c r="N101" s="228">
        <v>672.5</v>
      </c>
      <c r="O101" s="228">
        <v>-5.25</v>
      </c>
      <c r="P101" s="229">
        <v>-7.7999999999999996E-3</v>
      </c>
      <c r="Q101" s="228">
        <v>670.55</v>
      </c>
      <c r="R101" s="228">
        <v>675.95</v>
      </c>
      <c r="S101" s="228">
        <v>-5.4</v>
      </c>
      <c r="T101" s="229">
        <v>-8.0000000000000002E-3</v>
      </c>
      <c r="U101" s="228">
        <v>671.25</v>
      </c>
      <c r="V101" s="228">
        <v>677</v>
      </c>
      <c r="W101" s="228">
        <v>-5.75</v>
      </c>
      <c r="X101" s="229">
        <v>-8.5000000000000006E-3</v>
      </c>
      <c r="Y101" s="228">
        <v>1.1499999999999999</v>
      </c>
      <c r="Z101" s="228">
        <v>1.45</v>
      </c>
      <c r="AA101" s="228">
        <v>-0.3</v>
      </c>
      <c r="AB101" s="229">
        <v>1.6999999999999999E-3</v>
      </c>
      <c r="AC101" s="228">
        <v>1.1499999999999999</v>
      </c>
      <c r="AD101" s="228">
        <v>1.45</v>
      </c>
      <c r="AE101" s="228">
        <v>-0.3</v>
      </c>
      <c r="AF101" s="229">
        <v>1.6999999999999999E-3</v>
      </c>
      <c r="AG101" s="228">
        <v>4.45</v>
      </c>
      <c r="AH101" s="228">
        <v>4.9000000000000004</v>
      </c>
      <c r="AI101" s="228">
        <v>-0.45</v>
      </c>
      <c r="AJ101" s="229">
        <v>6.7000000000000002E-3</v>
      </c>
      <c r="AK101" s="228">
        <v>5.15</v>
      </c>
      <c r="AL101" s="228">
        <v>5.95</v>
      </c>
      <c r="AM101" s="228">
        <v>-0.8</v>
      </c>
      <c r="AN101" s="229">
        <v>7.7000000000000002E-3</v>
      </c>
      <c r="AO101" s="228">
        <v>668.66</v>
      </c>
      <c r="AP101" s="228">
        <v>671.77</v>
      </c>
      <c r="AQ101" s="228">
        <v>0</v>
      </c>
      <c r="AR101" s="230">
        <v>1570625</v>
      </c>
      <c r="AS101" s="230">
        <v>1440250</v>
      </c>
      <c r="AT101" s="230">
        <v>130375</v>
      </c>
      <c r="AU101" s="229">
        <v>9.0499999999999997E-2</v>
      </c>
      <c r="AV101" s="230">
        <v>1113000</v>
      </c>
      <c r="AW101" s="230">
        <v>1023750</v>
      </c>
      <c r="AX101" s="230">
        <v>89250</v>
      </c>
      <c r="AY101" s="229">
        <v>8.72E-2</v>
      </c>
      <c r="AZ101" s="230">
        <v>372750</v>
      </c>
      <c r="BA101" s="230">
        <v>302750</v>
      </c>
      <c r="BB101" s="230">
        <v>70000</v>
      </c>
      <c r="BC101" s="229">
        <v>0.23119999999999999</v>
      </c>
      <c r="BD101" s="230">
        <v>84875</v>
      </c>
      <c r="BE101" s="230">
        <v>113750</v>
      </c>
      <c r="BF101" s="230">
        <v>-28875</v>
      </c>
      <c r="BG101" s="229">
        <v>-0.25380000000000003</v>
      </c>
      <c r="BH101" s="230">
        <v>5396125</v>
      </c>
      <c r="BI101" s="230">
        <v>3550750</v>
      </c>
      <c r="BJ101" s="230">
        <v>1845375</v>
      </c>
      <c r="BK101" s="229">
        <v>0.51970000000000005</v>
      </c>
      <c r="BL101" s="230">
        <v>3383625</v>
      </c>
      <c r="BM101" s="230">
        <v>1336125</v>
      </c>
      <c r="BN101" s="230">
        <v>2047500</v>
      </c>
      <c r="BO101" s="229">
        <v>1.5324</v>
      </c>
      <c r="BP101" s="230">
        <v>10350375</v>
      </c>
      <c r="BQ101" s="230">
        <v>6327125</v>
      </c>
      <c r="BR101" s="230">
        <v>4023250</v>
      </c>
      <c r="BS101" s="229">
        <v>0.63590000000000002</v>
      </c>
      <c r="BT101" s="230">
        <v>449392</v>
      </c>
      <c r="BU101" s="230">
        <v>310900</v>
      </c>
      <c r="BV101" s="230">
        <v>138492</v>
      </c>
      <c r="BW101" s="229">
        <v>0.44550000000000001</v>
      </c>
      <c r="BX101" s="230">
        <v>20697250</v>
      </c>
      <c r="BY101" s="230">
        <v>20419000</v>
      </c>
      <c r="BZ101" s="230">
        <v>278250</v>
      </c>
      <c r="CA101" s="229">
        <v>1.3599999999999999E-2</v>
      </c>
      <c r="CB101" s="230">
        <v>18263875</v>
      </c>
      <c r="CC101" s="230">
        <v>18148375</v>
      </c>
      <c r="CD101" s="230">
        <v>115500</v>
      </c>
      <c r="CE101" s="229">
        <v>6.4000000000000003E-3</v>
      </c>
      <c r="CF101" s="230">
        <v>1998500</v>
      </c>
      <c r="CG101" s="230">
        <v>1883000</v>
      </c>
      <c r="CH101" s="230">
        <v>115500</v>
      </c>
      <c r="CI101" s="229">
        <v>6.13E-2</v>
      </c>
      <c r="CJ101" s="230">
        <v>434875</v>
      </c>
      <c r="CK101" s="230">
        <v>387625</v>
      </c>
      <c r="CL101" s="230">
        <v>47250</v>
      </c>
      <c r="CM101" s="229">
        <v>0.12189999999999999</v>
      </c>
      <c r="CN101" s="230">
        <v>10379250</v>
      </c>
      <c r="CO101" s="230">
        <v>10308375</v>
      </c>
      <c r="CP101" s="230">
        <v>70875</v>
      </c>
      <c r="CQ101" s="229">
        <v>6.8999999999999999E-3</v>
      </c>
      <c r="CR101" s="230">
        <v>7305375</v>
      </c>
      <c r="CS101" s="230">
        <v>6953625</v>
      </c>
      <c r="CT101" s="230">
        <v>351750</v>
      </c>
      <c r="CU101" s="229">
        <v>5.0599999999999999E-2</v>
      </c>
      <c r="CV101" s="230">
        <v>38381875</v>
      </c>
      <c r="CW101" s="230">
        <v>37681000</v>
      </c>
      <c r="CX101" s="230">
        <v>700875</v>
      </c>
      <c r="CY101" s="229">
        <v>1.8599999999999998E-2</v>
      </c>
      <c r="CZ101" s="228">
        <v>18.05</v>
      </c>
      <c r="DA101" s="228">
        <v>18.41</v>
      </c>
      <c r="DB101" s="228">
        <v>-0.36</v>
      </c>
      <c r="DC101" s="228">
        <v>-0.36</v>
      </c>
      <c r="DD101" s="228">
        <v>29.05</v>
      </c>
      <c r="DE101" s="228">
        <v>29.1</v>
      </c>
      <c r="DF101" s="228">
        <v>-11</v>
      </c>
      <c r="DG101" s="228">
        <v>-0.05</v>
      </c>
      <c r="DH101" s="228">
        <v>18.739999999999998</v>
      </c>
      <c r="DI101" s="228">
        <v>18.71</v>
      </c>
      <c r="DJ101" s="228">
        <v>0.03</v>
      </c>
      <c r="DK101" s="228">
        <v>0.03</v>
      </c>
      <c r="DL101" s="228">
        <v>16.940000000000001</v>
      </c>
      <c r="DM101" s="228">
        <v>17.59</v>
      </c>
      <c r="DN101" s="228">
        <v>-0.65</v>
      </c>
      <c r="DO101" s="228">
        <v>-0.65</v>
      </c>
      <c r="DP101" s="228">
        <v>0.7</v>
      </c>
      <c r="DQ101" s="228">
        <v>0.67</v>
      </c>
      <c r="DR101" s="228">
        <v>0.03</v>
      </c>
      <c r="DS101" s="229">
        <v>4.48E-2</v>
      </c>
      <c r="DT101" s="228">
        <v>700</v>
      </c>
      <c r="DU101" s="228">
        <v>700</v>
      </c>
      <c r="DV101" s="228">
        <v>0.63</v>
      </c>
      <c r="DW101" s="228">
        <v>0.38</v>
      </c>
      <c r="DX101" s="228">
        <v>0.25</v>
      </c>
      <c r="DY101" s="229">
        <v>0.65790000000000004</v>
      </c>
      <c r="DZ101" s="229">
        <v>0.1176</v>
      </c>
      <c r="EA101" s="230">
        <v>2270625</v>
      </c>
      <c r="EB101" s="229">
        <v>4.8999999999999998E-3</v>
      </c>
      <c r="EC101" s="229">
        <v>0.1176</v>
      </c>
      <c r="ED101" s="228">
        <v>3.11</v>
      </c>
      <c r="EE101" s="229">
        <v>4.7000000000000002E-3</v>
      </c>
      <c r="EF101" s="230">
        <v>206993</v>
      </c>
      <c r="EG101" s="230">
        <v>176554</v>
      </c>
      <c r="EH101" s="229">
        <v>0.1724</v>
      </c>
      <c r="EI101" s="229">
        <v>0.46060000000000001</v>
      </c>
      <c r="EJ101" s="231">
        <v>37283.4</v>
      </c>
      <c r="EK101" s="231">
        <v>22853.7</v>
      </c>
      <c r="EL101" s="231">
        <v>10517.46</v>
      </c>
      <c r="EM101" s="231">
        <v>1360</v>
      </c>
      <c r="EN101" s="231">
        <v>70654.559999999998</v>
      </c>
      <c r="EO101" s="231">
        <v>43319.86</v>
      </c>
      <c r="EP101" s="231">
        <v>27334.7</v>
      </c>
      <c r="EQ101" s="229">
        <v>0.63100000000000001</v>
      </c>
      <c r="ER101" s="231">
        <v>73308</v>
      </c>
      <c r="ES101" s="231">
        <v>50151</v>
      </c>
      <c r="ET101" s="231">
        <v>138186</v>
      </c>
      <c r="EU101" s="231">
        <v>30082783</v>
      </c>
      <c r="EV101" s="231">
        <v>261645</v>
      </c>
      <c r="EW101" s="231">
        <v>258211</v>
      </c>
      <c r="EX101" s="231">
        <v>3434</v>
      </c>
      <c r="EY101" s="229">
        <v>1.3299999999999999E-2</v>
      </c>
      <c r="EZ101" s="229">
        <v>1.2759</v>
      </c>
      <c r="FA101" s="227" t="s">
        <v>567</v>
      </c>
      <c r="FB101" s="161">
        <f t="shared" si="1"/>
        <v>2433375</v>
      </c>
    </row>
    <row r="102" spans="1:158" ht="17.25" hidden="1" thickBot="1" x14ac:dyDescent="0.3">
      <c r="A102" s="226">
        <v>46008</v>
      </c>
      <c r="B102" s="227" t="s">
        <v>175</v>
      </c>
      <c r="C102" s="227" t="s">
        <v>665</v>
      </c>
      <c r="D102" s="228">
        <v>3450</v>
      </c>
      <c r="E102" s="228">
        <v>131.16999999999999</v>
      </c>
      <c r="F102" s="228">
        <v>133.68</v>
      </c>
      <c r="G102" s="228">
        <v>-2.5099999999999998</v>
      </c>
      <c r="H102" s="229">
        <v>-1.8800000000000001E-2</v>
      </c>
      <c r="I102" s="228">
        <v>131.43</v>
      </c>
      <c r="J102" s="228">
        <v>133.87</v>
      </c>
      <c r="K102" s="228">
        <v>-2.44</v>
      </c>
      <c r="L102" s="229">
        <v>-1.8200000000000001E-2</v>
      </c>
      <c r="M102" s="228">
        <v>131.16999999999999</v>
      </c>
      <c r="N102" s="228">
        <v>133.68</v>
      </c>
      <c r="O102" s="228">
        <v>-2.5099999999999998</v>
      </c>
      <c r="P102" s="229">
        <v>-1.8800000000000001E-2</v>
      </c>
      <c r="Q102" s="228">
        <v>130.66</v>
      </c>
      <c r="R102" s="228">
        <v>133.16</v>
      </c>
      <c r="S102" s="228">
        <v>-2.5</v>
      </c>
      <c r="T102" s="229">
        <v>-1.8800000000000001E-2</v>
      </c>
      <c r="U102" s="228">
        <v>130.34</v>
      </c>
      <c r="V102" s="228">
        <v>133.31</v>
      </c>
      <c r="W102" s="228">
        <v>-2.97</v>
      </c>
      <c r="X102" s="229">
        <v>-2.23E-2</v>
      </c>
      <c r="Y102" s="228">
        <v>-0.26</v>
      </c>
      <c r="Z102" s="228">
        <v>-0.19</v>
      </c>
      <c r="AA102" s="228">
        <v>-7.0000000000000007E-2</v>
      </c>
      <c r="AB102" s="229">
        <v>-2E-3</v>
      </c>
      <c r="AC102" s="228">
        <v>-0.26</v>
      </c>
      <c r="AD102" s="228">
        <v>-0.19</v>
      </c>
      <c r="AE102" s="228">
        <v>-7.0000000000000007E-2</v>
      </c>
      <c r="AF102" s="229">
        <v>-2E-3</v>
      </c>
      <c r="AG102" s="228">
        <v>-0.77</v>
      </c>
      <c r="AH102" s="228">
        <v>-0.71</v>
      </c>
      <c r="AI102" s="228">
        <v>-0.06</v>
      </c>
      <c r="AJ102" s="229">
        <v>-5.8999999999999999E-3</v>
      </c>
      <c r="AK102" s="228">
        <v>-1.0900000000000001</v>
      </c>
      <c r="AL102" s="228">
        <v>-0.56000000000000005</v>
      </c>
      <c r="AM102" s="228">
        <v>-0.53</v>
      </c>
      <c r="AN102" s="229">
        <v>-8.3000000000000001E-3</v>
      </c>
      <c r="AO102" s="228">
        <v>132.04</v>
      </c>
      <c r="AP102" s="228">
        <v>131.53</v>
      </c>
      <c r="AQ102" s="228">
        <v>0</v>
      </c>
      <c r="AR102" s="230">
        <v>10522500</v>
      </c>
      <c r="AS102" s="230">
        <v>6430800</v>
      </c>
      <c r="AT102" s="230">
        <v>4091700</v>
      </c>
      <c r="AU102" s="229">
        <v>0.63629999999999998</v>
      </c>
      <c r="AV102" s="230">
        <v>6865500</v>
      </c>
      <c r="AW102" s="230">
        <v>4664400</v>
      </c>
      <c r="AX102" s="230">
        <v>2201100</v>
      </c>
      <c r="AY102" s="229">
        <v>0.47189999999999999</v>
      </c>
      <c r="AZ102" s="230">
        <v>3474150</v>
      </c>
      <c r="BA102" s="230">
        <v>1631850</v>
      </c>
      <c r="BB102" s="230">
        <v>1842300</v>
      </c>
      <c r="BC102" s="229">
        <v>1.129</v>
      </c>
      <c r="BD102" s="230">
        <v>182850</v>
      </c>
      <c r="BE102" s="230">
        <v>134550</v>
      </c>
      <c r="BF102" s="230">
        <v>48300</v>
      </c>
      <c r="BG102" s="229">
        <v>0.35899999999999999</v>
      </c>
      <c r="BH102" s="230">
        <v>14169150</v>
      </c>
      <c r="BI102" s="230">
        <v>10864050</v>
      </c>
      <c r="BJ102" s="230">
        <v>3305100</v>
      </c>
      <c r="BK102" s="229">
        <v>0.30420000000000003</v>
      </c>
      <c r="BL102" s="230">
        <v>4574700</v>
      </c>
      <c r="BM102" s="230">
        <v>2704800</v>
      </c>
      <c r="BN102" s="230">
        <v>1869900</v>
      </c>
      <c r="BO102" s="229">
        <v>0.69130000000000003</v>
      </c>
      <c r="BP102" s="230">
        <v>29266350</v>
      </c>
      <c r="BQ102" s="230">
        <v>19999650</v>
      </c>
      <c r="BR102" s="230">
        <v>9266700</v>
      </c>
      <c r="BS102" s="229">
        <v>0.46329999999999999</v>
      </c>
      <c r="BT102" s="230">
        <v>4219067</v>
      </c>
      <c r="BU102" s="230">
        <v>2701104</v>
      </c>
      <c r="BV102" s="230">
        <v>1517963</v>
      </c>
      <c r="BW102" s="229">
        <v>0.56200000000000006</v>
      </c>
      <c r="BX102" s="230">
        <v>54989550</v>
      </c>
      <c r="BY102" s="230">
        <v>52791900</v>
      </c>
      <c r="BZ102" s="230">
        <v>2197650</v>
      </c>
      <c r="CA102" s="229">
        <v>4.1599999999999998E-2</v>
      </c>
      <c r="CB102" s="230">
        <v>41607000</v>
      </c>
      <c r="CC102" s="230">
        <v>40820400</v>
      </c>
      <c r="CD102" s="230">
        <v>786600</v>
      </c>
      <c r="CE102" s="229">
        <v>1.9300000000000001E-2</v>
      </c>
      <c r="CF102" s="230">
        <v>12050850</v>
      </c>
      <c r="CG102" s="230">
        <v>10712250</v>
      </c>
      <c r="CH102" s="230">
        <v>1338600</v>
      </c>
      <c r="CI102" s="229">
        <v>0.125</v>
      </c>
      <c r="CJ102" s="230">
        <v>1331700</v>
      </c>
      <c r="CK102" s="230">
        <v>1259250</v>
      </c>
      <c r="CL102" s="230">
        <v>72450</v>
      </c>
      <c r="CM102" s="229">
        <v>5.7500000000000002E-2</v>
      </c>
      <c r="CN102" s="230">
        <v>38522700</v>
      </c>
      <c r="CO102" s="230">
        <v>37843050</v>
      </c>
      <c r="CP102" s="230">
        <v>679650</v>
      </c>
      <c r="CQ102" s="229">
        <v>1.7999999999999999E-2</v>
      </c>
      <c r="CR102" s="230">
        <v>19275150</v>
      </c>
      <c r="CS102" s="230">
        <v>18471300</v>
      </c>
      <c r="CT102" s="230">
        <v>803850</v>
      </c>
      <c r="CU102" s="229">
        <v>4.3499999999999997E-2</v>
      </c>
      <c r="CV102" s="230">
        <v>112787400</v>
      </c>
      <c r="CW102" s="230">
        <v>109106250</v>
      </c>
      <c r="CX102" s="230">
        <v>3681150</v>
      </c>
      <c r="CY102" s="229">
        <v>3.3700000000000001E-2</v>
      </c>
      <c r="CZ102" s="228">
        <v>32.090000000000003</v>
      </c>
      <c r="DA102" s="228">
        <v>32.1</v>
      </c>
      <c r="DB102" s="228">
        <v>-0.01</v>
      </c>
      <c r="DC102" s="228">
        <v>-0.01</v>
      </c>
      <c r="DD102" s="228">
        <v>48.72</v>
      </c>
      <c r="DE102" s="228">
        <v>48.78</v>
      </c>
      <c r="DF102" s="228">
        <v>-16.63</v>
      </c>
      <c r="DG102" s="228">
        <v>-0.06</v>
      </c>
      <c r="DH102" s="228">
        <v>32.450000000000003</v>
      </c>
      <c r="DI102" s="228">
        <v>32</v>
      </c>
      <c r="DJ102" s="228">
        <v>0.45</v>
      </c>
      <c r="DK102" s="228">
        <v>0.45</v>
      </c>
      <c r="DL102" s="228">
        <v>30.98</v>
      </c>
      <c r="DM102" s="228">
        <v>32.54</v>
      </c>
      <c r="DN102" s="228">
        <v>-1.56</v>
      </c>
      <c r="DO102" s="228">
        <v>-1.56</v>
      </c>
      <c r="DP102" s="228">
        <v>0.5</v>
      </c>
      <c r="DQ102" s="228">
        <v>0.49</v>
      </c>
      <c r="DR102" s="228">
        <v>0.01</v>
      </c>
      <c r="DS102" s="229">
        <v>2.0400000000000001E-2</v>
      </c>
      <c r="DT102" s="228">
        <v>145</v>
      </c>
      <c r="DU102" s="228">
        <v>125</v>
      </c>
      <c r="DV102" s="228">
        <v>0.32</v>
      </c>
      <c r="DW102" s="228">
        <v>0.25</v>
      </c>
      <c r="DX102" s="228">
        <v>7.0000000000000007E-2</v>
      </c>
      <c r="DY102" s="229">
        <v>0.28000000000000003</v>
      </c>
      <c r="DZ102" s="229">
        <v>0.24340000000000001</v>
      </c>
      <c r="EA102" s="230">
        <v>11971500</v>
      </c>
      <c r="EB102" s="229">
        <v>-3.8999999999999998E-3</v>
      </c>
      <c r="EC102" s="229">
        <v>0.24340000000000001</v>
      </c>
      <c r="ED102" s="228">
        <v>-0.51</v>
      </c>
      <c r="EE102" s="229">
        <v>-3.8999999999999998E-3</v>
      </c>
      <c r="EF102" s="230">
        <v>1658638</v>
      </c>
      <c r="EG102" s="230">
        <v>1102521</v>
      </c>
      <c r="EH102" s="229">
        <v>0.50439999999999996</v>
      </c>
      <c r="EI102" s="229">
        <v>0.3931</v>
      </c>
      <c r="EJ102" s="231">
        <v>20171.36</v>
      </c>
      <c r="EK102" s="231">
        <v>6262.67</v>
      </c>
      <c r="EL102" s="231">
        <v>13874.98</v>
      </c>
      <c r="EM102" s="231">
        <v>1880</v>
      </c>
      <c r="EN102" s="231">
        <v>40309.01</v>
      </c>
      <c r="EO102" s="231">
        <v>28056.62</v>
      </c>
      <c r="EP102" s="231">
        <v>12252.39</v>
      </c>
      <c r="EQ102" s="229">
        <v>0.43669999999999998</v>
      </c>
      <c r="ER102" s="231">
        <v>56150</v>
      </c>
      <c r="ES102" s="231">
        <v>26362</v>
      </c>
      <c r="ET102" s="231">
        <v>72057</v>
      </c>
      <c r="EU102" s="231">
        <v>119011160</v>
      </c>
      <c r="EV102" s="231">
        <v>154569</v>
      </c>
      <c r="EW102" s="231">
        <v>151183</v>
      </c>
      <c r="EX102" s="231">
        <v>3386</v>
      </c>
      <c r="EY102" s="229">
        <v>2.24E-2</v>
      </c>
      <c r="EZ102" s="229">
        <v>0.94769999999999999</v>
      </c>
      <c r="FA102" s="227" t="s">
        <v>567</v>
      </c>
      <c r="FB102" s="161">
        <f t="shared" si="1"/>
        <v>13382550</v>
      </c>
    </row>
    <row r="103" spans="1:158" ht="17.25" hidden="1" thickBot="1" x14ac:dyDescent="0.3">
      <c r="A103" s="226">
        <v>46008</v>
      </c>
      <c r="B103" s="227" t="s">
        <v>215</v>
      </c>
      <c r="C103" s="227" t="s">
        <v>592</v>
      </c>
      <c r="D103" s="228">
        <v>4250</v>
      </c>
      <c r="E103" s="228">
        <v>111.25</v>
      </c>
      <c r="F103" s="228">
        <v>112.07</v>
      </c>
      <c r="G103" s="228">
        <v>-0.82</v>
      </c>
      <c r="H103" s="229">
        <v>-7.3000000000000001E-3</v>
      </c>
      <c r="I103" s="228">
        <v>111.08</v>
      </c>
      <c r="J103" s="228">
        <v>112.01</v>
      </c>
      <c r="K103" s="228">
        <v>-0.93</v>
      </c>
      <c r="L103" s="229">
        <v>-8.3000000000000001E-3</v>
      </c>
      <c r="M103" s="228">
        <v>111.25</v>
      </c>
      <c r="N103" s="228">
        <v>112.07</v>
      </c>
      <c r="O103" s="228">
        <v>-0.82</v>
      </c>
      <c r="P103" s="229">
        <v>-7.3000000000000001E-3</v>
      </c>
      <c r="Q103" s="228">
        <v>111.96</v>
      </c>
      <c r="R103" s="228">
        <v>112.8</v>
      </c>
      <c r="S103" s="228">
        <v>-0.84</v>
      </c>
      <c r="T103" s="229">
        <v>-7.4000000000000003E-3</v>
      </c>
      <c r="U103" s="228">
        <v>112.63</v>
      </c>
      <c r="V103" s="228">
        <v>113.4</v>
      </c>
      <c r="W103" s="228">
        <v>-0.77</v>
      </c>
      <c r="X103" s="229">
        <v>-6.7999999999999996E-3</v>
      </c>
      <c r="Y103" s="228">
        <v>0.17</v>
      </c>
      <c r="Z103" s="228">
        <v>0.06</v>
      </c>
      <c r="AA103" s="228">
        <v>0.11</v>
      </c>
      <c r="AB103" s="229">
        <v>1.5E-3</v>
      </c>
      <c r="AC103" s="228">
        <v>0.17</v>
      </c>
      <c r="AD103" s="228">
        <v>0.06</v>
      </c>
      <c r="AE103" s="228">
        <v>0.11</v>
      </c>
      <c r="AF103" s="229">
        <v>1.5E-3</v>
      </c>
      <c r="AG103" s="228">
        <v>0.88</v>
      </c>
      <c r="AH103" s="228">
        <v>0.79</v>
      </c>
      <c r="AI103" s="228">
        <v>0.09</v>
      </c>
      <c r="AJ103" s="229">
        <v>7.9000000000000008E-3</v>
      </c>
      <c r="AK103" s="228">
        <v>1.55</v>
      </c>
      <c r="AL103" s="228">
        <v>1.39</v>
      </c>
      <c r="AM103" s="228">
        <v>0.16</v>
      </c>
      <c r="AN103" s="229">
        <v>1.4E-2</v>
      </c>
      <c r="AO103" s="228">
        <v>111.57</v>
      </c>
      <c r="AP103" s="228">
        <v>112.11</v>
      </c>
      <c r="AQ103" s="228">
        <v>0</v>
      </c>
      <c r="AR103" s="230">
        <v>5393250</v>
      </c>
      <c r="AS103" s="230">
        <v>4900250</v>
      </c>
      <c r="AT103" s="230">
        <v>493000</v>
      </c>
      <c r="AU103" s="229">
        <v>0.10059999999999999</v>
      </c>
      <c r="AV103" s="230">
        <v>3459500</v>
      </c>
      <c r="AW103" s="230">
        <v>3782500</v>
      </c>
      <c r="AX103" s="230">
        <v>-323000</v>
      </c>
      <c r="AY103" s="229">
        <v>-8.5400000000000004E-2</v>
      </c>
      <c r="AZ103" s="230">
        <v>1725500</v>
      </c>
      <c r="BA103" s="230">
        <v>969000</v>
      </c>
      <c r="BB103" s="230">
        <v>756500</v>
      </c>
      <c r="BC103" s="229">
        <v>0.78069999999999995</v>
      </c>
      <c r="BD103" s="230">
        <v>208250</v>
      </c>
      <c r="BE103" s="230">
        <v>148750</v>
      </c>
      <c r="BF103" s="230">
        <v>59500</v>
      </c>
      <c r="BG103" s="229">
        <v>0.4</v>
      </c>
      <c r="BH103" s="230">
        <v>21874750</v>
      </c>
      <c r="BI103" s="230">
        <v>13400250</v>
      </c>
      <c r="BJ103" s="230">
        <v>8474500</v>
      </c>
      <c r="BK103" s="229">
        <v>0.63239999999999996</v>
      </c>
      <c r="BL103" s="230">
        <v>9167250</v>
      </c>
      <c r="BM103" s="230">
        <v>6132750</v>
      </c>
      <c r="BN103" s="230">
        <v>3034500</v>
      </c>
      <c r="BO103" s="229">
        <v>0.49480000000000002</v>
      </c>
      <c r="BP103" s="230">
        <v>36435250</v>
      </c>
      <c r="BQ103" s="230">
        <v>24433250</v>
      </c>
      <c r="BR103" s="230">
        <v>12002000</v>
      </c>
      <c r="BS103" s="229">
        <v>0.49120000000000003</v>
      </c>
      <c r="BT103" s="230">
        <v>5360488</v>
      </c>
      <c r="BU103" s="230">
        <v>4638315</v>
      </c>
      <c r="BV103" s="230">
        <v>722173</v>
      </c>
      <c r="BW103" s="229">
        <v>0.15570000000000001</v>
      </c>
      <c r="BX103" s="230">
        <v>47974000</v>
      </c>
      <c r="BY103" s="230">
        <v>46801000</v>
      </c>
      <c r="BZ103" s="230">
        <v>1173000</v>
      </c>
      <c r="CA103" s="229">
        <v>2.5100000000000001E-2</v>
      </c>
      <c r="CB103" s="230">
        <v>41463000</v>
      </c>
      <c r="CC103" s="230">
        <v>41076250</v>
      </c>
      <c r="CD103" s="230">
        <v>386750</v>
      </c>
      <c r="CE103" s="229">
        <v>9.4000000000000004E-3</v>
      </c>
      <c r="CF103" s="230">
        <v>5644000</v>
      </c>
      <c r="CG103" s="230">
        <v>4917250</v>
      </c>
      <c r="CH103" s="230">
        <v>726750</v>
      </c>
      <c r="CI103" s="229">
        <v>0.14779999999999999</v>
      </c>
      <c r="CJ103" s="230">
        <v>867000</v>
      </c>
      <c r="CK103" s="230">
        <v>807500</v>
      </c>
      <c r="CL103" s="230">
        <v>59500</v>
      </c>
      <c r="CM103" s="229">
        <v>7.3700000000000002E-2</v>
      </c>
      <c r="CN103" s="230">
        <v>43996000</v>
      </c>
      <c r="CO103" s="230">
        <v>43732500</v>
      </c>
      <c r="CP103" s="230">
        <v>263500</v>
      </c>
      <c r="CQ103" s="229">
        <v>6.0000000000000001E-3</v>
      </c>
      <c r="CR103" s="230">
        <v>20965250</v>
      </c>
      <c r="CS103" s="230">
        <v>20463750</v>
      </c>
      <c r="CT103" s="230">
        <v>501500</v>
      </c>
      <c r="CU103" s="229">
        <v>2.4500000000000001E-2</v>
      </c>
      <c r="CV103" s="230">
        <v>112935250</v>
      </c>
      <c r="CW103" s="230">
        <v>110997250</v>
      </c>
      <c r="CX103" s="230">
        <v>1938000</v>
      </c>
      <c r="CY103" s="229">
        <v>1.7500000000000002E-2</v>
      </c>
      <c r="CZ103" s="228">
        <v>25.13</v>
      </c>
      <c r="DA103" s="228">
        <v>25.55</v>
      </c>
      <c r="DB103" s="228">
        <v>-0.42</v>
      </c>
      <c r="DC103" s="228">
        <v>-0.42</v>
      </c>
      <c r="DD103" s="228">
        <v>43.89</v>
      </c>
      <c r="DE103" s="228">
        <v>43.99</v>
      </c>
      <c r="DF103" s="228">
        <v>-18.760000000000002</v>
      </c>
      <c r="DG103" s="228">
        <v>-0.1</v>
      </c>
      <c r="DH103" s="228">
        <v>26.31</v>
      </c>
      <c r="DI103" s="228">
        <v>27.07</v>
      </c>
      <c r="DJ103" s="228">
        <v>-0.76</v>
      </c>
      <c r="DK103" s="228">
        <v>-0.76</v>
      </c>
      <c r="DL103" s="228">
        <v>22.29</v>
      </c>
      <c r="DM103" s="228">
        <v>22.22</v>
      </c>
      <c r="DN103" s="228">
        <v>7.0000000000000007E-2</v>
      </c>
      <c r="DO103" s="228">
        <v>7.0000000000000007E-2</v>
      </c>
      <c r="DP103" s="228">
        <v>0.48</v>
      </c>
      <c r="DQ103" s="228">
        <v>0.47</v>
      </c>
      <c r="DR103" s="228">
        <v>0.01</v>
      </c>
      <c r="DS103" s="229">
        <v>2.1299999999999999E-2</v>
      </c>
      <c r="DT103" s="228">
        <v>120</v>
      </c>
      <c r="DU103" s="228">
        <v>120</v>
      </c>
      <c r="DV103" s="228">
        <v>0.42</v>
      </c>
      <c r="DW103" s="228">
        <v>0.46</v>
      </c>
      <c r="DX103" s="228">
        <v>-0.04</v>
      </c>
      <c r="DY103" s="229">
        <v>-8.6999999999999994E-2</v>
      </c>
      <c r="DZ103" s="229">
        <v>0.13569999999999999</v>
      </c>
      <c r="EA103" s="230">
        <v>5724750</v>
      </c>
      <c r="EB103" s="229">
        <v>6.4000000000000003E-3</v>
      </c>
      <c r="EC103" s="229">
        <v>0.13569999999999999</v>
      </c>
      <c r="ED103" s="228">
        <v>0.54</v>
      </c>
      <c r="EE103" s="229">
        <v>4.7999999999999996E-3</v>
      </c>
      <c r="EF103" s="230">
        <v>2180133</v>
      </c>
      <c r="EG103" s="230">
        <v>2352828</v>
      </c>
      <c r="EH103" s="229">
        <v>-7.3400000000000007E-2</v>
      </c>
      <c r="EI103" s="229">
        <v>0.40670000000000001</v>
      </c>
      <c r="EJ103" s="231">
        <v>25999.94</v>
      </c>
      <c r="EK103" s="231">
        <v>10178.950000000001</v>
      </c>
      <c r="EL103" s="231">
        <v>6029.06</v>
      </c>
      <c r="EM103" s="231">
        <v>1093</v>
      </c>
      <c r="EN103" s="231">
        <v>42207.95</v>
      </c>
      <c r="EO103" s="231">
        <v>28525.83</v>
      </c>
      <c r="EP103" s="231">
        <v>13682.12</v>
      </c>
      <c r="EQ103" s="229">
        <v>0.47960000000000003</v>
      </c>
      <c r="ER103" s="231">
        <v>53517</v>
      </c>
      <c r="ES103" s="231">
        <v>24055</v>
      </c>
      <c r="ET103" s="231">
        <v>53423</v>
      </c>
      <c r="EU103" s="231">
        <v>226853356</v>
      </c>
      <c r="EV103" s="231">
        <v>130995</v>
      </c>
      <c r="EW103" s="231">
        <v>129433</v>
      </c>
      <c r="EX103" s="231">
        <v>1562</v>
      </c>
      <c r="EY103" s="229">
        <v>1.21E-2</v>
      </c>
      <c r="EZ103" s="229">
        <v>0.49780000000000002</v>
      </c>
      <c r="FA103" s="227" t="s">
        <v>567</v>
      </c>
      <c r="FB103" s="161">
        <f t="shared" si="1"/>
        <v>6511000</v>
      </c>
    </row>
    <row r="104" spans="1:158" ht="17.25" hidden="1" thickBot="1" x14ac:dyDescent="0.3">
      <c r="A104" s="226">
        <v>46008</v>
      </c>
      <c r="B104" s="227" t="s">
        <v>168</v>
      </c>
      <c r="C104" s="227" t="s">
        <v>242</v>
      </c>
      <c r="D104" s="228">
        <v>1600</v>
      </c>
      <c r="E104" s="228">
        <v>401.05</v>
      </c>
      <c r="F104" s="228">
        <v>403.2</v>
      </c>
      <c r="G104" s="228">
        <v>-2.15</v>
      </c>
      <c r="H104" s="229">
        <v>-5.3E-3</v>
      </c>
      <c r="I104" s="228">
        <v>399.8</v>
      </c>
      <c r="J104" s="228">
        <v>401.7</v>
      </c>
      <c r="K104" s="228">
        <v>-1.9</v>
      </c>
      <c r="L104" s="229">
        <v>-4.7000000000000002E-3</v>
      </c>
      <c r="M104" s="228">
        <v>401.05</v>
      </c>
      <c r="N104" s="228">
        <v>403.2</v>
      </c>
      <c r="O104" s="228">
        <v>-2.15</v>
      </c>
      <c r="P104" s="229">
        <v>-5.3E-3</v>
      </c>
      <c r="Q104" s="228">
        <v>403.55</v>
      </c>
      <c r="R104" s="228">
        <v>405.55</v>
      </c>
      <c r="S104" s="228">
        <v>-2</v>
      </c>
      <c r="T104" s="229">
        <v>-4.8999999999999998E-3</v>
      </c>
      <c r="U104" s="228">
        <v>400.95</v>
      </c>
      <c r="V104" s="228">
        <v>403.1</v>
      </c>
      <c r="W104" s="228">
        <v>-2.15</v>
      </c>
      <c r="X104" s="229">
        <v>-5.3E-3</v>
      </c>
      <c r="Y104" s="228">
        <v>1.25</v>
      </c>
      <c r="Z104" s="228">
        <v>1.5</v>
      </c>
      <c r="AA104" s="228">
        <v>-0.25</v>
      </c>
      <c r="AB104" s="229">
        <v>3.0999999999999999E-3</v>
      </c>
      <c r="AC104" s="228">
        <v>1.25</v>
      </c>
      <c r="AD104" s="228">
        <v>1.5</v>
      </c>
      <c r="AE104" s="228">
        <v>-0.25</v>
      </c>
      <c r="AF104" s="229">
        <v>3.0999999999999999E-3</v>
      </c>
      <c r="AG104" s="228">
        <v>3.75</v>
      </c>
      <c r="AH104" s="228">
        <v>3.85</v>
      </c>
      <c r="AI104" s="228">
        <v>-0.1</v>
      </c>
      <c r="AJ104" s="229">
        <v>9.4000000000000004E-3</v>
      </c>
      <c r="AK104" s="228">
        <v>1.1499999999999999</v>
      </c>
      <c r="AL104" s="228">
        <v>1.4</v>
      </c>
      <c r="AM104" s="228">
        <v>-0.25</v>
      </c>
      <c r="AN104" s="229">
        <v>2.8999999999999998E-3</v>
      </c>
      <c r="AO104" s="228">
        <v>401.83</v>
      </c>
      <c r="AP104" s="228">
        <v>404.07</v>
      </c>
      <c r="AQ104" s="228">
        <v>0</v>
      </c>
      <c r="AR104" s="230">
        <v>13742400</v>
      </c>
      <c r="AS104" s="230">
        <v>17641600</v>
      </c>
      <c r="AT104" s="230">
        <v>-3899200</v>
      </c>
      <c r="AU104" s="229">
        <v>-0.221</v>
      </c>
      <c r="AV104" s="230">
        <v>9867200</v>
      </c>
      <c r="AW104" s="230">
        <v>14513600</v>
      </c>
      <c r="AX104" s="230">
        <v>-4646400</v>
      </c>
      <c r="AY104" s="229">
        <v>-0.3201</v>
      </c>
      <c r="AZ104" s="230">
        <v>3555200</v>
      </c>
      <c r="BA104" s="230">
        <v>2827200</v>
      </c>
      <c r="BB104" s="230">
        <v>728000</v>
      </c>
      <c r="BC104" s="229">
        <v>0.25750000000000001</v>
      </c>
      <c r="BD104" s="230">
        <v>320000</v>
      </c>
      <c r="BE104" s="230">
        <v>300800</v>
      </c>
      <c r="BF104" s="230">
        <v>19200</v>
      </c>
      <c r="BG104" s="229">
        <v>6.3799999999999996E-2</v>
      </c>
      <c r="BH104" s="230">
        <v>39790400</v>
      </c>
      <c r="BI104" s="230">
        <v>56784000</v>
      </c>
      <c r="BJ104" s="230">
        <v>-16993600</v>
      </c>
      <c r="BK104" s="229">
        <v>-0.29930000000000001</v>
      </c>
      <c r="BL104" s="230">
        <v>19144000</v>
      </c>
      <c r="BM104" s="230">
        <v>34662400</v>
      </c>
      <c r="BN104" s="230">
        <v>-15518400</v>
      </c>
      <c r="BO104" s="229">
        <v>-0.44769999999999999</v>
      </c>
      <c r="BP104" s="230">
        <v>72676800</v>
      </c>
      <c r="BQ104" s="230">
        <v>109088000</v>
      </c>
      <c r="BR104" s="230">
        <v>-36411200</v>
      </c>
      <c r="BS104" s="229">
        <v>-0.33379999999999999</v>
      </c>
      <c r="BT104" s="230">
        <v>12098504</v>
      </c>
      <c r="BU104" s="230">
        <v>12969711</v>
      </c>
      <c r="BV104" s="230">
        <v>-871207</v>
      </c>
      <c r="BW104" s="229">
        <v>-6.7199999999999996E-2</v>
      </c>
      <c r="BX104" s="230">
        <v>173939200</v>
      </c>
      <c r="BY104" s="230">
        <v>172441600</v>
      </c>
      <c r="BZ104" s="230">
        <v>1497600</v>
      </c>
      <c r="CA104" s="229">
        <v>8.6999999999999994E-3</v>
      </c>
      <c r="CB104" s="230">
        <v>155156800</v>
      </c>
      <c r="CC104" s="230">
        <v>156939200</v>
      </c>
      <c r="CD104" s="230">
        <v>-1782400</v>
      </c>
      <c r="CE104" s="229">
        <v>-1.14E-2</v>
      </c>
      <c r="CF104" s="230">
        <v>16281600</v>
      </c>
      <c r="CG104" s="230">
        <v>13254400</v>
      </c>
      <c r="CH104" s="230">
        <v>3027200</v>
      </c>
      <c r="CI104" s="229">
        <v>0.22839999999999999</v>
      </c>
      <c r="CJ104" s="230">
        <v>2500800</v>
      </c>
      <c r="CK104" s="230">
        <v>2248000</v>
      </c>
      <c r="CL104" s="230">
        <v>252800</v>
      </c>
      <c r="CM104" s="229">
        <v>0.1125</v>
      </c>
      <c r="CN104" s="230">
        <v>63188800</v>
      </c>
      <c r="CO104" s="230">
        <v>60632000</v>
      </c>
      <c r="CP104" s="230">
        <v>2556800</v>
      </c>
      <c r="CQ104" s="229">
        <v>4.2200000000000001E-2</v>
      </c>
      <c r="CR104" s="230">
        <v>39073600</v>
      </c>
      <c r="CS104" s="230">
        <v>38720000</v>
      </c>
      <c r="CT104" s="230">
        <v>353600</v>
      </c>
      <c r="CU104" s="229">
        <v>9.1000000000000004E-3</v>
      </c>
      <c r="CV104" s="230">
        <v>276201600</v>
      </c>
      <c r="CW104" s="230">
        <v>271793600</v>
      </c>
      <c r="CX104" s="230">
        <v>4408000</v>
      </c>
      <c r="CY104" s="229">
        <v>1.6199999999999999E-2</v>
      </c>
      <c r="CZ104" s="228">
        <v>13.12</v>
      </c>
      <c r="DA104" s="228">
        <v>12.77</v>
      </c>
      <c r="DB104" s="228">
        <v>0.35</v>
      </c>
      <c r="DC104" s="228">
        <v>0.35</v>
      </c>
      <c r="DD104" s="228">
        <v>18.48</v>
      </c>
      <c r="DE104" s="228">
        <v>18.510000000000002</v>
      </c>
      <c r="DF104" s="228">
        <v>-5.36</v>
      </c>
      <c r="DG104" s="228">
        <v>-0.03</v>
      </c>
      <c r="DH104" s="228">
        <v>13.35</v>
      </c>
      <c r="DI104" s="228">
        <v>12.9</v>
      </c>
      <c r="DJ104" s="228">
        <v>0.45</v>
      </c>
      <c r="DK104" s="228">
        <v>0.45</v>
      </c>
      <c r="DL104" s="228">
        <v>12.62</v>
      </c>
      <c r="DM104" s="228">
        <v>12.55</v>
      </c>
      <c r="DN104" s="228">
        <v>7.0000000000000007E-2</v>
      </c>
      <c r="DO104" s="228">
        <v>7.0000000000000007E-2</v>
      </c>
      <c r="DP104" s="228">
        <v>0.62</v>
      </c>
      <c r="DQ104" s="228">
        <v>0.64</v>
      </c>
      <c r="DR104" s="228">
        <v>-0.02</v>
      </c>
      <c r="DS104" s="229">
        <v>-3.1300000000000001E-2</v>
      </c>
      <c r="DT104" s="228">
        <v>410</v>
      </c>
      <c r="DU104" s="228">
        <v>390</v>
      </c>
      <c r="DV104" s="228">
        <v>0.48</v>
      </c>
      <c r="DW104" s="228">
        <v>0.61</v>
      </c>
      <c r="DX104" s="228">
        <v>-0.13</v>
      </c>
      <c r="DY104" s="229">
        <v>-0.21310000000000001</v>
      </c>
      <c r="DZ104" s="229">
        <v>0.108</v>
      </c>
      <c r="EA104" s="230">
        <v>15502400</v>
      </c>
      <c r="EB104" s="229">
        <v>6.1999999999999998E-3</v>
      </c>
      <c r="EC104" s="229">
        <v>0.108</v>
      </c>
      <c r="ED104" s="228">
        <v>2.2400000000000002</v>
      </c>
      <c r="EE104" s="229">
        <v>5.5999999999999999E-3</v>
      </c>
      <c r="EF104" s="230">
        <v>9400447</v>
      </c>
      <c r="EG104" s="230">
        <v>7948093</v>
      </c>
      <c r="EH104" s="229">
        <v>0.1827</v>
      </c>
      <c r="EI104" s="229">
        <v>0.77700000000000002</v>
      </c>
      <c r="EJ104" s="231">
        <v>163495.72</v>
      </c>
      <c r="EK104" s="231">
        <v>76899.259999999995</v>
      </c>
      <c r="EL104" s="231">
        <v>55299.79</v>
      </c>
      <c r="EM104" s="231">
        <v>6188</v>
      </c>
      <c r="EN104" s="231">
        <v>295694.77</v>
      </c>
      <c r="EO104" s="231">
        <v>443782.2</v>
      </c>
      <c r="EP104" s="231">
        <v>-148087.43</v>
      </c>
      <c r="EQ104" s="229">
        <v>-0.3337</v>
      </c>
      <c r="ER104" s="231">
        <v>263876</v>
      </c>
      <c r="ES104" s="231">
        <v>155417</v>
      </c>
      <c r="ET104" s="231">
        <v>697988</v>
      </c>
      <c r="EU104" s="231">
        <v>1251412841</v>
      </c>
      <c r="EV104" s="231">
        <v>1117281</v>
      </c>
      <c r="EW104" s="231">
        <v>1103315</v>
      </c>
      <c r="EX104" s="231">
        <v>13966</v>
      </c>
      <c r="EY104" s="229">
        <v>1.2699999999999999E-2</v>
      </c>
      <c r="EZ104" s="229">
        <v>0.22070000000000001</v>
      </c>
      <c r="FA104" s="227" t="s">
        <v>567</v>
      </c>
      <c r="FB104" s="161">
        <f t="shared" si="1"/>
        <v>18782400</v>
      </c>
    </row>
    <row r="105" spans="1:158" ht="17.25" hidden="1" thickBot="1" x14ac:dyDescent="0.3">
      <c r="A105" s="226">
        <v>46008</v>
      </c>
      <c r="B105" s="227" t="s">
        <v>227</v>
      </c>
      <c r="C105" s="227" t="s">
        <v>243</v>
      </c>
      <c r="D105" s="228">
        <v>625</v>
      </c>
      <c r="E105" s="231">
        <v>1003.9</v>
      </c>
      <c r="F105" s="231">
        <v>1012.5</v>
      </c>
      <c r="G105" s="228">
        <v>-8.6</v>
      </c>
      <c r="H105" s="229">
        <v>-8.5000000000000006E-3</v>
      </c>
      <c r="I105" s="231">
        <v>1001.5</v>
      </c>
      <c r="J105" s="231">
        <v>1011.2</v>
      </c>
      <c r="K105" s="228">
        <v>-9.6999999999999993</v>
      </c>
      <c r="L105" s="229">
        <v>-9.5999999999999992E-3</v>
      </c>
      <c r="M105" s="231">
        <v>1003.9</v>
      </c>
      <c r="N105" s="231">
        <v>1012.5</v>
      </c>
      <c r="O105" s="228">
        <v>-8.6</v>
      </c>
      <c r="P105" s="229">
        <v>-8.5000000000000006E-3</v>
      </c>
      <c r="Q105" s="231">
        <v>1010.5</v>
      </c>
      <c r="R105" s="231">
        <v>1017.6</v>
      </c>
      <c r="S105" s="228">
        <v>-7.1</v>
      </c>
      <c r="T105" s="229">
        <v>-7.0000000000000001E-3</v>
      </c>
      <c r="U105" s="231">
        <v>1015.2</v>
      </c>
      <c r="V105" s="231">
        <v>1022.5</v>
      </c>
      <c r="W105" s="228">
        <v>-7.3</v>
      </c>
      <c r="X105" s="229">
        <v>-7.1000000000000004E-3</v>
      </c>
      <c r="Y105" s="228">
        <v>2.4</v>
      </c>
      <c r="Z105" s="228">
        <v>1.3</v>
      </c>
      <c r="AA105" s="228">
        <v>1.1000000000000001</v>
      </c>
      <c r="AB105" s="229">
        <v>2.3999999999999998E-3</v>
      </c>
      <c r="AC105" s="228">
        <v>2.4</v>
      </c>
      <c r="AD105" s="228">
        <v>1.3</v>
      </c>
      <c r="AE105" s="228">
        <v>1.1000000000000001</v>
      </c>
      <c r="AF105" s="229">
        <v>2.3999999999999998E-3</v>
      </c>
      <c r="AG105" s="228">
        <v>9</v>
      </c>
      <c r="AH105" s="228">
        <v>6.4</v>
      </c>
      <c r="AI105" s="228">
        <v>2.6</v>
      </c>
      <c r="AJ105" s="229">
        <v>8.9999999999999993E-3</v>
      </c>
      <c r="AK105" s="228">
        <v>13.7</v>
      </c>
      <c r="AL105" s="228">
        <v>11.3</v>
      </c>
      <c r="AM105" s="228">
        <v>2.4</v>
      </c>
      <c r="AN105" s="229">
        <v>1.37E-2</v>
      </c>
      <c r="AO105" s="231">
        <v>1007.98</v>
      </c>
      <c r="AP105" s="231">
        <v>1015.44</v>
      </c>
      <c r="AQ105" s="228">
        <v>0</v>
      </c>
      <c r="AR105" s="230">
        <v>1740000</v>
      </c>
      <c r="AS105" s="230">
        <v>1951250</v>
      </c>
      <c r="AT105" s="230">
        <v>-211250</v>
      </c>
      <c r="AU105" s="229">
        <v>-0.10829999999999999</v>
      </c>
      <c r="AV105" s="230">
        <v>1547500</v>
      </c>
      <c r="AW105" s="230">
        <v>1854375</v>
      </c>
      <c r="AX105" s="230">
        <v>-306875</v>
      </c>
      <c r="AY105" s="229">
        <v>-0.16550000000000001</v>
      </c>
      <c r="AZ105" s="230">
        <v>186250</v>
      </c>
      <c r="BA105" s="230">
        <v>87500</v>
      </c>
      <c r="BB105" s="230">
        <v>98750</v>
      </c>
      <c r="BC105" s="229">
        <v>1.1286</v>
      </c>
      <c r="BD105" s="230">
        <v>6250</v>
      </c>
      <c r="BE105" s="230">
        <v>9375</v>
      </c>
      <c r="BF105" s="230">
        <v>-3125</v>
      </c>
      <c r="BG105" s="229">
        <v>-0.33329999999999999</v>
      </c>
      <c r="BH105" s="230">
        <v>4140625</v>
      </c>
      <c r="BI105" s="230">
        <v>3748750</v>
      </c>
      <c r="BJ105" s="230">
        <v>391875</v>
      </c>
      <c r="BK105" s="229">
        <v>0.1045</v>
      </c>
      <c r="BL105" s="230">
        <v>2266875</v>
      </c>
      <c r="BM105" s="230">
        <v>3110625</v>
      </c>
      <c r="BN105" s="230">
        <v>-843750</v>
      </c>
      <c r="BO105" s="229">
        <v>-0.2712</v>
      </c>
      <c r="BP105" s="230">
        <v>8147500</v>
      </c>
      <c r="BQ105" s="230">
        <v>8810625</v>
      </c>
      <c r="BR105" s="230">
        <v>-663125</v>
      </c>
      <c r="BS105" s="229">
        <v>-7.5300000000000006E-2</v>
      </c>
      <c r="BT105" s="230">
        <v>660596</v>
      </c>
      <c r="BU105" s="230">
        <v>1573893</v>
      </c>
      <c r="BV105" s="230">
        <v>-913297</v>
      </c>
      <c r="BW105" s="229">
        <v>-0.58030000000000004</v>
      </c>
      <c r="BX105" s="230">
        <v>12578750</v>
      </c>
      <c r="BY105" s="230">
        <v>12283125</v>
      </c>
      <c r="BZ105" s="230">
        <v>295625</v>
      </c>
      <c r="CA105" s="229">
        <v>2.41E-2</v>
      </c>
      <c r="CB105" s="230">
        <v>12234375</v>
      </c>
      <c r="CC105" s="230">
        <v>12015625</v>
      </c>
      <c r="CD105" s="230">
        <v>218750</v>
      </c>
      <c r="CE105" s="229">
        <v>1.8200000000000001E-2</v>
      </c>
      <c r="CF105" s="230">
        <v>312500</v>
      </c>
      <c r="CG105" s="230">
        <v>236250</v>
      </c>
      <c r="CH105" s="230">
        <v>76250</v>
      </c>
      <c r="CI105" s="229">
        <v>0.32279999999999998</v>
      </c>
      <c r="CJ105" s="230">
        <v>31875</v>
      </c>
      <c r="CK105" s="230">
        <v>31250</v>
      </c>
      <c r="CL105" s="228">
        <v>625</v>
      </c>
      <c r="CM105" s="229">
        <v>0.02</v>
      </c>
      <c r="CN105" s="230">
        <v>5899375</v>
      </c>
      <c r="CO105" s="230">
        <v>5706250</v>
      </c>
      <c r="CP105" s="230">
        <v>193125</v>
      </c>
      <c r="CQ105" s="229">
        <v>3.3799999999999997E-2</v>
      </c>
      <c r="CR105" s="230">
        <v>3523125</v>
      </c>
      <c r="CS105" s="230">
        <v>3514375</v>
      </c>
      <c r="CT105" s="230">
        <v>8750</v>
      </c>
      <c r="CU105" s="229">
        <v>2.5000000000000001E-3</v>
      </c>
      <c r="CV105" s="230">
        <v>22001250</v>
      </c>
      <c r="CW105" s="230">
        <v>21503750</v>
      </c>
      <c r="CX105" s="230">
        <v>497500</v>
      </c>
      <c r="CY105" s="229">
        <v>2.3099999999999999E-2</v>
      </c>
      <c r="CZ105" s="228">
        <v>24.35</v>
      </c>
      <c r="DA105" s="228">
        <v>23.83</v>
      </c>
      <c r="DB105" s="228">
        <v>0.52</v>
      </c>
      <c r="DC105" s="228">
        <v>0.52</v>
      </c>
      <c r="DD105" s="228">
        <v>34.409999999999997</v>
      </c>
      <c r="DE105" s="228">
        <v>34.47</v>
      </c>
      <c r="DF105" s="228">
        <v>-10.06</v>
      </c>
      <c r="DG105" s="228">
        <v>-0.06</v>
      </c>
      <c r="DH105" s="228">
        <v>25</v>
      </c>
      <c r="DI105" s="228">
        <v>24.21</v>
      </c>
      <c r="DJ105" s="228">
        <v>0.79</v>
      </c>
      <c r="DK105" s="228">
        <v>0.79</v>
      </c>
      <c r="DL105" s="228">
        <v>23.17</v>
      </c>
      <c r="DM105" s="228">
        <v>23.36</v>
      </c>
      <c r="DN105" s="228">
        <v>-0.19</v>
      </c>
      <c r="DO105" s="228">
        <v>-0.19</v>
      </c>
      <c r="DP105" s="228">
        <v>0.6</v>
      </c>
      <c r="DQ105" s="228">
        <v>0.62</v>
      </c>
      <c r="DR105" s="228">
        <v>-0.02</v>
      </c>
      <c r="DS105" s="229">
        <v>-3.2300000000000002E-2</v>
      </c>
      <c r="DT105" s="231">
        <v>1070</v>
      </c>
      <c r="DU105" s="231">
        <v>1000</v>
      </c>
      <c r="DV105" s="228">
        <v>0.55000000000000004</v>
      </c>
      <c r="DW105" s="228">
        <v>0.83</v>
      </c>
      <c r="DX105" s="228">
        <v>-0.28000000000000003</v>
      </c>
      <c r="DY105" s="229">
        <v>-0.33729999999999999</v>
      </c>
      <c r="DZ105" s="229">
        <v>2.7400000000000001E-2</v>
      </c>
      <c r="EA105" s="230">
        <v>267500</v>
      </c>
      <c r="EB105" s="229">
        <v>6.6E-3</v>
      </c>
      <c r="EC105" s="229">
        <v>2.7400000000000001E-2</v>
      </c>
      <c r="ED105" s="228">
        <v>7.46</v>
      </c>
      <c r="EE105" s="229">
        <v>7.4000000000000003E-3</v>
      </c>
      <c r="EF105" s="230">
        <v>255410</v>
      </c>
      <c r="EG105" s="230">
        <v>1001897</v>
      </c>
      <c r="EH105" s="229">
        <v>-0.74509999999999998</v>
      </c>
      <c r="EI105" s="229">
        <v>0.3866</v>
      </c>
      <c r="EJ105" s="231">
        <v>43707.58</v>
      </c>
      <c r="EK105" s="231">
        <v>22816.78</v>
      </c>
      <c r="EL105" s="231">
        <v>17553.61</v>
      </c>
      <c r="EM105" s="231">
        <v>2767</v>
      </c>
      <c r="EN105" s="231">
        <v>84077.97</v>
      </c>
      <c r="EO105" s="231">
        <v>90883.28</v>
      </c>
      <c r="EP105" s="231">
        <v>-6805.31</v>
      </c>
      <c r="EQ105" s="229">
        <v>-7.4899999999999994E-2</v>
      </c>
      <c r="ER105" s="231">
        <v>63273</v>
      </c>
      <c r="ES105" s="231">
        <v>34928</v>
      </c>
      <c r="ET105" s="231">
        <v>126302</v>
      </c>
      <c r="EU105" s="231">
        <v>54776702</v>
      </c>
      <c r="EV105" s="231">
        <v>224504</v>
      </c>
      <c r="EW105" s="231">
        <v>220487</v>
      </c>
      <c r="EX105" s="231">
        <v>4017</v>
      </c>
      <c r="EY105" s="229">
        <v>1.8200000000000001E-2</v>
      </c>
      <c r="EZ105" s="229">
        <v>0.4017</v>
      </c>
      <c r="FA105" s="227" t="s">
        <v>567</v>
      </c>
      <c r="FB105" s="161">
        <f t="shared" si="1"/>
        <v>344375</v>
      </c>
    </row>
    <row r="106" spans="1:158" ht="17.25" hidden="1" thickBot="1" x14ac:dyDescent="0.3">
      <c r="A106" s="226">
        <v>46008</v>
      </c>
      <c r="B106" s="227" t="s">
        <v>175</v>
      </c>
      <c r="C106" s="227" t="s">
        <v>570</v>
      </c>
      <c r="D106" s="228">
        <v>2350</v>
      </c>
      <c r="E106" s="228">
        <v>293.7</v>
      </c>
      <c r="F106" s="228">
        <v>295.85000000000002</v>
      </c>
      <c r="G106" s="228">
        <v>-2.15</v>
      </c>
      <c r="H106" s="229">
        <v>-7.3000000000000001E-3</v>
      </c>
      <c r="I106" s="228">
        <v>293.14999999999998</v>
      </c>
      <c r="J106" s="228">
        <v>295.25</v>
      </c>
      <c r="K106" s="228">
        <v>-2.1</v>
      </c>
      <c r="L106" s="229">
        <v>-7.1000000000000004E-3</v>
      </c>
      <c r="M106" s="228">
        <v>293.7</v>
      </c>
      <c r="N106" s="228">
        <v>295.85000000000002</v>
      </c>
      <c r="O106" s="228">
        <v>-2.15</v>
      </c>
      <c r="P106" s="229">
        <v>-7.3000000000000001E-3</v>
      </c>
      <c r="Q106" s="228">
        <v>295.60000000000002</v>
      </c>
      <c r="R106" s="228">
        <v>297.5</v>
      </c>
      <c r="S106" s="228">
        <v>-1.9</v>
      </c>
      <c r="T106" s="229">
        <v>-6.4000000000000003E-3</v>
      </c>
      <c r="U106" s="228">
        <v>297.25</v>
      </c>
      <c r="V106" s="228">
        <v>299.14999999999998</v>
      </c>
      <c r="W106" s="228">
        <v>-1.9</v>
      </c>
      <c r="X106" s="229">
        <v>-6.4000000000000003E-3</v>
      </c>
      <c r="Y106" s="228">
        <v>0.55000000000000004</v>
      </c>
      <c r="Z106" s="228">
        <v>0.6</v>
      </c>
      <c r="AA106" s="228">
        <v>-0.05</v>
      </c>
      <c r="AB106" s="229">
        <v>1.9E-3</v>
      </c>
      <c r="AC106" s="228">
        <v>0.55000000000000004</v>
      </c>
      <c r="AD106" s="228">
        <v>0.6</v>
      </c>
      <c r="AE106" s="228">
        <v>-0.05</v>
      </c>
      <c r="AF106" s="229">
        <v>1.9E-3</v>
      </c>
      <c r="AG106" s="228">
        <v>2.4500000000000002</v>
      </c>
      <c r="AH106" s="228">
        <v>2.25</v>
      </c>
      <c r="AI106" s="228">
        <v>0.2</v>
      </c>
      <c r="AJ106" s="229">
        <v>8.3999999999999995E-3</v>
      </c>
      <c r="AK106" s="228">
        <v>4.0999999999999996</v>
      </c>
      <c r="AL106" s="228">
        <v>3.9</v>
      </c>
      <c r="AM106" s="228">
        <v>0.2</v>
      </c>
      <c r="AN106" s="229">
        <v>1.4E-2</v>
      </c>
      <c r="AO106" s="228">
        <v>294.10000000000002</v>
      </c>
      <c r="AP106" s="228">
        <v>295.91000000000003</v>
      </c>
      <c r="AQ106" s="228">
        <v>0</v>
      </c>
      <c r="AR106" s="230">
        <v>9244900</v>
      </c>
      <c r="AS106" s="230">
        <v>13481950</v>
      </c>
      <c r="AT106" s="230">
        <v>-4237050</v>
      </c>
      <c r="AU106" s="229">
        <v>-0.31430000000000002</v>
      </c>
      <c r="AV106" s="230">
        <v>6901950</v>
      </c>
      <c r="AW106" s="230">
        <v>10015700</v>
      </c>
      <c r="AX106" s="230">
        <v>-3113750</v>
      </c>
      <c r="AY106" s="229">
        <v>-0.31090000000000001</v>
      </c>
      <c r="AZ106" s="230">
        <v>2117350</v>
      </c>
      <c r="BA106" s="230">
        <v>3160750</v>
      </c>
      <c r="BB106" s="230">
        <v>-1043400</v>
      </c>
      <c r="BC106" s="229">
        <v>-0.3301</v>
      </c>
      <c r="BD106" s="230">
        <v>225600</v>
      </c>
      <c r="BE106" s="230">
        <v>305500</v>
      </c>
      <c r="BF106" s="230">
        <v>-79900</v>
      </c>
      <c r="BG106" s="229">
        <v>-0.26150000000000001</v>
      </c>
      <c r="BH106" s="230">
        <v>37153500</v>
      </c>
      <c r="BI106" s="230">
        <v>32782500</v>
      </c>
      <c r="BJ106" s="230">
        <v>4371000</v>
      </c>
      <c r="BK106" s="229">
        <v>0.1333</v>
      </c>
      <c r="BL106" s="230">
        <v>13209350</v>
      </c>
      <c r="BM106" s="230">
        <v>13888500</v>
      </c>
      <c r="BN106" s="230">
        <v>-679150</v>
      </c>
      <c r="BO106" s="229">
        <v>-4.8899999999999999E-2</v>
      </c>
      <c r="BP106" s="230">
        <v>59607750</v>
      </c>
      <c r="BQ106" s="230">
        <v>60152950</v>
      </c>
      <c r="BR106" s="230">
        <v>-545200</v>
      </c>
      <c r="BS106" s="229">
        <v>-9.1000000000000004E-3</v>
      </c>
      <c r="BT106" s="230">
        <v>6139430</v>
      </c>
      <c r="BU106" s="230">
        <v>7488039</v>
      </c>
      <c r="BV106" s="230">
        <v>-1348609</v>
      </c>
      <c r="BW106" s="229">
        <v>-0.18010000000000001</v>
      </c>
      <c r="BX106" s="230">
        <v>159313550</v>
      </c>
      <c r="BY106" s="230">
        <v>158230200</v>
      </c>
      <c r="BZ106" s="230">
        <v>1083350</v>
      </c>
      <c r="CA106" s="229">
        <v>6.7999999999999996E-3</v>
      </c>
      <c r="CB106" s="230">
        <v>135597350</v>
      </c>
      <c r="CC106" s="230">
        <v>135705450</v>
      </c>
      <c r="CD106" s="230">
        <v>-108100</v>
      </c>
      <c r="CE106" s="229">
        <v>-8.0000000000000004E-4</v>
      </c>
      <c r="CF106" s="230">
        <v>20757550</v>
      </c>
      <c r="CG106" s="230">
        <v>19667150</v>
      </c>
      <c r="CH106" s="230">
        <v>1090400</v>
      </c>
      <c r="CI106" s="229">
        <v>5.5399999999999998E-2</v>
      </c>
      <c r="CJ106" s="230">
        <v>2958650</v>
      </c>
      <c r="CK106" s="230">
        <v>2857600</v>
      </c>
      <c r="CL106" s="230">
        <v>101050</v>
      </c>
      <c r="CM106" s="229">
        <v>3.5400000000000001E-2</v>
      </c>
      <c r="CN106" s="230">
        <v>68631750</v>
      </c>
      <c r="CO106" s="230">
        <v>66537900</v>
      </c>
      <c r="CP106" s="230">
        <v>2093850</v>
      </c>
      <c r="CQ106" s="229">
        <v>3.15E-2</v>
      </c>
      <c r="CR106" s="230">
        <v>46675700</v>
      </c>
      <c r="CS106" s="230">
        <v>46668650</v>
      </c>
      <c r="CT106" s="230">
        <v>7050</v>
      </c>
      <c r="CU106" s="229">
        <v>2.0000000000000001E-4</v>
      </c>
      <c r="CV106" s="230">
        <v>274621000</v>
      </c>
      <c r="CW106" s="230">
        <v>271436750</v>
      </c>
      <c r="CX106" s="230">
        <v>3184250</v>
      </c>
      <c r="CY106" s="229">
        <v>1.17E-2</v>
      </c>
      <c r="CZ106" s="228">
        <v>23.08</v>
      </c>
      <c r="DA106" s="228">
        <v>23.15</v>
      </c>
      <c r="DB106" s="228">
        <v>-7.0000000000000007E-2</v>
      </c>
      <c r="DC106" s="228">
        <v>-7.0000000000000007E-2</v>
      </c>
      <c r="DD106" s="228">
        <v>34.049999999999997</v>
      </c>
      <c r="DE106" s="228">
        <v>34.119999999999997</v>
      </c>
      <c r="DF106" s="228">
        <v>-10.97</v>
      </c>
      <c r="DG106" s="228">
        <v>-7.0000000000000007E-2</v>
      </c>
      <c r="DH106" s="228">
        <v>23.74</v>
      </c>
      <c r="DI106" s="228">
        <v>23.78</v>
      </c>
      <c r="DJ106" s="228">
        <v>-0.04</v>
      </c>
      <c r="DK106" s="228">
        <v>-0.04</v>
      </c>
      <c r="DL106" s="228">
        <v>21.23</v>
      </c>
      <c r="DM106" s="228">
        <v>21.64</v>
      </c>
      <c r="DN106" s="228">
        <v>-0.41</v>
      </c>
      <c r="DO106" s="228">
        <v>-0.41</v>
      </c>
      <c r="DP106" s="228">
        <v>0.68</v>
      </c>
      <c r="DQ106" s="228">
        <v>0.7</v>
      </c>
      <c r="DR106" s="228">
        <v>-0.02</v>
      </c>
      <c r="DS106" s="229">
        <v>-2.86E-2</v>
      </c>
      <c r="DT106" s="228">
        <v>310</v>
      </c>
      <c r="DU106" s="228">
        <v>300</v>
      </c>
      <c r="DV106" s="228">
        <v>0.36</v>
      </c>
      <c r="DW106" s="228">
        <v>0.42</v>
      </c>
      <c r="DX106" s="228">
        <v>-0.06</v>
      </c>
      <c r="DY106" s="229">
        <v>-0.1429</v>
      </c>
      <c r="DZ106" s="229">
        <v>0.1489</v>
      </c>
      <c r="EA106" s="230">
        <v>22524750</v>
      </c>
      <c r="EB106" s="229">
        <v>6.4999999999999997E-3</v>
      </c>
      <c r="EC106" s="229">
        <v>0.1489</v>
      </c>
      <c r="ED106" s="228">
        <v>1.81</v>
      </c>
      <c r="EE106" s="229">
        <v>6.1999999999999998E-3</v>
      </c>
      <c r="EF106" s="230">
        <v>3095553</v>
      </c>
      <c r="EG106" s="230">
        <v>4091136</v>
      </c>
      <c r="EH106" s="229">
        <v>-0.24340000000000001</v>
      </c>
      <c r="EI106" s="229">
        <v>0.50419999999999998</v>
      </c>
      <c r="EJ106" s="231">
        <v>115092.88</v>
      </c>
      <c r="EK106" s="231">
        <v>39022.01</v>
      </c>
      <c r="EL106" s="231">
        <v>27235.24</v>
      </c>
      <c r="EM106" s="231">
        <v>6425</v>
      </c>
      <c r="EN106" s="231">
        <v>181350.13</v>
      </c>
      <c r="EO106" s="231">
        <v>183135.99</v>
      </c>
      <c r="EP106" s="231">
        <v>-1785.86</v>
      </c>
      <c r="EQ106" s="229">
        <v>-9.7999999999999997E-3</v>
      </c>
      <c r="ER106" s="231">
        <v>215988</v>
      </c>
      <c r="ES106" s="231">
        <v>140843</v>
      </c>
      <c r="ET106" s="231">
        <v>468403</v>
      </c>
      <c r="EU106" s="231">
        <v>446457456</v>
      </c>
      <c r="EV106" s="231">
        <v>825234</v>
      </c>
      <c r="EW106" s="231">
        <v>819281</v>
      </c>
      <c r="EX106" s="231">
        <v>5953</v>
      </c>
      <c r="EY106" s="229">
        <v>7.3000000000000001E-3</v>
      </c>
      <c r="EZ106" s="229">
        <v>0.61509999999999998</v>
      </c>
      <c r="FA106" s="227" t="s">
        <v>567</v>
      </c>
      <c r="FB106" s="161">
        <f t="shared" si="1"/>
        <v>23716200</v>
      </c>
    </row>
    <row r="107" spans="1:158" ht="17.25" hidden="1" thickBot="1" x14ac:dyDescent="0.3">
      <c r="A107" s="226">
        <v>46008</v>
      </c>
      <c r="B107" s="227" t="s">
        <v>161</v>
      </c>
      <c r="C107" s="227" t="s">
        <v>580</v>
      </c>
      <c r="D107" s="228">
        <v>1000</v>
      </c>
      <c r="E107" s="228">
        <v>475.8</v>
      </c>
      <c r="F107" s="228">
        <v>479.2</v>
      </c>
      <c r="G107" s="228">
        <v>-3.4</v>
      </c>
      <c r="H107" s="229">
        <v>-7.1000000000000004E-3</v>
      </c>
      <c r="I107" s="228">
        <v>475.25</v>
      </c>
      <c r="J107" s="228">
        <v>478.5</v>
      </c>
      <c r="K107" s="228">
        <v>-3.25</v>
      </c>
      <c r="L107" s="229">
        <v>-6.7999999999999996E-3</v>
      </c>
      <c r="M107" s="228">
        <v>475.8</v>
      </c>
      <c r="N107" s="228">
        <v>479.2</v>
      </c>
      <c r="O107" s="228">
        <v>-3.4</v>
      </c>
      <c r="P107" s="229">
        <v>-7.1000000000000004E-3</v>
      </c>
      <c r="Q107" s="228">
        <v>478.35</v>
      </c>
      <c r="R107" s="228">
        <v>482.25</v>
      </c>
      <c r="S107" s="228">
        <v>-3.9</v>
      </c>
      <c r="T107" s="229">
        <v>-8.0999999999999996E-3</v>
      </c>
      <c r="U107" s="228">
        <v>480</v>
      </c>
      <c r="V107" s="228">
        <v>483</v>
      </c>
      <c r="W107" s="228">
        <v>-3</v>
      </c>
      <c r="X107" s="229">
        <v>-6.1999999999999998E-3</v>
      </c>
      <c r="Y107" s="228">
        <v>0.55000000000000004</v>
      </c>
      <c r="Z107" s="228">
        <v>0.7</v>
      </c>
      <c r="AA107" s="228">
        <v>-0.15</v>
      </c>
      <c r="AB107" s="229">
        <v>1.1999999999999999E-3</v>
      </c>
      <c r="AC107" s="228">
        <v>0.55000000000000004</v>
      </c>
      <c r="AD107" s="228">
        <v>0.7</v>
      </c>
      <c r="AE107" s="228">
        <v>-0.15</v>
      </c>
      <c r="AF107" s="229">
        <v>1.1999999999999999E-3</v>
      </c>
      <c r="AG107" s="228">
        <v>3.1</v>
      </c>
      <c r="AH107" s="228">
        <v>3.75</v>
      </c>
      <c r="AI107" s="228">
        <v>-0.65</v>
      </c>
      <c r="AJ107" s="229">
        <v>6.4999999999999997E-3</v>
      </c>
      <c r="AK107" s="228">
        <v>4.75</v>
      </c>
      <c r="AL107" s="228">
        <v>4.5</v>
      </c>
      <c r="AM107" s="228">
        <v>0.25</v>
      </c>
      <c r="AN107" s="229">
        <v>0.01</v>
      </c>
      <c r="AO107" s="228">
        <v>477.83</v>
      </c>
      <c r="AP107" s="228">
        <v>479.46</v>
      </c>
      <c r="AQ107" s="228">
        <v>0</v>
      </c>
      <c r="AR107" s="230">
        <v>3439000</v>
      </c>
      <c r="AS107" s="230">
        <v>4117000</v>
      </c>
      <c r="AT107" s="230">
        <v>-678000</v>
      </c>
      <c r="AU107" s="229">
        <v>-0.16470000000000001</v>
      </c>
      <c r="AV107" s="230">
        <v>2901000</v>
      </c>
      <c r="AW107" s="230">
        <v>3559000</v>
      </c>
      <c r="AX107" s="230">
        <v>-658000</v>
      </c>
      <c r="AY107" s="229">
        <v>-0.18490000000000001</v>
      </c>
      <c r="AZ107" s="230">
        <v>529000</v>
      </c>
      <c r="BA107" s="230">
        <v>548000</v>
      </c>
      <c r="BB107" s="230">
        <v>-19000</v>
      </c>
      <c r="BC107" s="229">
        <v>-3.4700000000000002E-2</v>
      </c>
      <c r="BD107" s="230">
        <v>9000</v>
      </c>
      <c r="BE107" s="230">
        <v>10000</v>
      </c>
      <c r="BF107" s="230">
        <v>-1000</v>
      </c>
      <c r="BG107" s="229">
        <v>-0.1</v>
      </c>
      <c r="BH107" s="230">
        <v>9747000</v>
      </c>
      <c r="BI107" s="230">
        <v>14080000</v>
      </c>
      <c r="BJ107" s="230">
        <v>-4333000</v>
      </c>
      <c r="BK107" s="229">
        <v>-0.30769999999999997</v>
      </c>
      <c r="BL107" s="230">
        <v>5873000</v>
      </c>
      <c r="BM107" s="230">
        <v>10640000</v>
      </c>
      <c r="BN107" s="230">
        <v>-4767000</v>
      </c>
      <c r="BO107" s="229">
        <v>-0.44800000000000001</v>
      </c>
      <c r="BP107" s="230">
        <v>19059000</v>
      </c>
      <c r="BQ107" s="230">
        <v>28837000</v>
      </c>
      <c r="BR107" s="230">
        <v>-9778000</v>
      </c>
      <c r="BS107" s="229">
        <v>-0.33910000000000001</v>
      </c>
      <c r="BT107" s="230">
        <v>1917031</v>
      </c>
      <c r="BU107" s="230">
        <v>2116527</v>
      </c>
      <c r="BV107" s="230">
        <v>-199496</v>
      </c>
      <c r="BW107" s="229">
        <v>-9.4299999999999995E-2</v>
      </c>
      <c r="BX107" s="230">
        <v>46778000</v>
      </c>
      <c r="BY107" s="230">
        <v>47482000</v>
      </c>
      <c r="BZ107" s="230">
        <v>-704000</v>
      </c>
      <c r="CA107" s="229">
        <v>-1.4800000000000001E-2</v>
      </c>
      <c r="CB107" s="230">
        <v>44596000</v>
      </c>
      <c r="CC107" s="230">
        <v>45512000</v>
      </c>
      <c r="CD107" s="230">
        <v>-916000</v>
      </c>
      <c r="CE107" s="229">
        <v>-2.01E-2</v>
      </c>
      <c r="CF107" s="230">
        <v>2002000</v>
      </c>
      <c r="CG107" s="230">
        <v>1788000</v>
      </c>
      <c r="CH107" s="230">
        <v>214000</v>
      </c>
      <c r="CI107" s="229">
        <v>0.1197</v>
      </c>
      <c r="CJ107" s="230">
        <v>180000</v>
      </c>
      <c r="CK107" s="230">
        <v>182000</v>
      </c>
      <c r="CL107" s="230">
        <v>-2000</v>
      </c>
      <c r="CM107" s="229">
        <v>-1.0999999999999999E-2</v>
      </c>
      <c r="CN107" s="230">
        <v>15713000</v>
      </c>
      <c r="CO107" s="230">
        <v>15737000</v>
      </c>
      <c r="CP107" s="230">
        <v>-24000</v>
      </c>
      <c r="CQ107" s="229">
        <v>-1.5E-3</v>
      </c>
      <c r="CR107" s="230">
        <v>10722000</v>
      </c>
      <c r="CS107" s="230">
        <v>10741000</v>
      </c>
      <c r="CT107" s="230">
        <v>-19000</v>
      </c>
      <c r="CU107" s="229">
        <v>-1.8E-3</v>
      </c>
      <c r="CV107" s="230">
        <v>73213000</v>
      </c>
      <c r="CW107" s="230">
        <v>73960000</v>
      </c>
      <c r="CX107" s="230">
        <v>-747000</v>
      </c>
      <c r="CY107" s="229">
        <v>-1.01E-2</v>
      </c>
      <c r="CZ107" s="228">
        <v>28.17</v>
      </c>
      <c r="DA107" s="228">
        <v>28.42</v>
      </c>
      <c r="DB107" s="228">
        <v>-0.25</v>
      </c>
      <c r="DC107" s="228">
        <v>-0.25</v>
      </c>
      <c r="DD107" s="228">
        <v>43.09</v>
      </c>
      <c r="DE107" s="228">
        <v>43.19</v>
      </c>
      <c r="DF107" s="228">
        <v>-14.92</v>
      </c>
      <c r="DG107" s="228">
        <v>-0.1</v>
      </c>
      <c r="DH107" s="228">
        <v>28.84</v>
      </c>
      <c r="DI107" s="228">
        <v>29.65</v>
      </c>
      <c r="DJ107" s="228">
        <v>-0.81</v>
      </c>
      <c r="DK107" s="228">
        <v>-0.81</v>
      </c>
      <c r="DL107" s="228">
        <v>27.05</v>
      </c>
      <c r="DM107" s="228">
        <v>26.79</v>
      </c>
      <c r="DN107" s="228">
        <v>0.26</v>
      </c>
      <c r="DO107" s="228">
        <v>0.26</v>
      </c>
      <c r="DP107" s="228">
        <v>0.68</v>
      </c>
      <c r="DQ107" s="228">
        <v>0.68</v>
      </c>
      <c r="DR107" s="228">
        <v>0</v>
      </c>
      <c r="DS107" s="229">
        <v>0</v>
      </c>
      <c r="DT107" s="228">
        <v>500</v>
      </c>
      <c r="DU107" s="228">
        <v>460</v>
      </c>
      <c r="DV107" s="228">
        <v>0.6</v>
      </c>
      <c r="DW107" s="228">
        <v>0.76</v>
      </c>
      <c r="DX107" s="228">
        <v>-0.16</v>
      </c>
      <c r="DY107" s="229">
        <v>-0.21049999999999999</v>
      </c>
      <c r="DZ107" s="229">
        <v>4.6600000000000003E-2</v>
      </c>
      <c r="EA107" s="230">
        <v>1970000</v>
      </c>
      <c r="EB107" s="229">
        <v>5.4000000000000003E-3</v>
      </c>
      <c r="EC107" s="229">
        <v>4.6600000000000003E-2</v>
      </c>
      <c r="ED107" s="228">
        <v>1.63</v>
      </c>
      <c r="EE107" s="229">
        <v>3.3999999999999998E-3</v>
      </c>
      <c r="EF107" s="230">
        <v>871885</v>
      </c>
      <c r="EG107" s="230">
        <v>1083034</v>
      </c>
      <c r="EH107" s="229">
        <v>-0.19500000000000001</v>
      </c>
      <c r="EI107" s="229">
        <v>0.45479999999999998</v>
      </c>
      <c r="EJ107" s="231">
        <v>48761.46</v>
      </c>
      <c r="EK107" s="231">
        <v>27832.61</v>
      </c>
      <c r="EL107" s="231">
        <v>16441.78</v>
      </c>
      <c r="EM107" s="231">
        <v>8570</v>
      </c>
      <c r="EN107" s="231">
        <v>93035.85</v>
      </c>
      <c r="EO107" s="231">
        <v>141387.75</v>
      </c>
      <c r="EP107" s="231">
        <v>-48351.9</v>
      </c>
      <c r="EQ107" s="229">
        <v>-0.34200000000000003</v>
      </c>
      <c r="ER107" s="231">
        <v>79512</v>
      </c>
      <c r="ES107" s="231">
        <v>51282</v>
      </c>
      <c r="ET107" s="231">
        <v>222628</v>
      </c>
      <c r="EU107" s="231">
        <v>80203755</v>
      </c>
      <c r="EV107" s="231">
        <v>353421</v>
      </c>
      <c r="EW107" s="231">
        <v>358701</v>
      </c>
      <c r="EX107" s="231">
        <v>-5280</v>
      </c>
      <c r="EY107" s="229">
        <v>-1.47E-2</v>
      </c>
      <c r="EZ107" s="229">
        <v>0.91279999999999994</v>
      </c>
      <c r="FA107" s="227" t="s">
        <v>568</v>
      </c>
      <c r="FB107" s="161">
        <f t="shared" si="1"/>
        <v>2182000</v>
      </c>
    </row>
    <row r="108" spans="1:158" ht="17.25" hidden="1" thickBot="1" x14ac:dyDescent="0.3">
      <c r="A108" s="226">
        <v>46008</v>
      </c>
      <c r="B108" s="227" t="s">
        <v>227</v>
      </c>
      <c r="C108" s="227" t="s">
        <v>244</v>
      </c>
      <c r="D108" s="228">
        <v>675</v>
      </c>
      <c r="E108" s="231">
        <v>1083.2</v>
      </c>
      <c r="F108" s="231">
        <v>1085.7</v>
      </c>
      <c r="G108" s="228">
        <v>-2.5</v>
      </c>
      <c r="H108" s="229">
        <v>-2.3E-3</v>
      </c>
      <c r="I108" s="231">
        <v>1079.3</v>
      </c>
      <c r="J108" s="231">
        <v>1082.5999999999999</v>
      </c>
      <c r="K108" s="228">
        <v>-3.3</v>
      </c>
      <c r="L108" s="229">
        <v>-3.0000000000000001E-3</v>
      </c>
      <c r="M108" s="231">
        <v>1083.2</v>
      </c>
      <c r="N108" s="231">
        <v>1085.7</v>
      </c>
      <c r="O108" s="228">
        <v>-2.5</v>
      </c>
      <c r="P108" s="229">
        <v>-2.3E-3</v>
      </c>
      <c r="Q108" s="231">
        <v>1089.0999999999999</v>
      </c>
      <c r="R108" s="231">
        <v>1092.7</v>
      </c>
      <c r="S108" s="228">
        <v>-3.6</v>
      </c>
      <c r="T108" s="229">
        <v>-3.3E-3</v>
      </c>
      <c r="U108" s="231">
        <v>1095.7</v>
      </c>
      <c r="V108" s="231">
        <v>1098.2</v>
      </c>
      <c r="W108" s="228">
        <v>-2.5</v>
      </c>
      <c r="X108" s="229">
        <v>-2.3E-3</v>
      </c>
      <c r="Y108" s="228">
        <v>3.9</v>
      </c>
      <c r="Z108" s="228">
        <v>3.1</v>
      </c>
      <c r="AA108" s="228">
        <v>0.8</v>
      </c>
      <c r="AB108" s="229">
        <v>3.5999999999999999E-3</v>
      </c>
      <c r="AC108" s="228">
        <v>3.9</v>
      </c>
      <c r="AD108" s="228">
        <v>3.1</v>
      </c>
      <c r="AE108" s="228">
        <v>0.8</v>
      </c>
      <c r="AF108" s="229">
        <v>3.5999999999999999E-3</v>
      </c>
      <c r="AG108" s="228">
        <v>9.8000000000000007</v>
      </c>
      <c r="AH108" s="228">
        <v>10.1</v>
      </c>
      <c r="AI108" s="228">
        <v>-0.3</v>
      </c>
      <c r="AJ108" s="229">
        <v>9.1000000000000004E-3</v>
      </c>
      <c r="AK108" s="228">
        <v>16.399999999999999</v>
      </c>
      <c r="AL108" s="228">
        <v>15.6</v>
      </c>
      <c r="AM108" s="228">
        <v>0.8</v>
      </c>
      <c r="AN108" s="229">
        <v>1.52E-2</v>
      </c>
      <c r="AO108" s="231">
        <v>1084.95</v>
      </c>
      <c r="AP108" s="231">
        <v>1091</v>
      </c>
      <c r="AQ108" s="228">
        <v>0</v>
      </c>
      <c r="AR108" s="230">
        <v>3385125</v>
      </c>
      <c r="AS108" s="230">
        <v>6009525</v>
      </c>
      <c r="AT108" s="230">
        <v>-2624400</v>
      </c>
      <c r="AU108" s="229">
        <v>-0.43669999999999998</v>
      </c>
      <c r="AV108" s="230">
        <v>2814075</v>
      </c>
      <c r="AW108" s="230">
        <v>5065200</v>
      </c>
      <c r="AX108" s="230">
        <v>-2251125</v>
      </c>
      <c r="AY108" s="229">
        <v>-0.44440000000000002</v>
      </c>
      <c r="AZ108" s="230">
        <v>560250</v>
      </c>
      <c r="BA108" s="230">
        <v>918675</v>
      </c>
      <c r="BB108" s="230">
        <v>-358425</v>
      </c>
      <c r="BC108" s="229">
        <v>-0.39019999999999999</v>
      </c>
      <c r="BD108" s="230">
        <v>10800</v>
      </c>
      <c r="BE108" s="230">
        <v>25650</v>
      </c>
      <c r="BF108" s="230">
        <v>-14850</v>
      </c>
      <c r="BG108" s="229">
        <v>-0.57889999999999997</v>
      </c>
      <c r="BH108" s="230">
        <v>13807800</v>
      </c>
      <c r="BI108" s="230">
        <v>20394450</v>
      </c>
      <c r="BJ108" s="230">
        <v>-6586650</v>
      </c>
      <c r="BK108" s="229">
        <v>-0.32300000000000001</v>
      </c>
      <c r="BL108" s="230">
        <v>5138100</v>
      </c>
      <c r="BM108" s="230">
        <v>11105100</v>
      </c>
      <c r="BN108" s="230">
        <v>-5967000</v>
      </c>
      <c r="BO108" s="229">
        <v>-0.5373</v>
      </c>
      <c r="BP108" s="230">
        <v>22331025</v>
      </c>
      <c r="BQ108" s="230">
        <v>37509075</v>
      </c>
      <c r="BR108" s="230">
        <v>-15178050</v>
      </c>
      <c r="BS108" s="229">
        <v>-0.4047</v>
      </c>
      <c r="BT108" s="230">
        <v>1804059</v>
      </c>
      <c r="BU108" s="230">
        <v>2169417</v>
      </c>
      <c r="BV108" s="230">
        <v>-365358</v>
      </c>
      <c r="BW108" s="229">
        <v>-0.16839999999999999</v>
      </c>
      <c r="BX108" s="230">
        <v>49486950</v>
      </c>
      <c r="BY108" s="230">
        <v>49295925</v>
      </c>
      <c r="BZ108" s="230">
        <v>191025</v>
      </c>
      <c r="CA108" s="229">
        <v>3.8999999999999998E-3</v>
      </c>
      <c r="CB108" s="230">
        <v>46975950</v>
      </c>
      <c r="CC108" s="230">
        <v>47090700</v>
      </c>
      <c r="CD108" s="230">
        <v>-114750</v>
      </c>
      <c r="CE108" s="229">
        <v>-2.3999999999999998E-3</v>
      </c>
      <c r="CF108" s="230">
        <v>2333475</v>
      </c>
      <c r="CG108" s="230">
        <v>2033775</v>
      </c>
      <c r="CH108" s="230">
        <v>299700</v>
      </c>
      <c r="CI108" s="229">
        <v>0.1474</v>
      </c>
      <c r="CJ108" s="230">
        <v>177525</v>
      </c>
      <c r="CK108" s="230">
        <v>171450</v>
      </c>
      <c r="CL108" s="230">
        <v>6075</v>
      </c>
      <c r="CM108" s="229">
        <v>3.5400000000000001E-2</v>
      </c>
      <c r="CN108" s="230">
        <v>20433600</v>
      </c>
      <c r="CO108" s="230">
        <v>19939500</v>
      </c>
      <c r="CP108" s="230">
        <v>494100</v>
      </c>
      <c r="CQ108" s="229">
        <v>2.4799999999999999E-2</v>
      </c>
      <c r="CR108" s="230">
        <v>10351800</v>
      </c>
      <c r="CS108" s="230">
        <v>10560375</v>
      </c>
      <c r="CT108" s="230">
        <v>-208575</v>
      </c>
      <c r="CU108" s="229">
        <v>-1.9800000000000002E-2</v>
      </c>
      <c r="CV108" s="230">
        <v>80272350</v>
      </c>
      <c r="CW108" s="230">
        <v>79795800</v>
      </c>
      <c r="CX108" s="230">
        <v>476550</v>
      </c>
      <c r="CY108" s="229">
        <v>6.0000000000000001E-3</v>
      </c>
      <c r="CZ108" s="228">
        <v>23.24</v>
      </c>
      <c r="DA108" s="228">
        <v>24.01</v>
      </c>
      <c r="DB108" s="228">
        <v>-0.77</v>
      </c>
      <c r="DC108" s="228">
        <v>-0.77</v>
      </c>
      <c r="DD108" s="228">
        <v>29.36</v>
      </c>
      <c r="DE108" s="228">
        <v>29.43</v>
      </c>
      <c r="DF108" s="228">
        <v>-6.12</v>
      </c>
      <c r="DG108" s="228">
        <v>-7.0000000000000007E-2</v>
      </c>
      <c r="DH108" s="228">
        <v>23.88</v>
      </c>
      <c r="DI108" s="228">
        <v>24.84</v>
      </c>
      <c r="DJ108" s="228">
        <v>-0.96</v>
      </c>
      <c r="DK108" s="228">
        <v>-0.96</v>
      </c>
      <c r="DL108" s="228">
        <v>21.54</v>
      </c>
      <c r="DM108" s="228">
        <v>22.5</v>
      </c>
      <c r="DN108" s="228">
        <v>-0.96</v>
      </c>
      <c r="DO108" s="228">
        <v>-0.96</v>
      </c>
      <c r="DP108" s="228">
        <v>0.51</v>
      </c>
      <c r="DQ108" s="228">
        <v>0.53</v>
      </c>
      <c r="DR108" s="228">
        <v>-0.02</v>
      </c>
      <c r="DS108" s="229">
        <v>-3.7699999999999997E-2</v>
      </c>
      <c r="DT108" s="231">
        <v>1200</v>
      </c>
      <c r="DU108" s="231">
        <v>1100</v>
      </c>
      <c r="DV108" s="228">
        <v>0.37</v>
      </c>
      <c r="DW108" s="228">
        <v>0.54</v>
      </c>
      <c r="DX108" s="228">
        <v>-0.17</v>
      </c>
      <c r="DY108" s="229">
        <v>-0.31480000000000002</v>
      </c>
      <c r="DZ108" s="229">
        <v>5.0700000000000002E-2</v>
      </c>
      <c r="EA108" s="230">
        <v>2205225</v>
      </c>
      <c r="EB108" s="229">
        <v>5.4000000000000003E-3</v>
      </c>
      <c r="EC108" s="229">
        <v>5.0700000000000002E-2</v>
      </c>
      <c r="ED108" s="228">
        <v>6.05</v>
      </c>
      <c r="EE108" s="229">
        <v>5.5999999999999999E-3</v>
      </c>
      <c r="EF108" s="230">
        <v>1052171</v>
      </c>
      <c r="EG108" s="230">
        <v>1385367</v>
      </c>
      <c r="EH108" s="229">
        <v>-0.24049999999999999</v>
      </c>
      <c r="EI108" s="229">
        <v>0.58320000000000005</v>
      </c>
      <c r="EJ108" s="231">
        <v>158133.94</v>
      </c>
      <c r="EK108" s="231">
        <v>55562</v>
      </c>
      <c r="EL108" s="231">
        <v>36762.11</v>
      </c>
      <c r="EM108" s="231">
        <v>5824</v>
      </c>
      <c r="EN108" s="231">
        <v>250458.05</v>
      </c>
      <c r="EO108" s="231">
        <v>423402.43</v>
      </c>
      <c r="EP108" s="231">
        <v>-172944.38</v>
      </c>
      <c r="EQ108" s="229">
        <v>-0.40849999999999997</v>
      </c>
      <c r="ER108" s="231">
        <v>240599</v>
      </c>
      <c r="ES108" s="231">
        <v>112522</v>
      </c>
      <c r="ET108" s="231">
        <v>536203</v>
      </c>
      <c r="EU108" s="231">
        <v>133166619</v>
      </c>
      <c r="EV108" s="231">
        <v>889324</v>
      </c>
      <c r="EW108" s="231">
        <v>885745</v>
      </c>
      <c r="EX108" s="231">
        <v>3579</v>
      </c>
      <c r="EY108" s="229">
        <v>4.0000000000000001E-3</v>
      </c>
      <c r="EZ108" s="229">
        <v>0.6028</v>
      </c>
      <c r="FA108" s="227" t="s">
        <v>567</v>
      </c>
      <c r="FB108" s="161">
        <f t="shared" si="1"/>
        <v>2511000</v>
      </c>
    </row>
    <row r="109" spans="1:158" ht="17.25" hidden="1" thickBot="1" x14ac:dyDescent="0.3">
      <c r="A109" s="226">
        <v>46008</v>
      </c>
      <c r="B109" s="227" t="s">
        <v>168</v>
      </c>
      <c r="C109" s="227" t="s">
        <v>245</v>
      </c>
      <c r="D109" s="228">
        <v>1250</v>
      </c>
      <c r="E109" s="228">
        <v>554.70000000000005</v>
      </c>
      <c r="F109" s="228">
        <v>561.04999999999995</v>
      </c>
      <c r="G109" s="228">
        <v>-6.35</v>
      </c>
      <c r="H109" s="229">
        <v>-1.1299999999999999E-2</v>
      </c>
      <c r="I109" s="228">
        <v>554.04999999999995</v>
      </c>
      <c r="J109" s="228">
        <v>560.20000000000005</v>
      </c>
      <c r="K109" s="228">
        <v>-6.15</v>
      </c>
      <c r="L109" s="229">
        <v>-1.0999999999999999E-2</v>
      </c>
      <c r="M109" s="228">
        <v>554.70000000000005</v>
      </c>
      <c r="N109" s="228">
        <v>561.04999999999995</v>
      </c>
      <c r="O109" s="228">
        <v>-6.35</v>
      </c>
      <c r="P109" s="229">
        <v>-1.1299999999999999E-2</v>
      </c>
      <c r="Q109" s="228">
        <v>557.79999999999995</v>
      </c>
      <c r="R109" s="228">
        <v>564.5</v>
      </c>
      <c r="S109" s="228">
        <v>-6.7</v>
      </c>
      <c r="T109" s="229">
        <v>-1.1900000000000001E-2</v>
      </c>
      <c r="U109" s="228">
        <v>561.15</v>
      </c>
      <c r="V109" s="228">
        <v>567.5</v>
      </c>
      <c r="W109" s="228">
        <v>-6.35</v>
      </c>
      <c r="X109" s="229">
        <v>-1.12E-2</v>
      </c>
      <c r="Y109" s="228">
        <v>0.65</v>
      </c>
      <c r="Z109" s="228">
        <v>0.85</v>
      </c>
      <c r="AA109" s="228">
        <v>-0.2</v>
      </c>
      <c r="AB109" s="229">
        <v>1.1999999999999999E-3</v>
      </c>
      <c r="AC109" s="228">
        <v>0.65</v>
      </c>
      <c r="AD109" s="228">
        <v>0.85</v>
      </c>
      <c r="AE109" s="228">
        <v>-0.2</v>
      </c>
      <c r="AF109" s="229">
        <v>1.1999999999999999E-3</v>
      </c>
      <c r="AG109" s="228">
        <v>3.75</v>
      </c>
      <c r="AH109" s="228">
        <v>4.3</v>
      </c>
      <c r="AI109" s="228">
        <v>-0.55000000000000004</v>
      </c>
      <c r="AJ109" s="229">
        <v>6.7999999999999996E-3</v>
      </c>
      <c r="AK109" s="228">
        <v>7.1</v>
      </c>
      <c r="AL109" s="228">
        <v>7.3</v>
      </c>
      <c r="AM109" s="228">
        <v>-0.2</v>
      </c>
      <c r="AN109" s="229">
        <v>1.2800000000000001E-2</v>
      </c>
      <c r="AO109" s="228">
        <v>555.97</v>
      </c>
      <c r="AP109" s="228">
        <v>558.57000000000005</v>
      </c>
      <c r="AQ109" s="228">
        <v>0</v>
      </c>
      <c r="AR109" s="230">
        <v>4928750</v>
      </c>
      <c r="AS109" s="230">
        <v>8292500</v>
      </c>
      <c r="AT109" s="230">
        <v>-3363750</v>
      </c>
      <c r="AU109" s="229">
        <v>-0.40560000000000002</v>
      </c>
      <c r="AV109" s="230">
        <v>3836250</v>
      </c>
      <c r="AW109" s="230">
        <v>6476250</v>
      </c>
      <c r="AX109" s="230">
        <v>-2640000</v>
      </c>
      <c r="AY109" s="229">
        <v>-0.40760000000000002</v>
      </c>
      <c r="AZ109" s="230">
        <v>983750</v>
      </c>
      <c r="BA109" s="230">
        <v>1596250</v>
      </c>
      <c r="BB109" s="230">
        <v>-612500</v>
      </c>
      <c r="BC109" s="229">
        <v>-0.38369999999999999</v>
      </c>
      <c r="BD109" s="230">
        <v>108750</v>
      </c>
      <c r="BE109" s="230">
        <v>220000</v>
      </c>
      <c r="BF109" s="230">
        <v>-111250</v>
      </c>
      <c r="BG109" s="229">
        <v>-0.50570000000000004</v>
      </c>
      <c r="BH109" s="230">
        <v>13562500</v>
      </c>
      <c r="BI109" s="230">
        <v>18373750</v>
      </c>
      <c r="BJ109" s="230">
        <v>-4811250</v>
      </c>
      <c r="BK109" s="229">
        <v>-0.26190000000000002</v>
      </c>
      <c r="BL109" s="230">
        <v>8573750</v>
      </c>
      <c r="BM109" s="230">
        <v>12061250</v>
      </c>
      <c r="BN109" s="230">
        <v>-3487500</v>
      </c>
      <c r="BO109" s="229">
        <v>-0.28910000000000002</v>
      </c>
      <c r="BP109" s="230">
        <v>27065000</v>
      </c>
      <c r="BQ109" s="230">
        <v>38727500</v>
      </c>
      <c r="BR109" s="230">
        <v>-11662500</v>
      </c>
      <c r="BS109" s="229">
        <v>-0.30109999999999998</v>
      </c>
      <c r="BT109" s="230">
        <v>1592150</v>
      </c>
      <c r="BU109" s="230">
        <v>5676226</v>
      </c>
      <c r="BV109" s="230">
        <v>-4084076</v>
      </c>
      <c r="BW109" s="229">
        <v>-0.71950000000000003</v>
      </c>
      <c r="BX109" s="230">
        <v>22225000</v>
      </c>
      <c r="BY109" s="230">
        <v>21811250</v>
      </c>
      <c r="BZ109" s="230">
        <v>413750</v>
      </c>
      <c r="CA109" s="229">
        <v>1.9E-2</v>
      </c>
      <c r="CB109" s="230">
        <v>19737500</v>
      </c>
      <c r="CC109" s="230">
        <v>19856250</v>
      </c>
      <c r="CD109" s="230">
        <v>-118750</v>
      </c>
      <c r="CE109" s="229">
        <v>-6.0000000000000001E-3</v>
      </c>
      <c r="CF109" s="230">
        <v>2253750</v>
      </c>
      <c r="CG109" s="230">
        <v>1758750</v>
      </c>
      <c r="CH109" s="230">
        <v>495000</v>
      </c>
      <c r="CI109" s="229">
        <v>0.28139999999999998</v>
      </c>
      <c r="CJ109" s="230">
        <v>233750</v>
      </c>
      <c r="CK109" s="230">
        <v>196250</v>
      </c>
      <c r="CL109" s="230">
        <v>37500</v>
      </c>
      <c r="CM109" s="229">
        <v>0.19109999999999999</v>
      </c>
      <c r="CN109" s="230">
        <v>14525000</v>
      </c>
      <c r="CO109" s="230">
        <v>12895000</v>
      </c>
      <c r="CP109" s="230">
        <v>1630000</v>
      </c>
      <c r="CQ109" s="229">
        <v>0.12640000000000001</v>
      </c>
      <c r="CR109" s="230">
        <v>8148750</v>
      </c>
      <c r="CS109" s="230">
        <v>7815000</v>
      </c>
      <c r="CT109" s="230">
        <v>333750</v>
      </c>
      <c r="CU109" s="229">
        <v>4.2700000000000002E-2</v>
      </c>
      <c r="CV109" s="230">
        <v>44898750</v>
      </c>
      <c r="CW109" s="230">
        <v>42521250</v>
      </c>
      <c r="CX109" s="230">
        <v>2377500</v>
      </c>
      <c r="CY109" s="229">
        <v>5.5899999999999998E-2</v>
      </c>
      <c r="CZ109" s="228">
        <v>26.83</v>
      </c>
      <c r="DA109" s="228">
        <v>26.99</v>
      </c>
      <c r="DB109" s="228">
        <v>-0.16</v>
      </c>
      <c r="DC109" s="228">
        <v>-0.16</v>
      </c>
      <c r="DD109" s="228">
        <v>33.82</v>
      </c>
      <c r="DE109" s="228">
        <v>33.880000000000003</v>
      </c>
      <c r="DF109" s="228">
        <v>-6.99</v>
      </c>
      <c r="DG109" s="228">
        <v>-0.06</v>
      </c>
      <c r="DH109" s="228">
        <v>27.24</v>
      </c>
      <c r="DI109" s="228">
        <v>27.44</v>
      </c>
      <c r="DJ109" s="228">
        <v>-0.2</v>
      </c>
      <c r="DK109" s="228">
        <v>-0.2</v>
      </c>
      <c r="DL109" s="228">
        <v>26.18</v>
      </c>
      <c r="DM109" s="228">
        <v>26.31</v>
      </c>
      <c r="DN109" s="228">
        <v>-0.13</v>
      </c>
      <c r="DO109" s="228">
        <v>-0.13</v>
      </c>
      <c r="DP109" s="228">
        <v>0.56000000000000005</v>
      </c>
      <c r="DQ109" s="228">
        <v>0.61</v>
      </c>
      <c r="DR109" s="228">
        <v>-0.05</v>
      </c>
      <c r="DS109" s="229">
        <v>-8.2000000000000003E-2</v>
      </c>
      <c r="DT109" s="228">
        <v>600</v>
      </c>
      <c r="DU109" s="228">
        <v>550</v>
      </c>
      <c r="DV109" s="228">
        <v>0.63</v>
      </c>
      <c r="DW109" s="228">
        <v>0.66</v>
      </c>
      <c r="DX109" s="228">
        <v>-0.03</v>
      </c>
      <c r="DY109" s="229">
        <v>-4.5499999999999999E-2</v>
      </c>
      <c r="DZ109" s="229">
        <v>0.1119</v>
      </c>
      <c r="EA109" s="230">
        <v>1955000</v>
      </c>
      <c r="EB109" s="229">
        <v>5.5999999999999999E-3</v>
      </c>
      <c r="EC109" s="229">
        <v>0.1119</v>
      </c>
      <c r="ED109" s="228">
        <v>2.6</v>
      </c>
      <c r="EE109" s="229">
        <v>4.7000000000000002E-3</v>
      </c>
      <c r="EF109" s="230">
        <v>688380</v>
      </c>
      <c r="EG109" s="230">
        <v>3901707</v>
      </c>
      <c r="EH109" s="229">
        <v>-0.8236</v>
      </c>
      <c r="EI109" s="229">
        <v>0.43240000000000001</v>
      </c>
      <c r="EJ109" s="231">
        <v>79659.48</v>
      </c>
      <c r="EK109" s="231">
        <v>47823.5</v>
      </c>
      <c r="EL109" s="231">
        <v>27435.75</v>
      </c>
      <c r="EM109" s="231">
        <v>4516</v>
      </c>
      <c r="EN109" s="231">
        <v>154918.73000000001</v>
      </c>
      <c r="EO109" s="231">
        <v>225743.14</v>
      </c>
      <c r="EP109" s="231">
        <v>-70824.41</v>
      </c>
      <c r="EQ109" s="229">
        <v>-0.31369999999999998</v>
      </c>
      <c r="ER109" s="231">
        <v>87967</v>
      </c>
      <c r="ES109" s="231">
        <v>45701</v>
      </c>
      <c r="ET109" s="231">
        <v>123367</v>
      </c>
      <c r="EU109" s="231">
        <v>48884739</v>
      </c>
      <c r="EV109" s="231">
        <v>257035</v>
      </c>
      <c r="EW109" s="231">
        <v>245346</v>
      </c>
      <c r="EX109" s="231">
        <v>11689</v>
      </c>
      <c r="EY109" s="229">
        <v>4.7600000000000003E-2</v>
      </c>
      <c r="EZ109" s="229">
        <v>0.91849999999999998</v>
      </c>
      <c r="FA109" s="227" t="s">
        <v>567</v>
      </c>
      <c r="FB109" s="161">
        <f t="shared" si="1"/>
        <v>2487500</v>
      </c>
    </row>
    <row r="110" spans="1:158" ht="17.25" hidden="1" thickBot="1" x14ac:dyDescent="0.3">
      <c r="A110" s="226">
        <v>46008</v>
      </c>
      <c r="B110" s="227" t="s">
        <v>168</v>
      </c>
      <c r="C110" s="227" t="s">
        <v>582</v>
      </c>
      <c r="D110" s="228">
        <v>1175</v>
      </c>
      <c r="E110" s="228">
        <v>475.3</v>
      </c>
      <c r="F110" s="228">
        <v>479.65</v>
      </c>
      <c r="G110" s="228">
        <v>-4.3499999999999996</v>
      </c>
      <c r="H110" s="229">
        <v>-9.1000000000000004E-3</v>
      </c>
      <c r="I110" s="228">
        <v>474.85</v>
      </c>
      <c r="J110" s="228">
        <v>479.1</v>
      </c>
      <c r="K110" s="228">
        <v>-4.25</v>
      </c>
      <c r="L110" s="229">
        <v>-8.8999999999999999E-3</v>
      </c>
      <c r="M110" s="228">
        <v>475.3</v>
      </c>
      <c r="N110" s="228">
        <v>479.65</v>
      </c>
      <c r="O110" s="228">
        <v>-4.3499999999999996</v>
      </c>
      <c r="P110" s="229">
        <v>-9.1000000000000004E-3</v>
      </c>
      <c r="Q110" s="228">
        <v>478.65</v>
      </c>
      <c r="R110" s="228">
        <v>482.6</v>
      </c>
      <c r="S110" s="228">
        <v>-3.95</v>
      </c>
      <c r="T110" s="229">
        <v>-8.2000000000000007E-3</v>
      </c>
      <c r="U110" s="228">
        <v>481.05</v>
      </c>
      <c r="V110" s="228">
        <v>486.1</v>
      </c>
      <c r="W110" s="228">
        <v>-5.05</v>
      </c>
      <c r="X110" s="229">
        <v>-1.04E-2</v>
      </c>
      <c r="Y110" s="228">
        <v>0.45</v>
      </c>
      <c r="Z110" s="228">
        <v>0.55000000000000004</v>
      </c>
      <c r="AA110" s="228">
        <v>-0.1</v>
      </c>
      <c r="AB110" s="229">
        <v>8.9999999999999998E-4</v>
      </c>
      <c r="AC110" s="228">
        <v>0.45</v>
      </c>
      <c r="AD110" s="228">
        <v>0.55000000000000004</v>
      </c>
      <c r="AE110" s="228">
        <v>-0.1</v>
      </c>
      <c r="AF110" s="229">
        <v>8.9999999999999998E-4</v>
      </c>
      <c r="AG110" s="228">
        <v>3.8</v>
      </c>
      <c r="AH110" s="228">
        <v>3.5</v>
      </c>
      <c r="AI110" s="228">
        <v>0.3</v>
      </c>
      <c r="AJ110" s="229">
        <v>8.0000000000000002E-3</v>
      </c>
      <c r="AK110" s="228">
        <v>6.2</v>
      </c>
      <c r="AL110" s="228">
        <v>7</v>
      </c>
      <c r="AM110" s="228">
        <v>-0.8</v>
      </c>
      <c r="AN110" s="229">
        <v>1.3100000000000001E-2</v>
      </c>
      <c r="AO110" s="228">
        <v>476.91</v>
      </c>
      <c r="AP110" s="228">
        <v>479.01</v>
      </c>
      <c r="AQ110" s="228">
        <v>0</v>
      </c>
      <c r="AR110" s="230">
        <v>3983250</v>
      </c>
      <c r="AS110" s="230">
        <v>2735400</v>
      </c>
      <c r="AT110" s="230">
        <v>1247850</v>
      </c>
      <c r="AU110" s="229">
        <v>0.45619999999999999</v>
      </c>
      <c r="AV110" s="230">
        <v>3415725</v>
      </c>
      <c r="AW110" s="230">
        <v>2221925</v>
      </c>
      <c r="AX110" s="230">
        <v>1193800</v>
      </c>
      <c r="AY110" s="229">
        <v>0.5373</v>
      </c>
      <c r="AZ110" s="230">
        <v>511125</v>
      </c>
      <c r="BA110" s="230">
        <v>468825</v>
      </c>
      <c r="BB110" s="230">
        <v>42300</v>
      </c>
      <c r="BC110" s="229">
        <v>9.0200000000000002E-2</v>
      </c>
      <c r="BD110" s="230">
        <v>56400</v>
      </c>
      <c r="BE110" s="230">
        <v>44650</v>
      </c>
      <c r="BF110" s="230">
        <v>11750</v>
      </c>
      <c r="BG110" s="229">
        <v>0.26319999999999999</v>
      </c>
      <c r="BH110" s="230">
        <v>9995725</v>
      </c>
      <c r="BI110" s="230">
        <v>5884400</v>
      </c>
      <c r="BJ110" s="230">
        <v>4111325</v>
      </c>
      <c r="BK110" s="229">
        <v>0.69869999999999999</v>
      </c>
      <c r="BL110" s="230">
        <v>5469625</v>
      </c>
      <c r="BM110" s="230">
        <v>1803625</v>
      </c>
      <c r="BN110" s="230">
        <v>3666000</v>
      </c>
      <c r="BO110" s="229">
        <v>2.0326</v>
      </c>
      <c r="BP110" s="230">
        <v>19448600</v>
      </c>
      <c r="BQ110" s="230">
        <v>10423425</v>
      </c>
      <c r="BR110" s="230">
        <v>9025175</v>
      </c>
      <c r="BS110" s="229">
        <v>0.8659</v>
      </c>
      <c r="BT110" s="230">
        <v>2786083</v>
      </c>
      <c r="BU110" s="230">
        <v>1226530</v>
      </c>
      <c r="BV110" s="230">
        <v>1559553</v>
      </c>
      <c r="BW110" s="229">
        <v>1.2715000000000001</v>
      </c>
      <c r="BX110" s="230">
        <v>33984525</v>
      </c>
      <c r="BY110" s="230">
        <v>33245450</v>
      </c>
      <c r="BZ110" s="230">
        <v>739075</v>
      </c>
      <c r="CA110" s="229">
        <v>2.2200000000000001E-2</v>
      </c>
      <c r="CB110" s="230">
        <v>32572175</v>
      </c>
      <c r="CC110" s="230">
        <v>32075150</v>
      </c>
      <c r="CD110" s="230">
        <v>497025</v>
      </c>
      <c r="CE110" s="229">
        <v>1.55E-2</v>
      </c>
      <c r="CF110" s="230">
        <v>1250200</v>
      </c>
      <c r="CG110" s="230">
        <v>1012850</v>
      </c>
      <c r="CH110" s="230">
        <v>237350</v>
      </c>
      <c r="CI110" s="229">
        <v>0.23430000000000001</v>
      </c>
      <c r="CJ110" s="230">
        <v>162150</v>
      </c>
      <c r="CK110" s="230">
        <v>157450</v>
      </c>
      <c r="CL110" s="230">
        <v>4700</v>
      </c>
      <c r="CM110" s="229">
        <v>2.9899999999999999E-2</v>
      </c>
      <c r="CN110" s="230">
        <v>11475050</v>
      </c>
      <c r="CO110" s="230">
        <v>10953350</v>
      </c>
      <c r="CP110" s="230">
        <v>521700</v>
      </c>
      <c r="CQ110" s="229">
        <v>4.7600000000000003E-2</v>
      </c>
      <c r="CR110" s="230">
        <v>6319150</v>
      </c>
      <c r="CS110" s="230">
        <v>6426075</v>
      </c>
      <c r="CT110" s="230">
        <v>-106925</v>
      </c>
      <c r="CU110" s="229">
        <v>-1.66E-2</v>
      </c>
      <c r="CV110" s="230">
        <v>51778725</v>
      </c>
      <c r="CW110" s="230">
        <v>50624875</v>
      </c>
      <c r="CX110" s="230">
        <v>1153850</v>
      </c>
      <c r="CY110" s="229">
        <v>2.2800000000000001E-2</v>
      </c>
      <c r="CZ110" s="228">
        <v>30.15</v>
      </c>
      <c r="DA110" s="228">
        <v>28.97</v>
      </c>
      <c r="DB110" s="228">
        <v>1.18</v>
      </c>
      <c r="DC110" s="228">
        <v>1.18</v>
      </c>
      <c r="DD110" s="228">
        <v>48.12</v>
      </c>
      <c r="DE110" s="228">
        <v>48.23</v>
      </c>
      <c r="DF110" s="228">
        <v>-17.97</v>
      </c>
      <c r="DG110" s="228">
        <v>-0.11</v>
      </c>
      <c r="DH110" s="228">
        <v>30.81</v>
      </c>
      <c r="DI110" s="228">
        <v>29.23</v>
      </c>
      <c r="DJ110" s="228">
        <v>1.58</v>
      </c>
      <c r="DK110" s="228">
        <v>1.58</v>
      </c>
      <c r="DL110" s="228">
        <v>28.94</v>
      </c>
      <c r="DM110" s="228">
        <v>28.13</v>
      </c>
      <c r="DN110" s="228">
        <v>0.81</v>
      </c>
      <c r="DO110" s="228">
        <v>0.81</v>
      </c>
      <c r="DP110" s="228">
        <v>0.55000000000000004</v>
      </c>
      <c r="DQ110" s="228">
        <v>0.59</v>
      </c>
      <c r="DR110" s="228">
        <v>-0.04</v>
      </c>
      <c r="DS110" s="229">
        <v>-6.7799999999999999E-2</v>
      </c>
      <c r="DT110" s="228">
        <v>500</v>
      </c>
      <c r="DU110" s="228">
        <v>440</v>
      </c>
      <c r="DV110" s="228">
        <v>0.55000000000000004</v>
      </c>
      <c r="DW110" s="228">
        <v>0.31</v>
      </c>
      <c r="DX110" s="228">
        <v>0.24</v>
      </c>
      <c r="DY110" s="229">
        <v>0.7742</v>
      </c>
      <c r="DZ110" s="229">
        <v>4.1599999999999998E-2</v>
      </c>
      <c r="EA110" s="230">
        <v>1170300</v>
      </c>
      <c r="EB110" s="229">
        <v>7.0000000000000001E-3</v>
      </c>
      <c r="EC110" s="229">
        <v>4.1599999999999998E-2</v>
      </c>
      <c r="ED110" s="228">
        <v>2.1</v>
      </c>
      <c r="EE110" s="229">
        <v>4.4000000000000003E-3</v>
      </c>
      <c r="EF110" s="230">
        <v>1216852</v>
      </c>
      <c r="EG110" s="230">
        <v>291142</v>
      </c>
      <c r="EH110" s="229">
        <v>3.1796000000000002</v>
      </c>
      <c r="EI110" s="229">
        <v>0.43680000000000002</v>
      </c>
      <c r="EJ110" s="231">
        <v>49971.37</v>
      </c>
      <c r="EK110" s="231">
        <v>25561.85</v>
      </c>
      <c r="EL110" s="231">
        <v>19009.349999999999</v>
      </c>
      <c r="EM110" s="231">
        <v>2427</v>
      </c>
      <c r="EN110" s="231">
        <v>94542.57</v>
      </c>
      <c r="EO110" s="231">
        <v>51129.95</v>
      </c>
      <c r="EP110" s="231">
        <v>43412.62</v>
      </c>
      <c r="EQ110" s="229">
        <v>0.84909999999999997</v>
      </c>
      <c r="ER110" s="231">
        <v>58631</v>
      </c>
      <c r="ES110" s="231">
        <v>29485</v>
      </c>
      <c r="ET110" s="231">
        <v>161580</v>
      </c>
      <c r="EU110" s="231">
        <v>57552009</v>
      </c>
      <c r="EV110" s="231">
        <v>249696</v>
      </c>
      <c r="EW110" s="231">
        <v>245591</v>
      </c>
      <c r="EX110" s="231">
        <v>4105</v>
      </c>
      <c r="EY110" s="229">
        <v>1.67E-2</v>
      </c>
      <c r="EZ110" s="229">
        <v>0.89970000000000006</v>
      </c>
      <c r="FA110" s="227" t="s">
        <v>567</v>
      </c>
      <c r="FB110" s="161">
        <f t="shared" si="1"/>
        <v>1412350</v>
      </c>
    </row>
    <row r="111" spans="1:158" ht="17.25" hidden="1" thickBot="1" x14ac:dyDescent="0.3">
      <c r="A111" s="226">
        <v>46008</v>
      </c>
      <c r="B111" s="227" t="s">
        <v>184</v>
      </c>
      <c r="C111" s="227" t="s">
        <v>677</v>
      </c>
      <c r="D111" s="228">
        <v>100</v>
      </c>
      <c r="E111" s="231">
        <v>4098.5</v>
      </c>
      <c r="F111" s="231">
        <v>4194.5</v>
      </c>
      <c r="G111" s="228">
        <v>-96</v>
      </c>
      <c r="H111" s="229">
        <v>-2.29E-2</v>
      </c>
      <c r="I111" s="231">
        <v>4093.5</v>
      </c>
      <c r="J111" s="231">
        <v>4186.5</v>
      </c>
      <c r="K111" s="228">
        <v>-93</v>
      </c>
      <c r="L111" s="229">
        <v>-2.2200000000000001E-2</v>
      </c>
      <c r="M111" s="231">
        <v>4098.5</v>
      </c>
      <c r="N111" s="231">
        <v>4194.5</v>
      </c>
      <c r="O111" s="228">
        <v>-96</v>
      </c>
      <c r="P111" s="229">
        <v>-2.29E-2</v>
      </c>
      <c r="Q111" s="231">
        <v>4114.5</v>
      </c>
      <c r="R111" s="231">
        <v>4217</v>
      </c>
      <c r="S111" s="228">
        <v>-102.5</v>
      </c>
      <c r="T111" s="229">
        <v>-2.4299999999999999E-2</v>
      </c>
      <c r="U111" s="231">
        <v>4145</v>
      </c>
      <c r="V111" s="231">
        <v>4242.5</v>
      </c>
      <c r="W111" s="228">
        <v>-97.5</v>
      </c>
      <c r="X111" s="229">
        <v>-2.3E-2</v>
      </c>
      <c r="Y111" s="228">
        <v>5</v>
      </c>
      <c r="Z111" s="228">
        <v>8</v>
      </c>
      <c r="AA111" s="228">
        <v>-3</v>
      </c>
      <c r="AB111" s="229">
        <v>1.1999999999999999E-3</v>
      </c>
      <c r="AC111" s="228">
        <v>5</v>
      </c>
      <c r="AD111" s="228">
        <v>8</v>
      </c>
      <c r="AE111" s="228">
        <v>-3</v>
      </c>
      <c r="AF111" s="229">
        <v>1.1999999999999999E-3</v>
      </c>
      <c r="AG111" s="228">
        <v>21</v>
      </c>
      <c r="AH111" s="228">
        <v>30.5</v>
      </c>
      <c r="AI111" s="228">
        <v>-9.5</v>
      </c>
      <c r="AJ111" s="229">
        <v>5.1000000000000004E-3</v>
      </c>
      <c r="AK111" s="228">
        <v>51.5</v>
      </c>
      <c r="AL111" s="228">
        <v>56</v>
      </c>
      <c r="AM111" s="228">
        <v>-4.5</v>
      </c>
      <c r="AN111" s="229">
        <v>1.26E-2</v>
      </c>
      <c r="AO111" s="231">
        <v>4173.8</v>
      </c>
      <c r="AP111" s="231">
        <v>4189.68</v>
      </c>
      <c r="AQ111" s="228">
        <v>0</v>
      </c>
      <c r="AR111" s="230">
        <v>1303100</v>
      </c>
      <c r="AS111" s="230">
        <v>921600</v>
      </c>
      <c r="AT111" s="230">
        <v>381500</v>
      </c>
      <c r="AU111" s="229">
        <v>0.41399999999999998</v>
      </c>
      <c r="AV111" s="230">
        <v>1114800</v>
      </c>
      <c r="AW111" s="230">
        <v>792800</v>
      </c>
      <c r="AX111" s="230">
        <v>322000</v>
      </c>
      <c r="AY111" s="229">
        <v>0.40620000000000001</v>
      </c>
      <c r="AZ111" s="230">
        <v>176300</v>
      </c>
      <c r="BA111" s="230">
        <v>121300</v>
      </c>
      <c r="BB111" s="230">
        <v>55000</v>
      </c>
      <c r="BC111" s="229">
        <v>0.45340000000000003</v>
      </c>
      <c r="BD111" s="230">
        <v>12000</v>
      </c>
      <c r="BE111" s="230">
        <v>7500</v>
      </c>
      <c r="BF111" s="230">
        <v>4500</v>
      </c>
      <c r="BG111" s="229">
        <v>0.6</v>
      </c>
      <c r="BH111" s="230">
        <v>10252000</v>
      </c>
      <c r="BI111" s="230">
        <v>7468000</v>
      </c>
      <c r="BJ111" s="230">
        <v>2784000</v>
      </c>
      <c r="BK111" s="229">
        <v>0.37280000000000002</v>
      </c>
      <c r="BL111" s="230">
        <v>5089300</v>
      </c>
      <c r="BM111" s="230">
        <v>3601300</v>
      </c>
      <c r="BN111" s="230">
        <v>1488000</v>
      </c>
      <c r="BO111" s="229">
        <v>0.41320000000000001</v>
      </c>
      <c r="BP111" s="230">
        <v>16644400</v>
      </c>
      <c r="BQ111" s="230">
        <v>11990900</v>
      </c>
      <c r="BR111" s="230">
        <v>4653500</v>
      </c>
      <c r="BS111" s="229">
        <v>0.3881</v>
      </c>
      <c r="BT111" s="230">
        <v>2863234</v>
      </c>
      <c r="BU111" s="230">
        <v>2588680</v>
      </c>
      <c r="BV111" s="230">
        <v>274554</v>
      </c>
      <c r="BW111" s="229">
        <v>0.1061</v>
      </c>
      <c r="BX111" s="230">
        <v>3817500</v>
      </c>
      <c r="BY111" s="230">
        <v>3736200</v>
      </c>
      <c r="BZ111" s="230">
        <v>81300</v>
      </c>
      <c r="CA111" s="229">
        <v>2.18E-2</v>
      </c>
      <c r="CB111" s="230">
        <v>3272600</v>
      </c>
      <c r="CC111" s="230">
        <v>3225800</v>
      </c>
      <c r="CD111" s="230">
        <v>46800</v>
      </c>
      <c r="CE111" s="229">
        <v>1.4500000000000001E-2</v>
      </c>
      <c r="CF111" s="230">
        <v>446900</v>
      </c>
      <c r="CG111" s="230">
        <v>416900</v>
      </c>
      <c r="CH111" s="230">
        <v>30000</v>
      </c>
      <c r="CI111" s="229">
        <v>7.1999999999999995E-2</v>
      </c>
      <c r="CJ111" s="230">
        <v>98000</v>
      </c>
      <c r="CK111" s="230">
        <v>93500</v>
      </c>
      <c r="CL111" s="230">
        <v>4500</v>
      </c>
      <c r="CM111" s="229">
        <v>4.8099999999999997E-2</v>
      </c>
      <c r="CN111" s="230">
        <v>8352600</v>
      </c>
      <c r="CO111" s="230">
        <v>8216400</v>
      </c>
      <c r="CP111" s="230">
        <v>136200</v>
      </c>
      <c r="CQ111" s="229">
        <v>1.66E-2</v>
      </c>
      <c r="CR111" s="230">
        <v>3332900</v>
      </c>
      <c r="CS111" s="230">
        <v>3288400</v>
      </c>
      <c r="CT111" s="230">
        <v>44500</v>
      </c>
      <c r="CU111" s="229">
        <v>1.35E-2</v>
      </c>
      <c r="CV111" s="230">
        <v>15503000</v>
      </c>
      <c r="CW111" s="230">
        <v>15241000</v>
      </c>
      <c r="CX111" s="230">
        <v>262000</v>
      </c>
      <c r="CY111" s="229">
        <v>1.72E-2</v>
      </c>
      <c r="CZ111" s="228">
        <v>56.54</v>
      </c>
      <c r="DA111" s="228">
        <v>56.74</v>
      </c>
      <c r="DB111" s="228">
        <v>-0.2</v>
      </c>
      <c r="DC111" s="228">
        <v>-0.2</v>
      </c>
      <c r="DD111" s="228">
        <v>63.17</v>
      </c>
      <c r="DE111" s="228">
        <v>63.26</v>
      </c>
      <c r="DF111" s="228">
        <v>-6.63</v>
      </c>
      <c r="DG111" s="228">
        <v>-0.09</v>
      </c>
      <c r="DH111" s="228">
        <v>54.62</v>
      </c>
      <c r="DI111" s="228">
        <v>55.37</v>
      </c>
      <c r="DJ111" s="228">
        <v>-0.75</v>
      </c>
      <c r="DK111" s="228">
        <v>-0.75</v>
      </c>
      <c r="DL111" s="228">
        <v>60.43</v>
      </c>
      <c r="DM111" s="228">
        <v>59.57</v>
      </c>
      <c r="DN111" s="228">
        <v>0.86</v>
      </c>
      <c r="DO111" s="228">
        <v>0.86</v>
      </c>
      <c r="DP111" s="228">
        <v>0.4</v>
      </c>
      <c r="DQ111" s="228">
        <v>0.4</v>
      </c>
      <c r="DR111" s="228">
        <v>0</v>
      </c>
      <c r="DS111" s="229">
        <v>0</v>
      </c>
      <c r="DT111" s="231">
        <v>5000</v>
      </c>
      <c r="DU111" s="231">
        <v>4000</v>
      </c>
      <c r="DV111" s="228">
        <v>0.5</v>
      </c>
      <c r="DW111" s="228">
        <v>0.48</v>
      </c>
      <c r="DX111" s="228">
        <v>0.02</v>
      </c>
      <c r="DY111" s="229">
        <v>4.1700000000000001E-2</v>
      </c>
      <c r="DZ111" s="229">
        <v>0.14269999999999999</v>
      </c>
      <c r="EA111" s="230">
        <v>510400</v>
      </c>
      <c r="EB111" s="229">
        <v>3.8999999999999998E-3</v>
      </c>
      <c r="EC111" s="229">
        <v>0.14269999999999999</v>
      </c>
      <c r="ED111" s="228">
        <v>15.88</v>
      </c>
      <c r="EE111" s="229">
        <v>3.8E-3</v>
      </c>
      <c r="EF111" s="230">
        <v>520699</v>
      </c>
      <c r="EG111" s="230">
        <v>377438</v>
      </c>
      <c r="EH111" s="229">
        <v>0.37959999999999999</v>
      </c>
      <c r="EI111" s="229">
        <v>0.18190000000000001</v>
      </c>
      <c r="EJ111" s="231">
        <v>474864.58</v>
      </c>
      <c r="EK111" s="231">
        <v>204030.11</v>
      </c>
      <c r="EL111" s="231">
        <v>54420.480000000003</v>
      </c>
      <c r="EM111" s="231">
        <v>26471</v>
      </c>
      <c r="EN111" s="231">
        <v>733315.17</v>
      </c>
      <c r="EO111" s="231">
        <v>534772.32999999996</v>
      </c>
      <c r="EP111" s="231">
        <v>198542.84</v>
      </c>
      <c r="EQ111" s="229">
        <v>0.37130000000000002</v>
      </c>
      <c r="ER111" s="231">
        <v>427520</v>
      </c>
      <c r="ES111" s="231">
        <v>145571</v>
      </c>
      <c r="ET111" s="231">
        <v>156577</v>
      </c>
      <c r="EU111" s="231">
        <v>4667784</v>
      </c>
      <c r="EV111" s="231">
        <v>729669</v>
      </c>
      <c r="EW111" s="231">
        <v>725309</v>
      </c>
      <c r="EX111" s="231">
        <v>4360</v>
      </c>
      <c r="EY111" s="229">
        <v>6.0000000000000001E-3</v>
      </c>
      <c r="EZ111" s="229">
        <v>3.3212999999999999</v>
      </c>
      <c r="FA111" s="227" t="s">
        <v>567</v>
      </c>
      <c r="FB111" s="161">
        <f t="shared" si="1"/>
        <v>544900</v>
      </c>
    </row>
    <row r="112" spans="1:158" ht="17.25" hidden="1" thickBot="1" x14ac:dyDescent="0.3">
      <c r="A112" s="226">
        <v>46008</v>
      </c>
      <c r="B112" s="227" t="s">
        <v>161</v>
      </c>
      <c r="C112" s="227" t="s">
        <v>610</v>
      </c>
      <c r="D112" s="228">
        <v>175</v>
      </c>
      <c r="E112" s="231">
        <v>4119.8999999999996</v>
      </c>
      <c r="F112" s="231">
        <v>4165.6000000000004</v>
      </c>
      <c r="G112" s="228">
        <v>-45.7</v>
      </c>
      <c r="H112" s="229">
        <v>-1.0999999999999999E-2</v>
      </c>
      <c r="I112" s="231">
        <v>4106.6000000000004</v>
      </c>
      <c r="J112" s="231">
        <v>4156.3</v>
      </c>
      <c r="K112" s="228">
        <v>-49.7</v>
      </c>
      <c r="L112" s="229">
        <v>-1.2E-2</v>
      </c>
      <c r="M112" s="231">
        <v>4119.8999999999996</v>
      </c>
      <c r="N112" s="231">
        <v>4165.6000000000004</v>
      </c>
      <c r="O112" s="228">
        <v>-45.7</v>
      </c>
      <c r="P112" s="229">
        <v>-1.0999999999999999E-2</v>
      </c>
      <c r="Q112" s="231">
        <v>4124</v>
      </c>
      <c r="R112" s="231">
        <v>4163.3999999999996</v>
      </c>
      <c r="S112" s="228">
        <v>-39.4</v>
      </c>
      <c r="T112" s="229">
        <v>-9.4999999999999998E-3</v>
      </c>
      <c r="U112" s="231">
        <v>4181.6000000000004</v>
      </c>
      <c r="V112" s="231">
        <v>4181.6000000000004</v>
      </c>
      <c r="W112" s="228">
        <v>0</v>
      </c>
      <c r="X112" s="229">
        <v>0</v>
      </c>
      <c r="Y112" s="228">
        <v>13.3</v>
      </c>
      <c r="Z112" s="228">
        <v>9.3000000000000007</v>
      </c>
      <c r="AA112" s="228">
        <v>4</v>
      </c>
      <c r="AB112" s="229">
        <v>3.2000000000000002E-3</v>
      </c>
      <c r="AC112" s="228">
        <v>13.3</v>
      </c>
      <c r="AD112" s="228">
        <v>9.3000000000000007</v>
      </c>
      <c r="AE112" s="228">
        <v>4</v>
      </c>
      <c r="AF112" s="229">
        <v>3.2000000000000002E-3</v>
      </c>
      <c r="AG112" s="228">
        <v>17.399999999999999</v>
      </c>
      <c r="AH112" s="228">
        <v>7.1</v>
      </c>
      <c r="AI112" s="228">
        <v>10.3</v>
      </c>
      <c r="AJ112" s="229">
        <v>4.1999999999999997E-3</v>
      </c>
      <c r="AK112" s="228">
        <v>75</v>
      </c>
      <c r="AL112" s="228">
        <v>25.3</v>
      </c>
      <c r="AM112" s="228">
        <v>49.7</v>
      </c>
      <c r="AN112" s="229">
        <v>1.83E-2</v>
      </c>
      <c r="AO112" s="231">
        <v>4107.25</v>
      </c>
      <c r="AP112" s="231">
        <v>4109.34</v>
      </c>
      <c r="AQ112" s="228">
        <v>0</v>
      </c>
      <c r="AR112" s="230">
        <v>367325</v>
      </c>
      <c r="AS112" s="230">
        <v>188300</v>
      </c>
      <c r="AT112" s="230">
        <v>179025</v>
      </c>
      <c r="AU112" s="229">
        <v>0.95069999999999999</v>
      </c>
      <c r="AV112" s="230">
        <v>318150</v>
      </c>
      <c r="AW112" s="230">
        <v>170100</v>
      </c>
      <c r="AX112" s="230">
        <v>148050</v>
      </c>
      <c r="AY112" s="229">
        <v>0.87039999999999995</v>
      </c>
      <c r="AZ112" s="230">
        <v>49175</v>
      </c>
      <c r="BA112" s="230">
        <v>17500</v>
      </c>
      <c r="BB112" s="230">
        <v>31675</v>
      </c>
      <c r="BC112" s="229">
        <v>1.81</v>
      </c>
      <c r="BD112" s="228">
        <v>0</v>
      </c>
      <c r="BE112" s="228">
        <v>700</v>
      </c>
      <c r="BF112" s="228">
        <v>-700</v>
      </c>
      <c r="BG112" s="229">
        <v>-1</v>
      </c>
      <c r="BH112" s="230">
        <v>704200</v>
      </c>
      <c r="BI112" s="230">
        <v>405825</v>
      </c>
      <c r="BJ112" s="230">
        <v>298375</v>
      </c>
      <c r="BK112" s="229">
        <v>0.73519999999999996</v>
      </c>
      <c r="BL112" s="230">
        <v>1175300</v>
      </c>
      <c r="BM112" s="230">
        <v>267050</v>
      </c>
      <c r="BN112" s="230">
        <v>908250</v>
      </c>
      <c r="BO112" s="229">
        <v>3.4009999999999998</v>
      </c>
      <c r="BP112" s="230">
        <v>2246825</v>
      </c>
      <c r="BQ112" s="230">
        <v>861175</v>
      </c>
      <c r="BR112" s="230">
        <v>1385650</v>
      </c>
      <c r="BS112" s="229">
        <v>1.609</v>
      </c>
      <c r="BT112" s="230">
        <v>278857</v>
      </c>
      <c r="BU112" s="230">
        <v>134154</v>
      </c>
      <c r="BV112" s="230">
        <v>144703</v>
      </c>
      <c r="BW112" s="229">
        <v>1.0786</v>
      </c>
      <c r="BX112" s="230">
        <v>1156750</v>
      </c>
      <c r="BY112" s="230">
        <v>1087275</v>
      </c>
      <c r="BZ112" s="230">
        <v>69475</v>
      </c>
      <c r="CA112" s="229">
        <v>6.3899999999999998E-2</v>
      </c>
      <c r="CB112" s="230">
        <v>1055075</v>
      </c>
      <c r="CC112" s="230">
        <v>1006250</v>
      </c>
      <c r="CD112" s="230">
        <v>48825</v>
      </c>
      <c r="CE112" s="229">
        <v>4.8500000000000001E-2</v>
      </c>
      <c r="CF112" s="230">
        <v>99050</v>
      </c>
      <c r="CG112" s="230">
        <v>78400</v>
      </c>
      <c r="CH112" s="230">
        <v>20650</v>
      </c>
      <c r="CI112" s="229">
        <v>0.26340000000000002</v>
      </c>
      <c r="CJ112" s="230">
        <v>2625</v>
      </c>
      <c r="CK112" s="230">
        <v>2625</v>
      </c>
      <c r="CL112" s="228">
        <v>0</v>
      </c>
      <c r="CM112" s="229">
        <v>0</v>
      </c>
      <c r="CN112" s="230">
        <v>684425</v>
      </c>
      <c r="CO112" s="230">
        <v>626150</v>
      </c>
      <c r="CP112" s="230">
        <v>58275</v>
      </c>
      <c r="CQ112" s="229">
        <v>9.3100000000000002E-2</v>
      </c>
      <c r="CR112" s="230">
        <v>460250</v>
      </c>
      <c r="CS112" s="230">
        <v>385350</v>
      </c>
      <c r="CT112" s="230">
        <v>74900</v>
      </c>
      <c r="CU112" s="229">
        <v>0.19439999999999999</v>
      </c>
      <c r="CV112" s="230">
        <v>2301425</v>
      </c>
      <c r="CW112" s="230">
        <v>2098775</v>
      </c>
      <c r="CX112" s="230">
        <v>202650</v>
      </c>
      <c r="CY112" s="229">
        <v>9.6600000000000005E-2</v>
      </c>
      <c r="CZ112" s="228">
        <v>25.08</v>
      </c>
      <c r="DA112" s="228">
        <v>25.27</v>
      </c>
      <c r="DB112" s="228">
        <v>-0.19</v>
      </c>
      <c r="DC112" s="228">
        <v>-0.19</v>
      </c>
      <c r="DD112" s="228">
        <v>45.7</v>
      </c>
      <c r="DE112" s="228">
        <v>45.79</v>
      </c>
      <c r="DF112" s="228">
        <v>-20.62</v>
      </c>
      <c r="DG112" s="228">
        <v>-0.09</v>
      </c>
      <c r="DH112" s="228">
        <v>24.68</v>
      </c>
      <c r="DI112" s="228">
        <v>24.87</v>
      </c>
      <c r="DJ112" s="228">
        <v>-0.19</v>
      </c>
      <c r="DK112" s="228">
        <v>-0.19</v>
      </c>
      <c r="DL112" s="228">
        <v>25.32</v>
      </c>
      <c r="DM112" s="228">
        <v>25.87</v>
      </c>
      <c r="DN112" s="228">
        <v>-0.55000000000000004</v>
      </c>
      <c r="DO112" s="228">
        <v>-0.55000000000000004</v>
      </c>
      <c r="DP112" s="228">
        <v>0.67</v>
      </c>
      <c r="DQ112" s="228">
        <v>0.62</v>
      </c>
      <c r="DR112" s="228">
        <v>0.05</v>
      </c>
      <c r="DS112" s="229">
        <v>8.0600000000000005E-2</v>
      </c>
      <c r="DT112" s="231">
        <v>4250</v>
      </c>
      <c r="DU112" s="231">
        <v>3900</v>
      </c>
      <c r="DV112" s="228">
        <v>1.67</v>
      </c>
      <c r="DW112" s="228">
        <v>0.66</v>
      </c>
      <c r="DX112" s="228">
        <v>1.01</v>
      </c>
      <c r="DY112" s="229">
        <v>1.5303</v>
      </c>
      <c r="DZ112" s="229">
        <v>8.7900000000000006E-2</v>
      </c>
      <c r="EA112" s="230">
        <v>81025</v>
      </c>
      <c r="EB112" s="229">
        <v>1E-3</v>
      </c>
      <c r="EC112" s="229">
        <v>8.7900000000000006E-2</v>
      </c>
      <c r="ED112" s="228">
        <v>2.09</v>
      </c>
      <c r="EE112" s="229">
        <v>5.0000000000000001E-4</v>
      </c>
      <c r="EF112" s="230">
        <v>172147</v>
      </c>
      <c r="EG112" s="230">
        <v>74894</v>
      </c>
      <c r="EH112" s="229">
        <v>1.2985</v>
      </c>
      <c r="EI112" s="229">
        <v>0.61729999999999996</v>
      </c>
      <c r="EJ112" s="231">
        <v>30095.72</v>
      </c>
      <c r="EK112" s="231">
        <v>47618.58</v>
      </c>
      <c r="EL112" s="231">
        <v>15087.98</v>
      </c>
      <c r="EM112" s="231">
        <v>1964</v>
      </c>
      <c r="EN112" s="231">
        <v>92802.28</v>
      </c>
      <c r="EO112" s="231">
        <v>36272.910000000003</v>
      </c>
      <c r="EP112" s="231">
        <v>56529.37</v>
      </c>
      <c r="EQ112" s="229">
        <v>1.5584</v>
      </c>
      <c r="ER112" s="231">
        <v>29052</v>
      </c>
      <c r="ES112" s="231">
        <v>18200</v>
      </c>
      <c r="ET112" s="231">
        <v>47663</v>
      </c>
      <c r="EU112" s="231">
        <v>9313740</v>
      </c>
      <c r="EV112" s="231">
        <v>94914</v>
      </c>
      <c r="EW112" s="231">
        <v>87124</v>
      </c>
      <c r="EX112" s="231">
        <v>7790</v>
      </c>
      <c r="EY112" s="229">
        <v>8.9399999999999993E-2</v>
      </c>
      <c r="EZ112" s="229">
        <v>0.24709999999999999</v>
      </c>
      <c r="FA112" s="227" t="s">
        <v>567</v>
      </c>
      <c r="FB112" s="161">
        <f t="shared" si="1"/>
        <v>101675</v>
      </c>
    </row>
    <row r="113" spans="1:158" ht="17.25" hidden="1" thickBot="1" x14ac:dyDescent="0.3">
      <c r="A113" s="226">
        <v>46008</v>
      </c>
      <c r="B113" s="227" t="s">
        <v>175</v>
      </c>
      <c r="C113" s="227" t="s">
        <v>684</v>
      </c>
      <c r="D113" s="228">
        <v>450</v>
      </c>
      <c r="E113" s="231">
        <v>1031.4000000000001</v>
      </c>
      <c r="F113" s="231">
        <v>1035.2</v>
      </c>
      <c r="G113" s="228">
        <v>-3.8</v>
      </c>
      <c r="H113" s="229">
        <v>-3.7000000000000002E-3</v>
      </c>
      <c r="I113" s="231">
        <v>1031.3</v>
      </c>
      <c r="J113" s="231">
        <v>1034.5</v>
      </c>
      <c r="K113" s="228">
        <v>-3.2</v>
      </c>
      <c r="L113" s="229">
        <v>-3.0999999999999999E-3</v>
      </c>
      <c r="M113" s="231">
        <v>1031.4000000000001</v>
      </c>
      <c r="N113" s="231">
        <v>1035.2</v>
      </c>
      <c r="O113" s="228">
        <v>-3.8</v>
      </c>
      <c r="P113" s="229">
        <v>-3.7000000000000002E-3</v>
      </c>
      <c r="Q113" s="231">
        <v>1028.3</v>
      </c>
      <c r="R113" s="231">
        <v>1033</v>
      </c>
      <c r="S113" s="228">
        <v>-4.7</v>
      </c>
      <c r="T113" s="229">
        <v>-4.4999999999999997E-3</v>
      </c>
      <c r="U113" s="231">
        <v>1033.3</v>
      </c>
      <c r="V113" s="231">
        <v>1033.5</v>
      </c>
      <c r="W113" s="228">
        <v>-0.2</v>
      </c>
      <c r="X113" s="229">
        <v>-2.0000000000000001E-4</v>
      </c>
      <c r="Y113" s="228">
        <v>0.1</v>
      </c>
      <c r="Z113" s="228">
        <v>0.7</v>
      </c>
      <c r="AA113" s="228">
        <v>-0.6</v>
      </c>
      <c r="AB113" s="229">
        <v>1E-4</v>
      </c>
      <c r="AC113" s="228">
        <v>0.1</v>
      </c>
      <c r="AD113" s="228">
        <v>0.7</v>
      </c>
      <c r="AE113" s="228">
        <v>-0.6</v>
      </c>
      <c r="AF113" s="229">
        <v>1E-4</v>
      </c>
      <c r="AG113" s="228">
        <v>-3</v>
      </c>
      <c r="AH113" s="228">
        <v>-1.5</v>
      </c>
      <c r="AI113" s="228">
        <v>-1.5</v>
      </c>
      <c r="AJ113" s="229">
        <v>-2.8999999999999998E-3</v>
      </c>
      <c r="AK113" s="228">
        <v>2</v>
      </c>
      <c r="AL113" s="228">
        <v>-1</v>
      </c>
      <c r="AM113" s="228">
        <v>3</v>
      </c>
      <c r="AN113" s="229">
        <v>1.9E-3</v>
      </c>
      <c r="AO113" s="231">
        <v>1033.02</v>
      </c>
      <c r="AP113" s="231">
        <v>1029.3</v>
      </c>
      <c r="AQ113" s="228">
        <v>0</v>
      </c>
      <c r="AR113" s="230">
        <v>616950</v>
      </c>
      <c r="AS113" s="230">
        <v>514350</v>
      </c>
      <c r="AT113" s="230">
        <v>102600</v>
      </c>
      <c r="AU113" s="229">
        <v>0.19950000000000001</v>
      </c>
      <c r="AV113" s="230">
        <v>486450</v>
      </c>
      <c r="AW113" s="230">
        <v>438750</v>
      </c>
      <c r="AX113" s="230">
        <v>47700</v>
      </c>
      <c r="AY113" s="229">
        <v>0.1087</v>
      </c>
      <c r="AZ113" s="230">
        <v>127350</v>
      </c>
      <c r="BA113" s="230">
        <v>70650</v>
      </c>
      <c r="BB113" s="230">
        <v>56700</v>
      </c>
      <c r="BC113" s="229">
        <v>0.80249999999999999</v>
      </c>
      <c r="BD113" s="230">
        <v>3150</v>
      </c>
      <c r="BE113" s="230">
        <v>4950</v>
      </c>
      <c r="BF113" s="230">
        <v>-1800</v>
      </c>
      <c r="BG113" s="229">
        <v>-0.36359999999999998</v>
      </c>
      <c r="BH113" s="230">
        <v>1226700</v>
      </c>
      <c r="BI113" s="230">
        <v>1970550</v>
      </c>
      <c r="BJ113" s="230">
        <v>-743850</v>
      </c>
      <c r="BK113" s="229">
        <v>-0.3775</v>
      </c>
      <c r="BL113" s="230">
        <v>579150</v>
      </c>
      <c r="BM113" s="230">
        <v>945000</v>
      </c>
      <c r="BN113" s="230">
        <v>-365850</v>
      </c>
      <c r="BO113" s="229">
        <v>-0.3871</v>
      </c>
      <c r="BP113" s="230">
        <v>2422800</v>
      </c>
      <c r="BQ113" s="230">
        <v>3429900</v>
      </c>
      <c r="BR113" s="230">
        <v>-1007100</v>
      </c>
      <c r="BS113" s="229">
        <v>-0.29360000000000003</v>
      </c>
      <c r="BT113" s="230">
        <v>460051</v>
      </c>
      <c r="BU113" s="230">
        <v>387928</v>
      </c>
      <c r="BV113" s="230">
        <v>72123</v>
      </c>
      <c r="BW113" s="229">
        <v>0.18590000000000001</v>
      </c>
      <c r="BX113" s="230">
        <v>3680450</v>
      </c>
      <c r="BY113" s="230">
        <v>3579200</v>
      </c>
      <c r="BZ113" s="230">
        <v>101250</v>
      </c>
      <c r="CA113" s="229">
        <v>2.8299999999999999E-2</v>
      </c>
      <c r="CB113" s="230">
        <v>3321450</v>
      </c>
      <c r="CC113" s="230">
        <v>3269700</v>
      </c>
      <c r="CD113" s="230">
        <v>51750</v>
      </c>
      <c r="CE113" s="229">
        <v>1.5800000000000002E-2</v>
      </c>
      <c r="CF113" s="230">
        <v>341000</v>
      </c>
      <c r="CG113" s="230">
        <v>292000</v>
      </c>
      <c r="CH113" s="230">
        <v>49000</v>
      </c>
      <c r="CI113" s="229">
        <v>0.1678</v>
      </c>
      <c r="CJ113" s="230">
        <v>18000</v>
      </c>
      <c r="CK113" s="230">
        <v>17500</v>
      </c>
      <c r="CL113" s="228">
        <v>500</v>
      </c>
      <c r="CM113" s="229">
        <v>2.86E-2</v>
      </c>
      <c r="CN113" s="230">
        <v>2996150</v>
      </c>
      <c r="CO113" s="230">
        <v>3058600</v>
      </c>
      <c r="CP113" s="230">
        <v>-62450</v>
      </c>
      <c r="CQ113" s="229">
        <v>-2.0400000000000001E-2</v>
      </c>
      <c r="CR113" s="230">
        <v>1918700</v>
      </c>
      <c r="CS113" s="230">
        <v>1941900</v>
      </c>
      <c r="CT113" s="230">
        <v>-23200</v>
      </c>
      <c r="CU113" s="229">
        <v>-1.1900000000000001E-2</v>
      </c>
      <c r="CV113" s="230">
        <v>8595300</v>
      </c>
      <c r="CW113" s="230">
        <v>8579700</v>
      </c>
      <c r="CX113" s="230">
        <v>15600</v>
      </c>
      <c r="CY113" s="229">
        <v>1.8E-3</v>
      </c>
      <c r="CZ113" s="228">
        <v>30</v>
      </c>
      <c r="DA113" s="228">
        <v>30.14</v>
      </c>
      <c r="DB113" s="228">
        <v>-0.14000000000000001</v>
      </c>
      <c r="DC113" s="228">
        <v>-0.14000000000000001</v>
      </c>
      <c r="DD113" s="228">
        <v>52.8</v>
      </c>
      <c r="DE113" s="228">
        <v>52.93</v>
      </c>
      <c r="DF113" s="228">
        <v>-22.8</v>
      </c>
      <c r="DG113" s="228">
        <v>-0.13</v>
      </c>
      <c r="DH113" s="228">
        <v>30.71</v>
      </c>
      <c r="DI113" s="228">
        <v>31.02</v>
      </c>
      <c r="DJ113" s="228">
        <v>-0.31</v>
      </c>
      <c r="DK113" s="228">
        <v>-0.31</v>
      </c>
      <c r="DL113" s="228">
        <v>28.49</v>
      </c>
      <c r="DM113" s="228">
        <v>28.32</v>
      </c>
      <c r="DN113" s="228">
        <v>0.17</v>
      </c>
      <c r="DO113" s="228">
        <v>0.17</v>
      </c>
      <c r="DP113" s="228">
        <v>0.64</v>
      </c>
      <c r="DQ113" s="228">
        <v>0.63</v>
      </c>
      <c r="DR113" s="228">
        <v>0.01</v>
      </c>
      <c r="DS113" s="229">
        <v>1.5900000000000001E-2</v>
      </c>
      <c r="DT113" s="231">
        <v>1100</v>
      </c>
      <c r="DU113" s="231">
        <v>1000</v>
      </c>
      <c r="DV113" s="228">
        <v>0.47</v>
      </c>
      <c r="DW113" s="228">
        <v>0.48</v>
      </c>
      <c r="DX113" s="228">
        <v>-0.01</v>
      </c>
      <c r="DY113" s="229">
        <v>-2.0799999999999999E-2</v>
      </c>
      <c r="DZ113" s="229">
        <v>9.7500000000000003E-2</v>
      </c>
      <c r="EA113" s="230">
        <v>309500</v>
      </c>
      <c r="EB113" s="229">
        <v>-3.0000000000000001E-3</v>
      </c>
      <c r="EC113" s="229">
        <v>9.7500000000000003E-2</v>
      </c>
      <c r="ED113" s="228">
        <v>-3.72</v>
      </c>
      <c r="EE113" s="229">
        <v>-3.5999999999999999E-3</v>
      </c>
      <c r="EF113" s="230">
        <v>189298</v>
      </c>
      <c r="EG113" s="230">
        <v>183056</v>
      </c>
      <c r="EH113" s="229">
        <v>3.4099999999999998E-2</v>
      </c>
      <c r="EI113" s="229">
        <v>0.41149999999999998</v>
      </c>
      <c r="EJ113" s="231">
        <v>13425.78</v>
      </c>
      <c r="EK113" s="231">
        <v>5945.58</v>
      </c>
      <c r="EL113" s="231">
        <v>6517.61</v>
      </c>
      <c r="EM113" s="231">
        <v>1966</v>
      </c>
      <c r="EN113" s="231">
        <v>25888.97</v>
      </c>
      <c r="EO113" s="231">
        <v>37046.129999999997</v>
      </c>
      <c r="EP113" s="231">
        <v>-11157.16</v>
      </c>
      <c r="EQ113" s="229">
        <v>-0.30120000000000002</v>
      </c>
      <c r="ER113" s="231">
        <v>33281</v>
      </c>
      <c r="ES113" s="231">
        <v>19642</v>
      </c>
      <c r="ET113" s="231">
        <v>37950</v>
      </c>
      <c r="EU113" s="231">
        <v>19911179</v>
      </c>
      <c r="EV113" s="231">
        <v>90873</v>
      </c>
      <c r="EW113" s="231">
        <v>90930</v>
      </c>
      <c r="EX113" s="228">
        <v>-57</v>
      </c>
      <c r="EY113" s="229">
        <v>-5.9999999999999995E-4</v>
      </c>
      <c r="EZ113" s="229">
        <v>0.43169999999999997</v>
      </c>
      <c r="FA113" s="227" t="s">
        <v>567</v>
      </c>
      <c r="FB113" s="161">
        <f t="shared" si="1"/>
        <v>359000</v>
      </c>
    </row>
    <row r="114" spans="1:158" ht="17.25" hidden="1" thickBot="1" x14ac:dyDescent="0.3">
      <c r="A114" s="226">
        <v>46008</v>
      </c>
      <c r="B114" s="227" t="s">
        <v>172</v>
      </c>
      <c r="C114" s="227" t="s">
        <v>246</v>
      </c>
      <c r="D114" s="228">
        <v>400</v>
      </c>
      <c r="E114" s="231">
        <v>2176.6</v>
      </c>
      <c r="F114" s="231">
        <v>2189</v>
      </c>
      <c r="G114" s="228">
        <v>-12.4</v>
      </c>
      <c r="H114" s="229">
        <v>-5.7000000000000002E-3</v>
      </c>
      <c r="I114" s="231">
        <v>2173.1999999999998</v>
      </c>
      <c r="J114" s="231">
        <v>2182.4</v>
      </c>
      <c r="K114" s="228">
        <v>-9.1999999999999993</v>
      </c>
      <c r="L114" s="229">
        <v>-4.1999999999999997E-3</v>
      </c>
      <c r="M114" s="231">
        <v>2176.6</v>
      </c>
      <c r="N114" s="231">
        <v>2189</v>
      </c>
      <c r="O114" s="228">
        <v>-12.4</v>
      </c>
      <c r="P114" s="229">
        <v>-5.7000000000000002E-3</v>
      </c>
      <c r="Q114" s="231">
        <v>2190</v>
      </c>
      <c r="R114" s="231">
        <v>2202.6</v>
      </c>
      <c r="S114" s="228">
        <v>-12.6</v>
      </c>
      <c r="T114" s="229">
        <v>-5.7000000000000002E-3</v>
      </c>
      <c r="U114" s="231">
        <v>2202.3000000000002</v>
      </c>
      <c r="V114" s="231">
        <v>2213.5</v>
      </c>
      <c r="W114" s="228">
        <v>-11.2</v>
      </c>
      <c r="X114" s="229">
        <v>-5.1000000000000004E-3</v>
      </c>
      <c r="Y114" s="228">
        <v>3.4</v>
      </c>
      <c r="Z114" s="228">
        <v>6.6</v>
      </c>
      <c r="AA114" s="228">
        <v>-3.2</v>
      </c>
      <c r="AB114" s="229">
        <v>1.6000000000000001E-3</v>
      </c>
      <c r="AC114" s="228">
        <v>3.4</v>
      </c>
      <c r="AD114" s="228">
        <v>6.6</v>
      </c>
      <c r="AE114" s="228">
        <v>-3.2</v>
      </c>
      <c r="AF114" s="229">
        <v>1.6000000000000001E-3</v>
      </c>
      <c r="AG114" s="228">
        <v>16.8</v>
      </c>
      <c r="AH114" s="228">
        <v>20.2</v>
      </c>
      <c r="AI114" s="228">
        <v>-3.4</v>
      </c>
      <c r="AJ114" s="229">
        <v>7.7000000000000002E-3</v>
      </c>
      <c r="AK114" s="228">
        <v>29.1</v>
      </c>
      <c r="AL114" s="228">
        <v>31.1</v>
      </c>
      <c r="AM114" s="228">
        <v>-2</v>
      </c>
      <c r="AN114" s="229">
        <v>1.34E-2</v>
      </c>
      <c r="AO114" s="231">
        <v>2178.7399999999998</v>
      </c>
      <c r="AP114" s="231">
        <v>2190.4</v>
      </c>
      <c r="AQ114" s="228">
        <v>0</v>
      </c>
      <c r="AR114" s="230">
        <v>4447600</v>
      </c>
      <c r="AS114" s="230">
        <v>3452400</v>
      </c>
      <c r="AT114" s="230">
        <v>995200</v>
      </c>
      <c r="AU114" s="229">
        <v>0.2883</v>
      </c>
      <c r="AV114" s="230">
        <v>2829200</v>
      </c>
      <c r="AW114" s="230">
        <v>2814000</v>
      </c>
      <c r="AX114" s="230">
        <v>15200</v>
      </c>
      <c r="AY114" s="229">
        <v>5.4000000000000003E-3</v>
      </c>
      <c r="AZ114" s="230">
        <v>1609600</v>
      </c>
      <c r="BA114" s="230">
        <v>622400</v>
      </c>
      <c r="BB114" s="230">
        <v>987200</v>
      </c>
      <c r="BC114" s="229">
        <v>1.5861000000000001</v>
      </c>
      <c r="BD114" s="230">
        <v>8800</v>
      </c>
      <c r="BE114" s="230">
        <v>16000</v>
      </c>
      <c r="BF114" s="230">
        <v>-7200</v>
      </c>
      <c r="BG114" s="229">
        <v>-0.45</v>
      </c>
      <c r="BH114" s="230">
        <v>7369600</v>
      </c>
      <c r="BI114" s="230">
        <v>12526800</v>
      </c>
      <c r="BJ114" s="230">
        <v>-5157200</v>
      </c>
      <c r="BK114" s="229">
        <v>-0.41170000000000001</v>
      </c>
      <c r="BL114" s="230">
        <v>4828000</v>
      </c>
      <c r="BM114" s="230">
        <v>6336400</v>
      </c>
      <c r="BN114" s="230">
        <v>-1508400</v>
      </c>
      <c r="BO114" s="229">
        <v>-0.23810000000000001</v>
      </c>
      <c r="BP114" s="230">
        <v>16645200</v>
      </c>
      <c r="BQ114" s="230">
        <v>22315600</v>
      </c>
      <c r="BR114" s="230">
        <v>-5670400</v>
      </c>
      <c r="BS114" s="229">
        <v>-0.25409999999999999</v>
      </c>
      <c r="BT114" s="230">
        <v>1650483</v>
      </c>
      <c r="BU114" s="230">
        <v>1723294</v>
      </c>
      <c r="BV114" s="230">
        <v>-72811</v>
      </c>
      <c r="BW114" s="229">
        <v>-4.2299999999999997E-2</v>
      </c>
      <c r="BX114" s="230">
        <v>40432000</v>
      </c>
      <c r="BY114" s="230">
        <v>40340000</v>
      </c>
      <c r="BZ114" s="230">
        <v>92000</v>
      </c>
      <c r="CA114" s="229">
        <v>2.3E-3</v>
      </c>
      <c r="CB114" s="230">
        <v>34760800</v>
      </c>
      <c r="CC114" s="230">
        <v>36125200</v>
      </c>
      <c r="CD114" s="230">
        <v>-1364400</v>
      </c>
      <c r="CE114" s="229">
        <v>-3.78E-2</v>
      </c>
      <c r="CF114" s="230">
        <v>5561600</v>
      </c>
      <c r="CG114" s="230">
        <v>4105600</v>
      </c>
      <c r="CH114" s="230">
        <v>1456000</v>
      </c>
      <c r="CI114" s="229">
        <v>0.35460000000000003</v>
      </c>
      <c r="CJ114" s="230">
        <v>109600</v>
      </c>
      <c r="CK114" s="230">
        <v>109200</v>
      </c>
      <c r="CL114" s="228">
        <v>400</v>
      </c>
      <c r="CM114" s="229">
        <v>3.7000000000000002E-3</v>
      </c>
      <c r="CN114" s="230">
        <v>8988000</v>
      </c>
      <c r="CO114" s="230">
        <v>8898000</v>
      </c>
      <c r="CP114" s="230">
        <v>90000</v>
      </c>
      <c r="CQ114" s="229">
        <v>1.01E-2</v>
      </c>
      <c r="CR114" s="230">
        <v>7605600</v>
      </c>
      <c r="CS114" s="230">
        <v>7866800</v>
      </c>
      <c r="CT114" s="230">
        <v>-261200</v>
      </c>
      <c r="CU114" s="229">
        <v>-3.32E-2</v>
      </c>
      <c r="CV114" s="230">
        <v>57025600</v>
      </c>
      <c r="CW114" s="230">
        <v>57104800</v>
      </c>
      <c r="CX114" s="230">
        <v>-79200</v>
      </c>
      <c r="CY114" s="229">
        <v>-1.4E-3</v>
      </c>
      <c r="CZ114" s="228">
        <v>16.190000000000001</v>
      </c>
      <c r="DA114" s="228">
        <v>16.68</v>
      </c>
      <c r="DB114" s="228">
        <v>-0.49</v>
      </c>
      <c r="DC114" s="228">
        <v>-0.49</v>
      </c>
      <c r="DD114" s="228">
        <v>25.81</v>
      </c>
      <c r="DE114" s="228">
        <v>25.87</v>
      </c>
      <c r="DF114" s="228">
        <v>-9.6199999999999992</v>
      </c>
      <c r="DG114" s="228">
        <v>-0.06</v>
      </c>
      <c r="DH114" s="228">
        <v>16.350000000000001</v>
      </c>
      <c r="DI114" s="228">
        <v>16.61</v>
      </c>
      <c r="DJ114" s="228">
        <v>-0.26</v>
      </c>
      <c r="DK114" s="228">
        <v>-0.26</v>
      </c>
      <c r="DL114" s="228">
        <v>15.93</v>
      </c>
      <c r="DM114" s="228">
        <v>16.809999999999999</v>
      </c>
      <c r="DN114" s="228">
        <v>-0.88</v>
      </c>
      <c r="DO114" s="228">
        <v>-0.88</v>
      </c>
      <c r="DP114" s="228">
        <v>0.85</v>
      </c>
      <c r="DQ114" s="228">
        <v>0.88</v>
      </c>
      <c r="DR114" s="228">
        <v>-0.03</v>
      </c>
      <c r="DS114" s="229">
        <v>-3.4099999999999998E-2</v>
      </c>
      <c r="DT114" s="231">
        <v>2200</v>
      </c>
      <c r="DU114" s="231">
        <v>2000</v>
      </c>
      <c r="DV114" s="228">
        <v>0.66</v>
      </c>
      <c r="DW114" s="228">
        <v>0.51</v>
      </c>
      <c r="DX114" s="228">
        <v>0.15</v>
      </c>
      <c r="DY114" s="229">
        <v>0.29409999999999997</v>
      </c>
      <c r="DZ114" s="229">
        <v>0.14030000000000001</v>
      </c>
      <c r="EA114" s="230">
        <v>4214800</v>
      </c>
      <c r="EB114" s="229">
        <v>6.1999999999999998E-3</v>
      </c>
      <c r="EC114" s="229">
        <v>0.14030000000000001</v>
      </c>
      <c r="ED114" s="228">
        <v>11.66</v>
      </c>
      <c r="EE114" s="229">
        <v>5.4000000000000003E-3</v>
      </c>
      <c r="EF114" s="230">
        <v>1086258</v>
      </c>
      <c r="EG114" s="230">
        <v>1164723</v>
      </c>
      <c r="EH114" s="229">
        <v>-6.7400000000000002E-2</v>
      </c>
      <c r="EI114" s="229">
        <v>0.65810000000000002</v>
      </c>
      <c r="EJ114" s="231">
        <v>164594.03</v>
      </c>
      <c r="EK114" s="231">
        <v>104626.49</v>
      </c>
      <c r="EL114" s="231">
        <v>97091.57</v>
      </c>
      <c r="EM114" s="231">
        <v>11037</v>
      </c>
      <c r="EN114" s="231">
        <v>366312.09</v>
      </c>
      <c r="EO114" s="231">
        <v>493679.9</v>
      </c>
      <c r="EP114" s="231">
        <v>-127367.81</v>
      </c>
      <c r="EQ114" s="229">
        <v>-0.25800000000000001</v>
      </c>
      <c r="ER114" s="231">
        <v>199535</v>
      </c>
      <c r="ES114" s="231">
        <v>158609</v>
      </c>
      <c r="ET114" s="231">
        <v>880816</v>
      </c>
      <c r="EU114" s="231">
        <v>215751979</v>
      </c>
      <c r="EV114" s="231">
        <v>1238960</v>
      </c>
      <c r="EW114" s="231">
        <v>1245474</v>
      </c>
      <c r="EX114" s="231">
        <v>-6514</v>
      </c>
      <c r="EY114" s="229">
        <v>-5.1999999999999998E-3</v>
      </c>
      <c r="EZ114" s="229">
        <v>0.26429999999999998</v>
      </c>
      <c r="FA114" s="227" t="s">
        <v>567</v>
      </c>
      <c r="FB114" s="161">
        <f t="shared" si="1"/>
        <v>5671200</v>
      </c>
    </row>
    <row r="115" spans="1:158" ht="17.25" hidden="1" thickBot="1" x14ac:dyDescent="0.3">
      <c r="A115" s="226">
        <v>46008</v>
      </c>
      <c r="B115" s="227" t="s">
        <v>221</v>
      </c>
      <c r="C115" s="227" t="s">
        <v>577</v>
      </c>
      <c r="D115" s="228">
        <v>400</v>
      </c>
      <c r="E115" s="231">
        <v>1173.4000000000001</v>
      </c>
      <c r="F115" s="231">
        <v>1173.5</v>
      </c>
      <c r="G115" s="228">
        <v>-0.1</v>
      </c>
      <c r="H115" s="229">
        <v>-1E-4</v>
      </c>
      <c r="I115" s="231">
        <v>1168.9000000000001</v>
      </c>
      <c r="J115" s="231">
        <v>1176.3</v>
      </c>
      <c r="K115" s="228">
        <v>-7.4</v>
      </c>
      <c r="L115" s="229">
        <v>-6.3E-3</v>
      </c>
      <c r="M115" s="231">
        <v>1173.4000000000001</v>
      </c>
      <c r="N115" s="231">
        <v>1173.5</v>
      </c>
      <c r="O115" s="228">
        <v>-0.1</v>
      </c>
      <c r="P115" s="229">
        <v>-1E-4</v>
      </c>
      <c r="Q115" s="231">
        <v>1177.5</v>
      </c>
      <c r="R115" s="231">
        <v>1179</v>
      </c>
      <c r="S115" s="228">
        <v>-1.5</v>
      </c>
      <c r="T115" s="229">
        <v>-1.2999999999999999E-3</v>
      </c>
      <c r="U115" s="231">
        <v>1180</v>
      </c>
      <c r="V115" s="231">
        <v>1180.3</v>
      </c>
      <c r="W115" s="228">
        <v>-0.3</v>
      </c>
      <c r="X115" s="229">
        <v>-2.9999999999999997E-4</v>
      </c>
      <c r="Y115" s="228">
        <v>4.5</v>
      </c>
      <c r="Z115" s="228">
        <v>-2.8</v>
      </c>
      <c r="AA115" s="228">
        <v>7.3</v>
      </c>
      <c r="AB115" s="229">
        <v>3.8E-3</v>
      </c>
      <c r="AC115" s="228">
        <v>4.5</v>
      </c>
      <c r="AD115" s="228">
        <v>-2.8</v>
      </c>
      <c r="AE115" s="228">
        <v>7.3</v>
      </c>
      <c r="AF115" s="229">
        <v>3.8E-3</v>
      </c>
      <c r="AG115" s="228">
        <v>8.6</v>
      </c>
      <c r="AH115" s="228">
        <v>2.7</v>
      </c>
      <c r="AI115" s="228">
        <v>5.9</v>
      </c>
      <c r="AJ115" s="229">
        <v>7.4000000000000003E-3</v>
      </c>
      <c r="AK115" s="228">
        <v>11.1</v>
      </c>
      <c r="AL115" s="228">
        <v>4</v>
      </c>
      <c r="AM115" s="228">
        <v>7.1</v>
      </c>
      <c r="AN115" s="229">
        <v>9.4999999999999998E-3</v>
      </c>
      <c r="AO115" s="231">
        <v>1174.23</v>
      </c>
      <c r="AP115" s="231">
        <v>1178.1099999999999</v>
      </c>
      <c r="AQ115" s="228">
        <v>0</v>
      </c>
      <c r="AR115" s="230">
        <v>498000</v>
      </c>
      <c r="AS115" s="230">
        <v>1728400</v>
      </c>
      <c r="AT115" s="230">
        <v>-1230400</v>
      </c>
      <c r="AU115" s="229">
        <v>-0.71189999999999998</v>
      </c>
      <c r="AV115" s="230">
        <v>426800</v>
      </c>
      <c r="AW115" s="230">
        <v>1457600</v>
      </c>
      <c r="AX115" s="230">
        <v>-1030800</v>
      </c>
      <c r="AY115" s="229">
        <v>-0.70720000000000005</v>
      </c>
      <c r="AZ115" s="230">
        <v>64400</v>
      </c>
      <c r="BA115" s="230">
        <v>244800</v>
      </c>
      <c r="BB115" s="230">
        <v>-180400</v>
      </c>
      <c r="BC115" s="229">
        <v>-0.7369</v>
      </c>
      <c r="BD115" s="230">
        <v>6800</v>
      </c>
      <c r="BE115" s="230">
        <v>26000</v>
      </c>
      <c r="BF115" s="230">
        <v>-19200</v>
      </c>
      <c r="BG115" s="229">
        <v>-0.73850000000000005</v>
      </c>
      <c r="BH115" s="230">
        <v>1492000</v>
      </c>
      <c r="BI115" s="230">
        <v>4500000</v>
      </c>
      <c r="BJ115" s="230">
        <v>-3008000</v>
      </c>
      <c r="BK115" s="229">
        <v>-0.66839999999999999</v>
      </c>
      <c r="BL115" s="230">
        <v>979200</v>
      </c>
      <c r="BM115" s="230">
        <v>2751200</v>
      </c>
      <c r="BN115" s="230">
        <v>-1772000</v>
      </c>
      <c r="BO115" s="229">
        <v>-0.64410000000000001</v>
      </c>
      <c r="BP115" s="230">
        <v>2969200</v>
      </c>
      <c r="BQ115" s="230">
        <v>8979600</v>
      </c>
      <c r="BR115" s="230">
        <v>-6010400</v>
      </c>
      <c r="BS115" s="229">
        <v>-0.66930000000000001</v>
      </c>
      <c r="BT115" s="230">
        <v>533275</v>
      </c>
      <c r="BU115" s="230">
        <v>978244</v>
      </c>
      <c r="BV115" s="230">
        <v>-444969</v>
      </c>
      <c r="BW115" s="229">
        <v>-0.45490000000000003</v>
      </c>
      <c r="BX115" s="230">
        <v>3842450</v>
      </c>
      <c r="BY115" s="230">
        <v>3766825</v>
      </c>
      <c r="BZ115" s="230">
        <v>75625</v>
      </c>
      <c r="CA115" s="229">
        <v>2.01E-2</v>
      </c>
      <c r="CB115" s="230">
        <v>3501600</v>
      </c>
      <c r="CC115" s="230">
        <v>3446800</v>
      </c>
      <c r="CD115" s="230">
        <v>54800</v>
      </c>
      <c r="CE115" s="229">
        <v>1.5900000000000001E-2</v>
      </c>
      <c r="CF115" s="230">
        <v>299625</v>
      </c>
      <c r="CG115" s="230">
        <v>282200</v>
      </c>
      <c r="CH115" s="230">
        <v>17425</v>
      </c>
      <c r="CI115" s="229">
        <v>6.1699999999999998E-2</v>
      </c>
      <c r="CJ115" s="230">
        <v>41225</v>
      </c>
      <c r="CK115" s="230">
        <v>37825</v>
      </c>
      <c r="CL115" s="230">
        <v>3400</v>
      </c>
      <c r="CM115" s="229">
        <v>8.9899999999999994E-2</v>
      </c>
      <c r="CN115" s="230">
        <v>2678000</v>
      </c>
      <c r="CO115" s="230">
        <v>2609175</v>
      </c>
      <c r="CP115" s="230">
        <v>68825</v>
      </c>
      <c r="CQ115" s="229">
        <v>2.64E-2</v>
      </c>
      <c r="CR115" s="230">
        <v>1574200</v>
      </c>
      <c r="CS115" s="230">
        <v>1504725</v>
      </c>
      <c r="CT115" s="230">
        <v>69475</v>
      </c>
      <c r="CU115" s="229">
        <v>4.6199999999999998E-2</v>
      </c>
      <c r="CV115" s="230">
        <v>8094650</v>
      </c>
      <c r="CW115" s="230">
        <v>7880725</v>
      </c>
      <c r="CX115" s="230">
        <v>213925</v>
      </c>
      <c r="CY115" s="229">
        <v>2.7099999999999999E-2</v>
      </c>
      <c r="CZ115" s="228">
        <v>29.17</v>
      </c>
      <c r="DA115" s="228">
        <v>29.63</v>
      </c>
      <c r="DB115" s="228">
        <v>-0.46</v>
      </c>
      <c r="DC115" s="228">
        <v>-0.46</v>
      </c>
      <c r="DD115" s="228">
        <v>42.73</v>
      </c>
      <c r="DE115" s="228">
        <v>42.83</v>
      </c>
      <c r="DF115" s="228">
        <v>-13.56</v>
      </c>
      <c r="DG115" s="228">
        <v>-0.1</v>
      </c>
      <c r="DH115" s="228">
        <v>30.04</v>
      </c>
      <c r="DI115" s="228">
        <v>30.36</v>
      </c>
      <c r="DJ115" s="228">
        <v>-0.32</v>
      </c>
      <c r="DK115" s="228">
        <v>-0.32</v>
      </c>
      <c r="DL115" s="228">
        <v>27.85</v>
      </c>
      <c r="DM115" s="228">
        <v>28.43</v>
      </c>
      <c r="DN115" s="228">
        <v>-0.57999999999999996</v>
      </c>
      <c r="DO115" s="228">
        <v>-0.57999999999999996</v>
      </c>
      <c r="DP115" s="228">
        <v>0.59</v>
      </c>
      <c r="DQ115" s="228">
        <v>0.57999999999999996</v>
      </c>
      <c r="DR115" s="228">
        <v>0.01</v>
      </c>
      <c r="DS115" s="229">
        <v>1.72E-2</v>
      </c>
      <c r="DT115" s="231">
        <v>1300</v>
      </c>
      <c r="DU115" s="231">
        <v>1120</v>
      </c>
      <c r="DV115" s="228">
        <v>0.66</v>
      </c>
      <c r="DW115" s="228">
        <v>0.61</v>
      </c>
      <c r="DX115" s="228">
        <v>0.05</v>
      </c>
      <c r="DY115" s="229">
        <v>8.2000000000000003E-2</v>
      </c>
      <c r="DZ115" s="229">
        <v>8.8700000000000001E-2</v>
      </c>
      <c r="EA115" s="230">
        <v>320025</v>
      </c>
      <c r="EB115" s="229">
        <v>3.5000000000000001E-3</v>
      </c>
      <c r="EC115" s="229">
        <v>8.8700000000000001E-2</v>
      </c>
      <c r="ED115" s="228">
        <v>3.88</v>
      </c>
      <c r="EE115" s="229">
        <v>3.3E-3</v>
      </c>
      <c r="EF115" s="230">
        <v>306975</v>
      </c>
      <c r="EG115" s="230">
        <v>543817</v>
      </c>
      <c r="EH115" s="229">
        <v>-0.4355</v>
      </c>
      <c r="EI115" s="229">
        <v>0.5756</v>
      </c>
      <c r="EJ115" s="231">
        <v>18725.11</v>
      </c>
      <c r="EK115" s="231">
        <v>11297.55</v>
      </c>
      <c r="EL115" s="231">
        <v>5903.13</v>
      </c>
      <c r="EM115" s="231">
        <v>2185</v>
      </c>
      <c r="EN115" s="231">
        <v>35925.79</v>
      </c>
      <c r="EO115" s="231">
        <v>109865.03</v>
      </c>
      <c r="EP115" s="231">
        <v>-73939.240000000005</v>
      </c>
      <c r="EQ115" s="229">
        <v>-0.67300000000000004</v>
      </c>
      <c r="ER115" s="231">
        <v>33711</v>
      </c>
      <c r="ES115" s="231">
        <v>18275</v>
      </c>
      <c r="ET115" s="231">
        <v>45102</v>
      </c>
      <c r="EU115" s="231">
        <v>24568295</v>
      </c>
      <c r="EV115" s="231">
        <v>97088</v>
      </c>
      <c r="EW115" s="231">
        <v>94743</v>
      </c>
      <c r="EX115" s="231">
        <v>2345</v>
      </c>
      <c r="EY115" s="229">
        <v>2.4799999999999999E-2</v>
      </c>
      <c r="EZ115" s="229">
        <v>0.32950000000000002</v>
      </c>
      <c r="FA115" s="227" t="s">
        <v>567</v>
      </c>
      <c r="FB115" s="161">
        <f t="shared" si="1"/>
        <v>340850</v>
      </c>
    </row>
    <row r="116" spans="1:158" ht="17.25" hidden="1" thickBot="1" x14ac:dyDescent="0.3">
      <c r="A116" s="226">
        <v>46008</v>
      </c>
      <c r="B116" s="227" t="s">
        <v>170</v>
      </c>
      <c r="C116" s="227" t="s">
        <v>535</v>
      </c>
      <c r="D116" s="228">
        <v>850</v>
      </c>
      <c r="E116" s="231">
        <v>1010.6</v>
      </c>
      <c r="F116" s="231">
        <v>1005</v>
      </c>
      <c r="G116" s="228">
        <v>5.6</v>
      </c>
      <c r="H116" s="229">
        <v>5.5999999999999999E-3</v>
      </c>
      <c r="I116" s="231">
        <v>1010</v>
      </c>
      <c r="J116" s="231">
        <v>1001.3</v>
      </c>
      <c r="K116" s="228">
        <v>8.6999999999999993</v>
      </c>
      <c r="L116" s="229">
        <v>8.6999999999999994E-3</v>
      </c>
      <c r="M116" s="231">
        <v>1010.6</v>
      </c>
      <c r="N116" s="231">
        <v>1005</v>
      </c>
      <c r="O116" s="228">
        <v>5.6</v>
      </c>
      <c r="P116" s="229">
        <v>5.5999999999999999E-3</v>
      </c>
      <c r="Q116" s="231">
        <v>1017.4</v>
      </c>
      <c r="R116" s="231">
        <v>1010.9</v>
      </c>
      <c r="S116" s="228">
        <v>6.5</v>
      </c>
      <c r="T116" s="229">
        <v>6.4000000000000003E-3</v>
      </c>
      <c r="U116" s="231">
        <v>1020.7</v>
      </c>
      <c r="V116" s="231">
        <v>1017</v>
      </c>
      <c r="W116" s="228">
        <v>3.7</v>
      </c>
      <c r="X116" s="229">
        <v>3.5999999999999999E-3</v>
      </c>
      <c r="Y116" s="228">
        <v>0.6</v>
      </c>
      <c r="Z116" s="228">
        <v>3.7</v>
      </c>
      <c r="AA116" s="228">
        <v>-3.1</v>
      </c>
      <c r="AB116" s="229">
        <v>5.9999999999999995E-4</v>
      </c>
      <c r="AC116" s="228">
        <v>0.6</v>
      </c>
      <c r="AD116" s="228">
        <v>3.7</v>
      </c>
      <c r="AE116" s="228">
        <v>-3.1</v>
      </c>
      <c r="AF116" s="229">
        <v>5.9999999999999995E-4</v>
      </c>
      <c r="AG116" s="228">
        <v>7.4</v>
      </c>
      <c r="AH116" s="228">
        <v>9.6</v>
      </c>
      <c r="AI116" s="228">
        <v>-2.2000000000000002</v>
      </c>
      <c r="AJ116" s="229">
        <v>7.3000000000000001E-3</v>
      </c>
      <c r="AK116" s="228">
        <v>10.7</v>
      </c>
      <c r="AL116" s="228">
        <v>15.7</v>
      </c>
      <c r="AM116" s="228">
        <v>-5</v>
      </c>
      <c r="AN116" s="229">
        <v>1.06E-2</v>
      </c>
      <c r="AO116" s="231">
        <v>1014.1</v>
      </c>
      <c r="AP116" s="231">
        <v>1020.24</v>
      </c>
      <c r="AQ116" s="228">
        <v>0</v>
      </c>
      <c r="AR116" s="230">
        <v>2533850</v>
      </c>
      <c r="AS116" s="230">
        <v>2089300</v>
      </c>
      <c r="AT116" s="230">
        <v>444550</v>
      </c>
      <c r="AU116" s="229">
        <v>0.21279999999999999</v>
      </c>
      <c r="AV116" s="230">
        <v>2049350</v>
      </c>
      <c r="AW116" s="230">
        <v>1768000</v>
      </c>
      <c r="AX116" s="230">
        <v>281350</v>
      </c>
      <c r="AY116" s="229">
        <v>0.15909999999999999</v>
      </c>
      <c r="AZ116" s="230">
        <v>463250</v>
      </c>
      <c r="BA116" s="230">
        <v>307700</v>
      </c>
      <c r="BB116" s="230">
        <v>155550</v>
      </c>
      <c r="BC116" s="229">
        <v>0.50549999999999995</v>
      </c>
      <c r="BD116" s="230">
        <v>21250</v>
      </c>
      <c r="BE116" s="230">
        <v>13600</v>
      </c>
      <c r="BF116" s="230">
        <v>7650</v>
      </c>
      <c r="BG116" s="229">
        <v>0.5625</v>
      </c>
      <c r="BH116" s="230">
        <v>8028250</v>
      </c>
      <c r="BI116" s="230">
        <v>6661450</v>
      </c>
      <c r="BJ116" s="230">
        <v>1366800</v>
      </c>
      <c r="BK116" s="229">
        <v>0.20519999999999999</v>
      </c>
      <c r="BL116" s="230">
        <v>3074450</v>
      </c>
      <c r="BM116" s="230">
        <v>2704700</v>
      </c>
      <c r="BN116" s="230">
        <v>369750</v>
      </c>
      <c r="BO116" s="229">
        <v>0.13669999999999999</v>
      </c>
      <c r="BP116" s="230">
        <v>13636550</v>
      </c>
      <c r="BQ116" s="230">
        <v>11455450</v>
      </c>
      <c r="BR116" s="230">
        <v>2181100</v>
      </c>
      <c r="BS116" s="229">
        <v>0.19040000000000001</v>
      </c>
      <c r="BT116" s="230">
        <v>1312238</v>
      </c>
      <c r="BU116" s="230">
        <v>964764</v>
      </c>
      <c r="BV116" s="230">
        <v>347474</v>
      </c>
      <c r="BW116" s="229">
        <v>0.36020000000000002</v>
      </c>
      <c r="BX116" s="230">
        <v>16296200</v>
      </c>
      <c r="BY116" s="230">
        <v>16420300</v>
      </c>
      <c r="BZ116" s="230">
        <v>-124100</v>
      </c>
      <c r="CA116" s="229">
        <v>-7.6E-3</v>
      </c>
      <c r="CB116" s="230">
        <v>14839300</v>
      </c>
      <c r="CC116" s="230">
        <v>15006750</v>
      </c>
      <c r="CD116" s="230">
        <v>-167450</v>
      </c>
      <c r="CE116" s="229">
        <v>-1.12E-2</v>
      </c>
      <c r="CF116" s="230">
        <v>1244400</v>
      </c>
      <c r="CG116" s="230">
        <v>1199350</v>
      </c>
      <c r="CH116" s="230">
        <v>45050</v>
      </c>
      <c r="CI116" s="229">
        <v>3.7600000000000001E-2</v>
      </c>
      <c r="CJ116" s="230">
        <v>212500</v>
      </c>
      <c r="CK116" s="230">
        <v>214200</v>
      </c>
      <c r="CL116" s="230">
        <v>-1700</v>
      </c>
      <c r="CM116" s="229">
        <v>-7.9000000000000008E-3</v>
      </c>
      <c r="CN116" s="230">
        <v>8849350</v>
      </c>
      <c r="CO116" s="230">
        <v>9000650</v>
      </c>
      <c r="CP116" s="230">
        <v>-151300</v>
      </c>
      <c r="CQ116" s="229">
        <v>-1.6799999999999999E-2</v>
      </c>
      <c r="CR116" s="230">
        <v>4858600</v>
      </c>
      <c r="CS116" s="230">
        <v>4818650</v>
      </c>
      <c r="CT116" s="230">
        <v>39950</v>
      </c>
      <c r="CU116" s="229">
        <v>8.3000000000000001E-3</v>
      </c>
      <c r="CV116" s="230">
        <v>30004150</v>
      </c>
      <c r="CW116" s="230">
        <v>30239600</v>
      </c>
      <c r="CX116" s="230">
        <v>-235450</v>
      </c>
      <c r="CY116" s="229">
        <v>-7.7999999999999996E-3</v>
      </c>
      <c r="CZ116" s="228">
        <v>25.41</v>
      </c>
      <c r="DA116" s="228">
        <v>26.89</v>
      </c>
      <c r="DB116" s="228">
        <v>-1.48</v>
      </c>
      <c r="DC116" s="228">
        <v>-1.48</v>
      </c>
      <c r="DD116" s="228">
        <v>38.340000000000003</v>
      </c>
      <c r="DE116" s="228">
        <v>38.42</v>
      </c>
      <c r="DF116" s="228">
        <v>-12.93</v>
      </c>
      <c r="DG116" s="228">
        <v>-0.08</v>
      </c>
      <c r="DH116" s="228">
        <v>25.45</v>
      </c>
      <c r="DI116" s="228">
        <v>27.02</v>
      </c>
      <c r="DJ116" s="228">
        <v>-1.57</v>
      </c>
      <c r="DK116" s="228">
        <v>-1.57</v>
      </c>
      <c r="DL116" s="228">
        <v>25.28</v>
      </c>
      <c r="DM116" s="228">
        <v>26.55</v>
      </c>
      <c r="DN116" s="228">
        <v>-1.27</v>
      </c>
      <c r="DO116" s="228">
        <v>-1.27</v>
      </c>
      <c r="DP116" s="228">
        <v>0.55000000000000004</v>
      </c>
      <c r="DQ116" s="228">
        <v>0.54</v>
      </c>
      <c r="DR116" s="228">
        <v>0.01</v>
      </c>
      <c r="DS116" s="229">
        <v>1.8499999999999999E-2</v>
      </c>
      <c r="DT116" s="231">
        <v>1020</v>
      </c>
      <c r="DU116" s="231">
        <v>1000</v>
      </c>
      <c r="DV116" s="228">
        <v>0.38</v>
      </c>
      <c r="DW116" s="228">
        <v>0.41</v>
      </c>
      <c r="DX116" s="228">
        <v>-0.03</v>
      </c>
      <c r="DY116" s="229">
        <v>-7.3200000000000001E-2</v>
      </c>
      <c r="DZ116" s="229">
        <v>8.9399999999999993E-2</v>
      </c>
      <c r="EA116" s="230">
        <v>1413550</v>
      </c>
      <c r="EB116" s="229">
        <v>6.7000000000000002E-3</v>
      </c>
      <c r="EC116" s="229">
        <v>8.9399999999999993E-2</v>
      </c>
      <c r="ED116" s="228">
        <v>6.14</v>
      </c>
      <c r="EE116" s="229">
        <v>6.1000000000000004E-3</v>
      </c>
      <c r="EF116" s="230">
        <v>766405</v>
      </c>
      <c r="EG116" s="230">
        <v>615508</v>
      </c>
      <c r="EH116" s="229">
        <v>0.2452</v>
      </c>
      <c r="EI116" s="229">
        <v>0.58399999999999996</v>
      </c>
      <c r="EJ116" s="231">
        <v>83967.039999999994</v>
      </c>
      <c r="EK116" s="231">
        <v>30786.11</v>
      </c>
      <c r="EL116" s="231">
        <v>25727.1</v>
      </c>
      <c r="EM116" s="231">
        <v>3396</v>
      </c>
      <c r="EN116" s="231">
        <v>140480.25</v>
      </c>
      <c r="EO116" s="231">
        <v>117620.8</v>
      </c>
      <c r="EP116" s="231">
        <v>22859.45</v>
      </c>
      <c r="EQ116" s="229">
        <v>0.1943</v>
      </c>
      <c r="ER116" s="231">
        <v>91824</v>
      </c>
      <c r="ES116" s="231">
        <v>47208</v>
      </c>
      <c r="ET116" s="231">
        <v>164795</v>
      </c>
      <c r="EU116" s="231">
        <v>58629477</v>
      </c>
      <c r="EV116" s="231">
        <v>303828</v>
      </c>
      <c r="EW116" s="231">
        <v>305393</v>
      </c>
      <c r="EX116" s="231">
        <v>-1565</v>
      </c>
      <c r="EY116" s="229">
        <v>-5.1000000000000004E-3</v>
      </c>
      <c r="EZ116" s="229">
        <v>0.51180000000000003</v>
      </c>
      <c r="FA116" s="227" t="s">
        <v>556</v>
      </c>
      <c r="FB116" s="161">
        <f t="shared" si="1"/>
        <v>1456900</v>
      </c>
    </row>
    <row r="117" spans="1:158" ht="17.25" hidden="1" thickBot="1" x14ac:dyDescent="0.3">
      <c r="A117" s="226">
        <v>46008</v>
      </c>
      <c r="B117" s="227" t="s">
        <v>175</v>
      </c>
      <c r="C117" s="227" t="s">
        <v>248</v>
      </c>
      <c r="D117" s="228">
        <v>1000</v>
      </c>
      <c r="E117" s="228">
        <v>524.75</v>
      </c>
      <c r="F117" s="228">
        <v>526.9</v>
      </c>
      <c r="G117" s="228">
        <v>-2.15</v>
      </c>
      <c r="H117" s="229">
        <v>-4.1000000000000003E-3</v>
      </c>
      <c r="I117" s="228">
        <v>524.79999999999995</v>
      </c>
      <c r="J117" s="228">
        <v>525.79999999999995</v>
      </c>
      <c r="K117" s="228">
        <v>-1</v>
      </c>
      <c r="L117" s="229">
        <v>-1.9E-3</v>
      </c>
      <c r="M117" s="228">
        <v>524.75</v>
      </c>
      <c r="N117" s="228">
        <v>526.9</v>
      </c>
      <c r="O117" s="228">
        <v>-2.15</v>
      </c>
      <c r="P117" s="229">
        <v>-4.1000000000000003E-3</v>
      </c>
      <c r="Q117" s="228">
        <v>528.25</v>
      </c>
      <c r="R117" s="228">
        <v>530.04999999999995</v>
      </c>
      <c r="S117" s="228">
        <v>-1.8</v>
      </c>
      <c r="T117" s="229">
        <v>-3.3999999999999998E-3</v>
      </c>
      <c r="U117" s="228">
        <v>530.54999999999995</v>
      </c>
      <c r="V117" s="228">
        <v>533.79999999999995</v>
      </c>
      <c r="W117" s="228">
        <v>-3.25</v>
      </c>
      <c r="X117" s="229">
        <v>-6.1000000000000004E-3</v>
      </c>
      <c r="Y117" s="228">
        <v>-0.05</v>
      </c>
      <c r="Z117" s="228">
        <v>1.1000000000000001</v>
      </c>
      <c r="AA117" s="228">
        <v>-1.1499999999999999</v>
      </c>
      <c r="AB117" s="229">
        <v>-1E-4</v>
      </c>
      <c r="AC117" s="228">
        <v>-0.05</v>
      </c>
      <c r="AD117" s="228">
        <v>1.1000000000000001</v>
      </c>
      <c r="AE117" s="228">
        <v>-1.1499999999999999</v>
      </c>
      <c r="AF117" s="229">
        <v>-1E-4</v>
      </c>
      <c r="AG117" s="228">
        <v>3.45</v>
      </c>
      <c r="AH117" s="228">
        <v>4.25</v>
      </c>
      <c r="AI117" s="228">
        <v>-0.8</v>
      </c>
      <c r="AJ117" s="229">
        <v>6.6E-3</v>
      </c>
      <c r="AK117" s="228">
        <v>5.75</v>
      </c>
      <c r="AL117" s="228">
        <v>8</v>
      </c>
      <c r="AM117" s="228">
        <v>-2.25</v>
      </c>
      <c r="AN117" s="229">
        <v>1.0999999999999999E-2</v>
      </c>
      <c r="AO117" s="228">
        <v>526.38</v>
      </c>
      <c r="AP117" s="228">
        <v>529.62</v>
      </c>
      <c r="AQ117" s="228">
        <v>0</v>
      </c>
      <c r="AR117" s="230">
        <v>1941000</v>
      </c>
      <c r="AS117" s="230">
        <v>2786000</v>
      </c>
      <c r="AT117" s="230">
        <v>-845000</v>
      </c>
      <c r="AU117" s="229">
        <v>-0.30330000000000001</v>
      </c>
      <c r="AV117" s="230">
        <v>1568000</v>
      </c>
      <c r="AW117" s="230">
        <v>2241000</v>
      </c>
      <c r="AX117" s="230">
        <v>-673000</v>
      </c>
      <c r="AY117" s="229">
        <v>-0.30030000000000001</v>
      </c>
      <c r="AZ117" s="230">
        <v>350000</v>
      </c>
      <c r="BA117" s="230">
        <v>504000</v>
      </c>
      <c r="BB117" s="230">
        <v>-154000</v>
      </c>
      <c r="BC117" s="229">
        <v>-0.30559999999999998</v>
      </c>
      <c r="BD117" s="230">
        <v>23000</v>
      </c>
      <c r="BE117" s="230">
        <v>41000</v>
      </c>
      <c r="BF117" s="230">
        <v>-18000</v>
      </c>
      <c r="BG117" s="229">
        <v>-0.439</v>
      </c>
      <c r="BH117" s="230">
        <v>5456000</v>
      </c>
      <c r="BI117" s="230">
        <v>6384000</v>
      </c>
      <c r="BJ117" s="230">
        <v>-928000</v>
      </c>
      <c r="BK117" s="229">
        <v>-0.1454</v>
      </c>
      <c r="BL117" s="230">
        <v>1756000</v>
      </c>
      <c r="BM117" s="230">
        <v>1589000</v>
      </c>
      <c r="BN117" s="230">
        <v>167000</v>
      </c>
      <c r="BO117" s="229">
        <v>0.1051</v>
      </c>
      <c r="BP117" s="230">
        <v>9153000</v>
      </c>
      <c r="BQ117" s="230">
        <v>10759000</v>
      </c>
      <c r="BR117" s="230">
        <v>-1606000</v>
      </c>
      <c r="BS117" s="229">
        <v>-0.14929999999999999</v>
      </c>
      <c r="BT117" s="230">
        <v>717998</v>
      </c>
      <c r="BU117" s="230">
        <v>1476345</v>
      </c>
      <c r="BV117" s="230">
        <v>-758347</v>
      </c>
      <c r="BW117" s="229">
        <v>-0.51370000000000005</v>
      </c>
      <c r="BX117" s="230">
        <v>35773000</v>
      </c>
      <c r="BY117" s="230">
        <v>35561000</v>
      </c>
      <c r="BZ117" s="230">
        <v>212000</v>
      </c>
      <c r="CA117" s="229">
        <v>6.0000000000000001E-3</v>
      </c>
      <c r="CB117" s="230">
        <v>32805000</v>
      </c>
      <c r="CC117" s="230">
        <v>32743000</v>
      </c>
      <c r="CD117" s="230">
        <v>62000</v>
      </c>
      <c r="CE117" s="229">
        <v>1.9E-3</v>
      </c>
      <c r="CF117" s="230">
        <v>2731000</v>
      </c>
      <c r="CG117" s="230">
        <v>2585000</v>
      </c>
      <c r="CH117" s="230">
        <v>146000</v>
      </c>
      <c r="CI117" s="229">
        <v>5.6500000000000002E-2</v>
      </c>
      <c r="CJ117" s="230">
        <v>237000</v>
      </c>
      <c r="CK117" s="230">
        <v>233000</v>
      </c>
      <c r="CL117" s="230">
        <v>4000</v>
      </c>
      <c r="CM117" s="229">
        <v>1.72E-2</v>
      </c>
      <c r="CN117" s="230">
        <v>10732000</v>
      </c>
      <c r="CO117" s="230">
        <v>10806000</v>
      </c>
      <c r="CP117" s="230">
        <v>-74000</v>
      </c>
      <c r="CQ117" s="229">
        <v>-6.7999999999999996E-3</v>
      </c>
      <c r="CR117" s="230">
        <v>8010000</v>
      </c>
      <c r="CS117" s="230">
        <v>7972000</v>
      </c>
      <c r="CT117" s="230">
        <v>38000</v>
      </c>
      <c r="CU117" s="229">
        <v>4.7999999999999996E-3</v>
      </c>
      <c r="CV117" s="230">
        <v>54515000</v>
      </c>
      <c r="CW117" s="230">
        <v>54339000</v>
      </c>
      <c r="CX117" s="230">
        <v>176000</v>
      </c>
      <c r="CY117" s="229">
        <v>3.2000000000000002E-3</v>
      </c>
      <c r="CZ117" s="228">
        <v>19.36</v>
      </c>
      <c r="DA117" s="228">
        <v>20.23</v>
      </c>
      <c r="DB117" s="228">
        <v>-0.87</v>
      </c>
      <c r="DC117" s="228">
        <v>-0.87</v>
      </c>
      <c r="DD117" s="228">
        <v>32.72</v>
      </c>
      <c r="DE117" s="228">
        <v>32.799999999999997</v>
      </c>
      <c r="DF117" s="228">
        <v>-13.36</v>
      </c>
      <c r="DG117" s="228">
        <v>-0.08</v>
      </c>
      <c r="DH117" s="228">
        <v>19.420000000000002</v>
      </c>
      <c r="DI117" s="228">
        <v>20.440000000000001</v>
      </c>
      <c r="DJ117" s="228">
        <v>-1.02</v>
      </c>
      <c r="DK117" s="228">
        <v>-1.02</v>
      </c>
      <c r="DL117" s="228">
        <v>19.18</v>
      </c>
      <c r="DM117" s="228">
        <v>19.36</v>
      </c>
      <c r="DN117" s="228">
        <v>-0.18</v>
      </c>
      <c r="DO117" s="228">
        <v>-0.18</v>
      </c>
      <c r="DP117" s="228">
        <v>0.75</v>
      </c>
      <c r="DQ117" s="228">
        <v>0.74</v>
      </c>
      <c r="DR117" s="228">
        <v>0.01</v>
      </c>
      <c r="DS117" s="229">
        <v>1.35E-2</v>
      </c>
      <c r="DT117" s="228">
        <v>550</v>
      </c>
      <c r="DU117" s="228">
        <v>550</v>
      </c>
      <c r="DV117" s="228">
        <v>0.32</v>
      </c>
      <c r="DW117" s="228">
        <v>0.25</v>
      </c>
      <c r="DX117" s="228">
        <v>7.0000000000000007E-2</v>
      </c>
      <c r="DY117" s="229">
        <v>0.28000000000000003</v>
      </c>
      <c r="DZ117" s="229">
        <v>8.3000000000000004E-2</v>
      </c>
      <c r="EA117" s="230">
        <v>2818000</v>
      </c>
      <c r="EB117" s="229">
        <v>6.7000000000000002E-3</v>
      </c>
      <c r="EC117" s="229">
        <v>8.3000000000000004E-2</v>
      </c>
      <c r="ED117" s="228">
        <v>3.24</v>
      </c>
      <c r="EE117" s="229">
        <v>6.1999999999999998E-3</v>
      </c>
      <c r="EF117" s="230">
        <v>419441</v>
      </c>
      <c r="EG117" s="230">
        <v>1040237</v>
      </c>
      <c r="EH117" s="229">
        <v>-0.5968</v>
      </c>
      <c r="EI117" s="229">
        <v>0.58420000000000005</v>
      </c>
      <c r="EJ117" s="231">
        <v>29811.57</v>
      </c>
      <c r="EK117" s="231">
        <v>9204.49</v>
      </c>
      <c r="EL117" s="231">
        <v>10229.780000000001</v>
      </c>
      <c r="EM117" s="231">
        <v>2584</v>
      </c>
      <c r="EN117" s="231">
        <v>49245.84</v>
      </c>
      <c r="EO117" s="231">
        <v>58225.04</v>
      </c>
      <c r="EP117" s="231">
        <v>-8979.2000000000007</v>
      </c>
      <c r="EQ117" s="229">
        <v>-0.1542</v>
      </c>
      <c r="ER117" s="231">
        <v>60319</v>
      </c>
      <c r="ES117" s="231">
        <v>43982</v>
      </c>
      <c r="ET117" s="231">
        <v>187828</v>
      </c>
      <c r="EU117" s="231">
        <v>45183075</v>
      </c>
      <c r="EV117" s="231">
        <v>292128</v>
      </c>
      <c r="EW117" s="231">
        <v>292123</v>
      </c>
      <c r="EX117" s="228">
        <v>5</v>
      </c>
      <c r="EY117" s="229">
        <v>0</v>
      </c>
      <c r="EZ117" s="229">
        <v>1.2064999999999999</v>
      </c>
      <c r="FA117" s="227" t="s">
        <v>567</v>
      </c>
      <c r="FB117" s="161">
        <f t="shared" si="1"/>
        <v>2968000</v>
      </c>
    </row>
    <row r="118" spans="1:158" ht="17.25" hidden="1" thickBot="1" x14ac:dyDescent="0.3">
      <c r="A118" s="226">
        <v>46008</v>
      </c>
      <c r="B118" s="227" t="s">
        <v>175</v>
      </c>
      <c r="C118" s="227" t="s">
        <v>607</v>
      </c>
      <c r="D118" s="228">
        <v>700</v>
      </c>
      <c r="E118" s="228">
        <v>847.1</v>
      </c>
      <c r="F118" s="228">
        <v>856.65</v>
      </c>
      <c r="G118" s="228">
        <v>-9.5500000000000007</v>
      </c>
      <c r="H118" s="229">
        <v>-1.11E-2</v>
      </c>
      <c r="I118" s="228">
        <v>844.55</v>
      </c>
      <c r="J118" s="228">
        <v>854.5</v>
      </c>
      <c r="K118" s="228">
        <v>-9.9499999999999993</v>
      </c>
      <c r="L118" s="229">
        <v>-1.1599999999999999E-2</v>
      </c>
      <c r="M118" s="228">
        <v>847.1</v>
      </c>
      <c r="N118" s="228">
        <v>856.65</v>
      </c>
      <c r="O118" s="228">
        <v>-9.5500000000000007</v>
      </c>
      <c r="P118" s="229">
        <v>-1.11E-2</v>
      </c>
      <c r="Q118" s="228">
        <v>852.2</v>
      </c>
      <c r="R118" s="228">
        <v>862.85</v>
      </c>
      <c r="S118" s="228">
        <v>-10.65</v>
      </c>
      <c r="T118" s="229">
        <v>-1.23E-2</v>
      </c>
      <c r="U118" s="228">
        <v>855.75</v>
      </c>
      <c r="V118" s="228">
        <v>865.3</v>
      </c>
      <c r="W118" s="228">
        <v>-9.5500000000000007</v>
      </c>
      <c r="X118" s="229">
        <v>-1.0999999999999999E-2</v>
      </c>
      <c r="Y118" s="228">
        <v>2.5499999999999998</v>
      </c>
      <c r="Z118" s="228">
        <v>2.15</v>
      </c>
      <c r="AA118" s="228">
        <v>0.4</v>
      </c>
      <c r="AB118" s="229">
        <v>3.0000000000000001E-3</v>
      </c>
      <c r="AC118" s="228">
        <v>2.5499999999999998</v>
      </c>
      <c r="AD118" s="228">
        <v>2.15</v>
      </c>
      <c r="AE118" s="228">
        <v>0.4</v>
      </c>
      <c r="AF118" s="229">
        <v>3.0000000000000001E-3</v>
      </c>
      <c r="AG118" s="228">
        <v>7.65</v>
      </c>
      <c r="AH118" s="228">
        <v>8.35</v>
      </c>
      <c r="AI118" s="228">
        <v>-0.7</v>
      </c>
      <c r="AJ118" s="229">
        <v>9.1000000000000004E-3</v>
      </c>
      <c r="AK118" s="228">
        <v>11.2</v>
      </c>
      <c r="AL118" s="228">
        <v>10.8</v>
      </c>
      <c r="AM118" s="228">
        <v>0.4</v>
      </c>
      <c r="AN118" s="229">
        <v>1.3299999999999999E-2</v>
      </c>
      <c r="AO118" s="228">
        <v>851.09</v>
      </c>
      <c r="AP118" s="228">
        <v>855.38</v>
      </c>
      <c r="AQ118" s="228">
        <v>0</v>
      </c>
      <c r="AR118" s="230">
        <v>1478400</v>
      </c>
      <c r="AS118" s="230">
        <v>2281300</v>
      </c>
      <c r="AT118" s="230">
        <v>-802900</v>
      </c>
      <c r="AU118" s="229">
        <v>-0.35189999999999999</v>
      </c>
      <c r="AV118" s="230">
        <v>1200500</v>
      </c>
      <c r="AW118" s="230">
        <v>1850800</v>
      </c>
      <c r="AX118" s="230">
        <v>-650300</v>
      </c>
      <c r="AY118" s="229">
        <v>-0.35139999999999999</v>
      </c>
      <c r="AZ118" s="230">
        <v>221200</v>
      </c>
      <c r="BA118" s="230">
        <v>364700</v>
      </c>
      <c r="BB118" s="230">
        <v>-143500</v>
      </c>
      <c r="BC118" s="229">
        <v>-0.39350000000000002</v>
      </c>
      <c r="BD118" s="230">
        <v>56700</v>
      </c>
      <c r="BE118" s="230">
        <v>65800</v>
      </c>
      <c r="BF118" s="230">
        <v>-9100</v>
      </c>
      <c r="BG118" s="229">
        <v>-0.13830000000000001</v>
      </c>
      <c r="BH118" s="230">
        <v>5096000</v>
      </c>
      <c r="BI118" s="230">
        <v>7012600</v>
      </c>
      <c r="BJ118" s="230">
        <v>-1916600</v>
      </c>
      <c r="BK118" s="229">
        <v>-0.27329999999999999</v>
      </c>
      <c r="BL118" s="230">
        <v>2377900</v>
      </c>
      <c r="BM118" s="230">
        <v>2316300</v>
      </c>
      <c r="BN118" s="230">
        <v>61600</v>
      </c>
      <c r="BO118" s="229">
        <v>2.6599999999999999E-2</v>
      </c>
      <c r="BP118" s="230">
        <v>8952300</v>
      </c>
      <c r="BQ118" s="230">
        <v>11610200</v>
      </c>
      <c r="BR118" s="230">
        <v>-2657900</v>
      </c>
      <c r="BS118" s="229">
        <v>-0.22889999999999999</v>
      </c>
      <c r="BT118" s="230">
        <v>771112</v>
      </c>
      <c r="BU118" s="230">
        <v>1316333</v>
      </c>
      <c r="BV118" s="230">
        <v>-545221</v>
      </c>
      <c r="BW118" s="229">
        <v>-0.41420000000000001</v>
      </c>
      <c r="BX118" s="230">
        <v>11551400</v>
      </c>
      <c r="BY118" s="230">
        <v>11543700</v>
      </c>
      <c r="BZ118" s="230">
        <v>7700</v>
      </c>
      <c r="CA118" s="229">
        <v>6.9999999999999999E-4</v>
      </c>
      <c r="CB118" s="230">
        <v>9847600</v>
      </c>
      <c r="CC118" s="230">
        <v>9977800</v>
      </c>
      <c r="CD118" s="230">
        <v>-130200</v>
      </c>
      <c r="CE118" s="229">
        <v>-1.2999999999999999E-2</v>
      </c>
      <c r="CF118" s="230">
        <v>1481200</v>
      </c>
      <c r="CG118" s="230">
        <v>1371300</v>
      </c>
      <c r="CH118" s="230">
        <v>109900</v>
      </c>
      <c r="CI118" s="229">
        <v>8.0100000000000005E-2</v>
      </c>
      <c r="CJ118" s="230">
        <v>222600</v>
      </c>
      <c r="CK118" s="230">
        <v>194600</v>
      </c>
      <c r="CL118" s="230">
        <v>28000</v>
      </c>
      <c r="CM118" s="229">
        <v>0.1439</v>
      </c>
      <c r="CN118" s="230">
        <v>9514400</v>
      </c>
      <c r="CO118" s="230">
        <v>9268700</v>
      </c>
      <c r="CP118" s="230">
        <v>245700</v>
      </c>
      <c r="CQ118" s="229">
        <v>2.6499999999999999E-2</v>
      </c>
      <c r="CR118" s="230">
        <v>4528300</v>
      </c>
      <c r="CS118" s="230">
        <v>4683000</v>
      </c>
      <c r="CT118" s="230">
        <v>-154700</v>
      </c>
      <c r="CU118" s="229">
        <v>-3.3000000000000002E-2</v>
      </c>
      <c r="CV118" s="230">
        <v>25594100</v>
      </c>
      <c r="CW118" s="230">
        <v>25495400</v>
      </c>
      <c r="CX118" s="230">
        <v>98700</v>
      </c>
      <c r="CY118" s="229">
        <v>3.8999999999999998E-3</v>
      </c>
      <c r="CZ118" s="228">
        <v>19.329999999999998</v>
      </c>
      <c r="DA118" s="228">
        <v>19.8</v>
      </c>
      <c r="DB118" s="228">
        <v>-0.47</v>
      </c>
      <c r="DC118" s="228">
        <v>-0.47</v>
      </c>
      <c r="DD118" s="228">
        <v>30.53</v>
      </c>
      <c r="DE118" s="228">
        <v>30.57</v>
      </c>
      <c r="DF118" s="228">
        <v>-11.2</v>
      </c>
      <c r="DG118" s="228">
        <v>-0.04</v>
      </c>
      <c r="DH118" s="228">
        <v>19.989999999999998</v>
      </c>
      <c r="DI118" s="228">
        <v>20.11</v>
      </c>
      <c r="DJ118" s="228">
        <v>-0.12</v>
      </c>
      <c r="DK118" s="228">
        <v>-0.12</v>
      </c>
      <c r="DL118" s="228">
        <v>17.940000000000001</v>
      </c>
      <c r="DM118" s="228">
        <v>18.87</v>
      </c>
      <c r="DN118" s="228">
        <v>-0.93</v>
      </c>
      <c r="DO118" s="228">
        <v>-0.93</v>
      </c>
      <c r="DP118" s="228">
        <v>0.48</v>
      </c>
      <c r="DQ118" s="228">
        <v>0.51</v>
      </c>
      <c r="DR118" s="228">
        <v>-0.03</v>
      </c>
      <c r="DS118" s="229">
        <v>-5.8799999999999998E-2</v>
      </c>
      <c r="DT118" s="228">
        <v>900</v>
      </c>
      <c r="DU118" s="228">
        <v>900</v>
      </c>
      <c r="DV118" s="228">
        <v>0.47</v>
      </c>
      <c r="DW118" s="228">
        <v>0.33</v>
      </c>
      <c r="DX118" s="228">
        <v>0.14000000000000001</v>
      </c>
      <c r="DY118" s="229">
        <v>0.42420000000000002</v>
      </c>
      <c r="DZ118" s="229">
        <v>0.14749999999999999</v>
      </c>
      <c r="EA118" s="230">
        <v>1565900</v>
      </c>
      <c r="EB118" s="229">
        <v>6.0000000000000001E-3</v>
      </c>
      <c r="EC118" s="229">
        <v>0.14749999999999999</v>
      </c>
      <c r="ED118" s="228">
        <v>4.29</v>
      </c>
      <c r="EE118" s="229">
        <v>5.0000000000000001E-3</v>
      </c>
      <c r="EF118" s="230">
        <v>438211</v>
      </c>
      <c r="EG118" s="230">
        <v>799345</v>
      </c>
      <c r="EH118" s="229">
        <v>-0.45179999999999998</v>
      </c>
      <c r="EI118" s="229">
        <v>0.56830000000000003</v>
      </c>
      <c r="EJ118" s="231">
        <v>45245.13</v>
      </c>
      <c r="EK118" s="231">
        <v>20122.96</v>
      </c>
      <c r="EL118" s="231">
        <v>12596.18</v>
      </c>
      <c r="EM118" s="231">
        <v>2461</v>
      </c>
      <c r="EN118" s="231">
        <v>77964.27</v>
      </c>
      <c r="EO118" s="231">
        <v>101600.75</v>
      </c>
      <c r="EP118" s="231">
        <v>-23636.48</v>
      </c>
      <c r="EQ118" s="229">
        <v>-0.2326</v>
      </c>
      <c r="ER118" s="231">
        <v>86419</v>
      </c>
      <c r="ES118" s="231">
        <v>38972</v>
      </c>
      <c r="ET118" s="231">
        <v>97947</v>
      </c>
      <c r="EU118" s="231">
        <v>32057152</v>
      </c>
      <c r="EV118" s="231">
        <v>223338</v>
      </c>
      <c r="EW118" s="231">
        <v>223690</v>
      </c>
      <c r="EX118" s="228">
        <v>-352</v>
      </c>
      <c r="EY118" s="229">
        <v>-1.6000000000000001E-3</v>
      </c>
      <c r="EZ118" s="229">
        <v>0.7984</v>
      </c>
      <c r="FA118" s="227" t="s">
        <v>567</v>
      </c>
      <c r="FB118" s="161">
        <f t="shared" si="1"/>
        <v>1703800</v>
      </c>
    </row>
    <row r="119" spans="1:158" ht="17.25" hidden="1" thickBot="1" x14ac:dyDescent="0.3">
      <c r="A119" s="226">
        <v>46008</v>
      </c>
      <c r="B119" s="227" t="s">
        <v>206</v>
      </c>
      <c r="C119" s="227" t="s">
        <v>588</v>
      </c>
      <c r="D119" s="228">
        <v>450</v>
      </c>
      <c r="E119" s="231">
        <v>1064.7</v>
      </c>
      <c r="F119" s="231">
        <v>1076</v>
      </c>
      <c r="G119" s="228">
        <v>-11.3</v>
      </c>
      <c r="H119" s="229">
        <v>-1.0500000000000001E-2</v>
      </c>
      <c r="I119" s="231">
        <v>1063.8</v>
      </c>
      <c r="J119" s="231">
        <v>1075.4000000000001</v>
      </c>
      <c r="K119" s="228">
        <v>-11.6</v>
      </c>
      <c r="L119" s="229">
        <v>-1.0800000000000001E-2</v>
      </c>
      <c r="M119" s="231">
        <v>1064.7</v>
      </c>
      <c r="N119" s="231">
        <v>1076</v>
      </c>
      <c r="O119" s="228">
        <v>-11.3</v>
      </c>
      <c r="P119" s="229">
        <v>-1.0500000000000001E-2</v>
      </c>
      <c r="Q119" s="231">
        <v>1069.9000000000001</v>
      </c>
      <c r="R119" s="231">
        <v>1080.7</v>
      </c>
      <c r="S119" s="228">
        <v>-10.8</v>
      </c>
      <c r="T119" s="229">
        <v>-0.01</v>
      </c>
      <c r="U119" s="231">
        <v>1080.2</v>
      </c>
      <c r="V119" s="231">
        <v>1086.7</v>
      </c>
      <c r="W119" s="228">
        <v>-6.5</v>
      </c>
      <c r="X119" s="229">
        <v>-6.0000000000000001E-3</v>
      </c>
      <c r="Y119" s="228">
        <v>0.9</v>
      </c>
      <c r="Z119" s="228">
        <v>0.6</v>
      </c>
      <c r="AA119" s="228">
        <v>0.3</v>
      </c>
      <c r="AB119" s="229">
        <v>8.0000000000000004E-4</v>
      </c>
      <c r="AC119" s="228">
        <v>0.9</v>
      </c>
      <c r="AD119" s="228">
        <v>0.6</v>
      </c>
      <c r="AE119" s="228">
        <v>0.3</v>
      </c>
      <c r="AF119" s="229">
        <v>8.0000000000000004E-4</v>
      </c>
      <c r="AG119" s="228">
        <v>6.1</v>
      </c>
      <c r="AH119" s="228">
        <v>5.3</v>
      </c>
      <c r="AI119" s="228">
        <v>0.8</v>
      </c>
      <c r="AJ119" s="229">
        <v>5.7000000000000002E-3</v>
      </c>
      <c r="AK119" s="228">
        <v>16.399999999999999</v>
      </c>
      <c r="AL119" s="228">
        <v>11.3</v>
      </c>
      <c r="AM119" s="228">
        <v>5.0999999999999996</v>
      </c>
      <c r="AN119" s="229">
        <v>1.54E-2</v>
      </c>
      <c r="AO119" s="231">
        <v>1074.46</v>
      </c>
      <c r="AP119" s="231">
        <v>1078.8699999999999</v>
      </c>
      <c r="AQ119" s="228">
        <v>0</v>
      </c>
      <c r="AR119" s="230">
        <v>2084850</v>
      </c>
      <c r="AS119" s="230">
        <v>775800</v>
      </c>
      <c r="AT119" s="230">
        <v>1309050</v>
      </c>
      <c r="AU119" s="229">
        <v>1.6874</v>
      </c>
      <c r="AV119" s="230">
        <v>1404000</v>
      </c>
      <c r="AW119" s="230">
        <v>670500</v>
      </c>
      <c r="AX119" s="230">
        <v>733500</v>
      </c>
      <c r="AY119" s="229">
        <v>1.0940000000000001</v>
      </c>
      <c r="AZ119" s="230">
        <v>672300</v>
      </c>
      <c r="BA119" s="230">
        <v>93600</v>
      </c>
      <c r="BB119" s="230">
        <v>578700</v>
      </c>
      <c r="BC119" s="229">
        <v>6.1826999999999996</v>
      </c>
      <c r="BD119" s="230">
        <v>8550</v>
      </c>
      <c r="BE119" s="230">
        <v>11700</v>
      </c>
      <c r="BF119" s="230">
        <v>-3150</v>
      </c>
      <c r="BG119" s="229">
        <v>-0.26919999999999999</v>
      </c>
      <c r="BH119" s="230">
        <v>6896700</v>
      </c>
      <c r="BI119" s="230">
        <v>2930850</v>
      </c>
      <c r="BJ119" s="230">
        <v>3965850</v>
      </c>
      <c r="BK119" s="229">
        <v>1.3531</v>
      </c>
      <c r="BL119" s="230">
        <v>2281500</v>
      </c>
      <c r="BM119" s="230">
        <v>1007550</v>
      </c>
      <c r="BN119" s="230">
        <v>1273950</v>
      </c>
      <c r="BO119" s="229">
        <v>1.2644</v>
      </c>
      <c r="BP119" s="230">
        <v>11263050</v>
      </c>
      <c r="BQ119" s="230">
        <v>4714200</v>
      </c>
      <c r="BR119" s="230">
        <v>6548850</v>
      </c>
      <c r="BS119" s="229">
        <v>1.3892</v>
      </c>
      <c r="BT119" s="230">
        <v>1035150</v>
      </c>
      <c r="BU119" s="230">
        <v>466976</v>
      </c>
      <c r="BV119" s="230">
        <v>568174</v>
      </c>
      <c r="BW119" s="229">
        <v>1.2166999999999999</v>
      </c>
      <c r="BX119" s="230">
        <v>13173750</v>
      </c>
      <c r="BY119" s="230">
        <v>12888900</v>
      </c>
      <c r="BZ119" s="230">
        <v>284850</v>
      </c>
      <c r="CA119" s="229">
        <v>2.2100000000000002E-2</v>
      </c>
      <c r="CB119" s="230">
        <v>12316050</v>
      </c>
      <c r="CC119" s="230">
        <v>12427650</v>
      </c>
      <c r="CD119" s="230">
        <v>-111600</v>
      </c>
      <c r="CE119" s="229">
        <v>-8.9999999999999993E-3</v>
      </c>
      <c r="CF119" s="230">
        <v>783450</v>
      </c>
      <c r="CG119" s="230">
        <v>393300</v>
      </c>
      <c r="CH119" s="230">
        <v>390150</v>
      </c>
      <c r="CI119" s="229">
        <v>0.99199999999999999</v>
      </c>
      <c r="CJ119" s="230">
        <v>74250</v>
      </c>
      <c r="CK119" s="230">
        <v>67950</v>
      </c>
      <c r="CL119" s="230">
        <v>6300</v>
      </c>
      <c r="CM119" s="229">
        <v>9.2700000000000005E-2</v>
      </c>
      <c r="CN119" s="230">
        <v>5736150</v>
      </c>
      <c r="CO119" s="230">
        <v>4877550</v>
      </c>
      <c r="CP119" s="230">
        <v>858600</v>
      </c>
      <c r="CQ119" s="229">
        <v>0.17599999999999999</v>
      </c>
      <c r="CR119" s="230">
        <v>2313900</v>
      </c>
      <c r="CS119" s="230">
        <v>2153250</v>
      </c>
      <c r="CT119" s="230">
        <v>160650</v>
      </c>
      <c r="CU119" s="229">
        <v>7.46E-2</v>
      </c>
      <c r="CV119" s="230">
        <v>21223800</v>
      </c>
      <c r="CW119" s="230">
        <v>19919700</v>
      </c>
      <c r="CX119" s="230">
        <v>1304100</v>
      </c>
      <c r="CY119" s="229">
        <v>6.5500000000000003E-2</v>
      </c>
      <c r="CZ119" s="228">
        <v>28.75</v>
      </c>
      <c r="DA119" s="228">
        <v>27.58</v>
      </c>
      <c r="DB119" s="228">
        <v>1.17</v>
      </c>
      <c r="DC119" s="228">
        <v>1.17</v>
      </c>
      <c r="DD119" s="228">
        <v>44.01</v>
      </c>
      <c r="DE119" s="228">
        <v>44.09</v>
      </c>
      <c r="DF119" s="228">
        <v>-15.26</v>
      </c>
      <c r="DG119" s="228">
        <v>-0.08</v>
      </c>
      <c r="DH119" s="228">
        <v>29.48</v>
      </c>
      <c r="DI119" s="228">
        <v>28.44</v>
      </c>
      <c r="DJ119" s="228">
        <v>1.04</v>
      </c>
      <c r="DK119" s="228">
        <v>1.04</v>
      </c>
      <c r="DL119" s="228">
        <v>26.56</v>
      </c>
      <c r="DM119" s="228">
        <v>25.09</v>
      </c>
      <c r="DN119" s="228">
        <v>1.47</v>
      </c>
      <c r="DO119" s="228">
        <v>1.47</v>
      </c>
      <c r="DP119" s="228">
        <v>0.4</v>
      </c>
      <c r="DQ119" s="228">
        <v>0.44</v>
      </c>
      <c r="DR119" s="228">
        <v>-0.04</v>
      </c>
      <c r="DS119" s="229">
        <v>-9.0899999999999995E-2</v>
      </c>
      <c r="DT119" s="231">
        <v>1200</v>
      </c>
      <c r="DU119" s="231">
        <v>1000</v>
      </c>
      <c r="DV119" s="228">
        <v>0.33</v>
      </c>
      <c r="DW119" s="228">
        <v>0.34</v>
      </c>
      <c r="DX119" s="228">
        <v>-0.01</v>
      </c>
      <c r="DY119" s="229">
        <v>-2.9399999999999999E-2</v>
      </c>
      <c r="DZ119" s="229">
        <v>6.5100000000000005E-2</v>
      </c>
      <c r="EA119" s="230">
        <v>461250</v>
      </c>
      <c r="EB119" s="229">
        <v>4.8999999999999998E-3</v>
      </c>
      <c r="EC119" s="229">
        <v>6.5100000000000005E-2</v>
      </c>
      <c r="ED119" s="228">
        <v>4.41</v>
      </c>
      <c r="EE119" s="229">
        <v>4.1000000000000003E-3</v>
      </c>
      <c r="EF119" s="230">
        <v>371646</v>
      </c>
      <c r="EG119" s="230">
        <v>226529</v>
      </c>
      <c r="EH119" s="229">
        <v>0.64059999999999995</v>
      </c>
      <c r="EI119" s="229">
        <v>0.35899999999999999</v>
      </c>
      <c r="EJ119" s="231">
        <v>78186.78</v>
      </c>
      <c r="EK119" s="231">
        <v>24396.59</v>
      </c>
      <c r="EL119" s="231">
        <v>22431.89</v>
      </c>
      <c r="EM119" s="231">
        <v>2361</v>
      </c>
      <c r="EN119" s="231">
        <v>125015.26</v>
      </c>
      <c r="EO119" s="231">
        <v>53138.68</v>
      </c>
      <c r="EP119" s="231">
        <v>71876.58</v>
      </c>
      <c r="EQ119" s="229">
        <v>1.3526</v>
      </c>
      <c r="ER119" s="231">
        <v>66610</v>
      </c>
      <c r="ES119" s="231">
        <v>25507</v>
      </c>
      <c r="ET119" s="231">
        <v>140313</v>
      </c>
      <c r="EU119" s="231">
        <v>42060143</v>
      </c>
      <c r="EV119" s="231">
        <v>232430</v>
      </c>
      <c r="EW119" s="231">
        <v>219595</v>
      </c>
      <c r="EX119" s="231">
        <v>12835</v>
      </c>
      <c r="EY119" s="229">
        <v>5.8400000000000001E-2</v>
      </c>
      <c r="EZ119" s="229">
        <v>0.50460000000000005</v>
      </c>
      <c r="FA119" s="227" t="s">
        <v>567</v>
      </c>
      <c r="FB119" s="161">
        <f t="shared" si="1"/>
        <v>857700</v>
      </c>
    </row>
    <row r="120" spans="1:158" ht="17.25" hidden="1" thickBot="1" x14ac:dyDescent="0.3">
      <c r="A120" s="226">
        <v>46008</v>
      </c>
      <c r="B120" s="227" t="s">
        <v>184</v>
      </c>
      <c r="C120" s="227" t="s">
        <v>249</v>
      </c>
      <c r="D120" s="228">
        <v>175</v>
      </c>
      <c r="E120" s="231">
        <v>4068.7</v>
      </c>
      <c r="F120" s="231">
        <v>4068.8</v>
      </c>
      <c r="G120" s="228">
        <v>-0.1</v>
      </c>
      <c r="H120" s="229">
        <v>0</v>
      </c>
      <c r="I120" s="231">
        <v>4062.4</v>
      </c>
      <c r="J120" s="231">
        <v>4063.8</v>
      </c>
      <c r="K120" s="228">
        <v>-1.4</v>
      </c>
      <c r="L120" s="229">
        <v>-2.9999999999999997E-4</v>
      </c>
      <c r="M120" s="231">
        <v>4068.7</v>
      </c>
      <c r="N120" s="231">
        <v>4068.8</v>
      </c>
      <c r="O120" s="228">
        <v>-0.1</v>
      </c>
      <c r="P120" s="229">
        <v>0</v>
      </c>
      <c r="Q120" s="231">
        <v>4093.7</v>
      </c>
      <c r="R120" s="231">
        <v>4094.7</v>
      </c>
      <c r="S120" s="228">
        <v>-1</v>
      </c>
      <c r="T120" s="229">
        <v>-2.0000000000000001E-4</v>
      </c>
      <c r="U120" s="231">
        <v>4118.7</v>
      </c>
      <c r="V120" s="231">
        <v>4117</v>
      </c>
      <c r="W120" s="228">
        <v>1.7</v>
      </c>
      <c r="X120" s="229">
        <v>4.0000000000000002E-4</v>
      </c>
      <c r="Y120" s="228">
        <v>6.3</v>
      </c>
      <c r="Z120" s="228">
        <v>5</v>
      </c>
      <c r="AA120" s="228">
        <v>1.3</v>
      </c>
      <c r="AB120" s="229">
        <v>1.6000000000000001E-3</v>
      </c>
      <c r="AC120" s="228">
        <v>6.3</v>
      </c>
      <c r="AD120" s="228">
        <v>5</v>
      </c>
      <c r="AE120" s="228">
        <v>1.3</v>
      </c>
      <c r="AF120" s="229">
        <v>1.6000000000000001E-3</v>
      </c>
      <c r="AG120" s="228">
        <v>31.3</v>
      </c>
      <c r="AH120" s="228">
        <v>30.9</v>
      </c>
      <c r="AI120" s="228">
        <v>0.4</v>
      </c>
      <c r="AJ120" s="229">
        <v>7.7000000000000002E-3</v>
      </c>
      <c r="AK120" s="228">
        <v>56.3</v>
      </c>
      <c r="AL120" s="228">
        <v>53.2</v>
      </c>
      <c r="AM120" s="228">
        <v>3.1</v>
      </c>
      <c r="AN120" s="229">
        <v>1.3899999999999999E-2</v>
      </c>
      <c r="AO120" s="231">
        <v>4061.7</v>
      </c>
      <c r="AP120" s="231">
        <v>4087.68</v>
      </c>
      <c r="AQ120" s="228">
        <v>0</v>
      </c>
      <c r="AR120" s="230">
        <v>1012025</v>
      </c>
      <c r="AS120" s="230">
        <v>1513575</v>
      </c>
      <c r="AT120" s="230">
        <v>-501550</v>
      </c>
      <c r="AU120" s="229">
        <v>-0.33139999999999997</v>
      </c>
      <c r="AV120" s="230">
        <v>791700</v>
      </c>
      <c r="AW120" s="230">
        <v>1279425</v>
      </c>
      <c r="AX120" s="230">
        <v>-487725</v>
      </c>
      <c r="AY120" s="229">
        <v>-0.38119999999999998</v>
      </c>
      <c r="AZ120" s="230">
        <v>213325</v>
      </c>
      <c r="BA120" s="230">
        <v>228900</v>
      </c>
      <c r="BB120" s="230">
        <v>-15575</v>
      </c>
      <c r="BC120" s="229">
        <v>-6.8000000000000005E-2</v>
      </c>
      <c r="BD120" s="230">
        <v>7000</v>
      </c>
      <c r="BE120" s="230">
        <v>5250</v>
      </c>
      <c r="BF120" s="230">
        <v>1750</v>
      </c>
      <c r="BG120" s="229">
        <v>0.33329999999999999</v>
      </c>
      <c r="BH120" s="230">
        <v>3446800</v>
      </c>
      <c r="BI120" s="230">
        <v>3550050</v>
      </c>
      <c r="BJ120" s="230">
        <v>-103250</v>
      </c>
      <c r="BK120" s="229">
        <v>-2.9100000000000001E-2</v>
      </c>
      <c r="BL120" s="230">
        <v>2339575</v>
      </c>
      <c r="BM120" s="230">
        <v>2197475</v>
      </c>
      <c r="BN120" s="230">
        <v>142100</v>
      </c>
      <c r="BO120" s="229">
        <v>6.4699999999999994E-2</v>
      </c>
      <c r="BP120" s="230">
        <v>6798400</v>
      </c>
      <c r="BQ120" s="230">
        <v>7261100</v>
      </c>
      <c r="BR120" s="230">
        <v>-462700</v>
      </c>
      <c r="BS120" s="229">
        <v>-6.3700000000000007E-2</v>
      </c>
      <c r="BT120" s="230">
        <v>1103665</v>
      </c>
      <c r="BU120" s="230">
        <v>2223347</v>
      </c>
      <c r="BV120" s="230">
        <v>-1119682</v>
      </c>
      <c r="BW120" s="229">
        <v>-0.50360000000000005</v>
      </c>
      <c r="BX120" s="230">
        <v>13672225</v>
      </c>
      <c r="BY120" s="230">
        <v>13706175</v>
      </c>
      <c r="BZ120" s="230">
        <v>-33950</v>
      </c>
      <c r="CA120" s="229">
        <v>-2.5000000000000001E-3</v>
      </c>
      <c r="CB120" s="230">
        <v>11724650</v>
      </c>
      <c r="CC120" s="230">
        <v>11922925</v>
      </c>
      <c r="CD120" s="230">
        <v>-198275</v>
      </c>
      <c r="CE120" s="229">
        <v>-1.66E-2</v>
      </c>
      <c r="CF120" s="230">
        <v>1871450</v>
      </c>
      <c r="CG120" s="230">
        <v>1708175</v>
      </c>
      <c r="CH120" s="230">
        <v>163275</v>
      </c>
      <c r="CI120" s="229">
        <v>9.5600000000000004E-2</v>
      </c>
      <c r="CJ120" s="230">
        <v>76125</v>
      </c>
      <c r="CK120" s="230">
        <v>75075</v>
      </c>
      <c r="CL120" s="230">
        <v>1050</v>
      </c>
      <c r="CM120" s="229">
        <v>1.4E-2</v>
      </c>
      <c r="CN120" s="230">
        <v>5687850</v>
      </c>
      <c r="CO120" s="230">
        <v>5783225</v>
      </c>
      <c r="CP120" s="230">
        <v>-95375</v>
      </c>
      <c r="CQ120" s="229">
        <v>-1.6500000000000001E-2</v>
      </c>
      <c r="CR120" s="230">
        <v>3238200</v>
      </c>
      <c r="CS120" s="230">
        <v>3323425</v>
      </c>
      <c r="CT120" s="230">
        <v>-85225</v>
      </c>
      <c r="CU120" s="229">
        <v>-2.5600000000000001E-2</v>
      </c>
      <c r="CV120" s="230">
        <v>22598275</v>
      </c>
      <c r="CW120" s="230">
        <v>22812825</v>
      </c>
      <c r="CX120" s="230">
        <v>-214550</v>
      </c>
      <c r="CY120" s="229">
        <v>-9.4000000000000004E-3</v>
      </c>
      <c r="CZ120" s="228">
        <v>14.65</v>
      </c>
      <c r="DA120" s="228">
        <v>14.49</v>
      </c>
      <c r="DB120" s="228">
        <v>0.16</v>
      </c>
      <c r="DC120" s="228">
        <v>0.16</v>
      </c>
      <c r="DD120" s="228">
        <v>26.08</v>
      </c>
      <c r="DE120" s="228">
        <v>26.15</v>
      </c>
      <c r="DF120" s="228">
        <v>-11.43</v>
      </c>
      <c r="DG120" s="228">
        <v>-7.0000000000000007E-2</v>
      </c>
      <c r="DH120" s="228">
        <v>14.64</v>
      </c>
      <c r="DI120" s="228">
        <v>14.42</v>
      </c>
      <c r="DJ120" s="228">
        <v>0.22</v>
      </c>
      <c r="DK120" s="228">
        <v>0.22</v>
      </c>
      <c r="DL120" s="228">
        <v>14.68</v>
      </c>
      <c r="DM120" s="228">
        <v>14.61</v>
      </c>
      <c r="DN120" s="228">
        <v>7.0000000000000007E-2</v>
      </c>
      <c r="DO120" s="228">
        <v>7.0000000000000007E-2</v>
      </c>
      <c r="DP120" s="228">
        <v>0.56999999999999995</v>
      </c>
      <c r="DQ120" s="228">
        <v>0.56999999999999995</v>
      </c>
      <c r="DR120" s="228">
        <v>0</v>
      </c>
      <c r="DS120" s="229">
        <v>0</v>
      </c>
      <c r="DT120" s="231">
        <v>4100</v>
      </c>
      <c r="DU120" s="231">
        <v>4000</v>
      </c>
      <c r="DV120" s="228">
        <v>0.68</v>
      </c>
      <c r="DW120" s="228">
        <v>0.62</v>
      </c>
      <c r="DX120" s="228">
        <v>0.06</v>
      </c>
      <c r="DY120" s="229">
        <v>9.6799999999999997E-2</v>
      </c>
      <c r="DZ120" s="229">
        <v>0.1424</v>
      </c>
      <c r="EA120" s="230">
        <v>1783250</v>
      </c>
      <c r="EB120" s="229">
        <v>6.1000000000000004E-3</v>
      </c>
      <c r="EC120" s="229">
        <v>0.1424</v>
      </c>
      <c r="ED120" s="228">
        <v>25.98</v>
      </c>
      <c r="EE120" s="229">
        <v>6.4000000000000003E-3</v>
      </c>
      <c r="EF120" s="230">
        <v>632372</v>
      </c>
      <c r="EG120" s="230">
        <v>1575272</v>
      </c>
      <c r="EH120" s="229">
        <v>-0.59860000000000002</v>
      </c>
      <c r="EI120" s="229">
        <v>0.57299999999999995</v>
      </c>
      <c r="EJ120" s="231">
        <v>142613.24</v>
      </c>
      <c r="EK120" s="231">
        <v>95087.49</v>
      </c>
      <c r="EL120" s="231">
        <v>41164.32</v>
      </c>
      <c r="EM120" s="231">
        <v>9348</v>
      </c>
      <c r="EN120" s="231">
        <v>278865.05</v>
      </c>
      <c r="EO120" s="231">
        <v>298589.84999999998</v>
      </c>
      <c r="EP120" s="231">
        <v>-19724.8</v>
      </c>
      <c r="EQ120" s="229">
        <v>-6.6100000000000006E-2</v>
      </c>
      <c r="ER120" s="231">
        <v>236022</v>
      </c>
      <c r="ES120" s="231">
        <v>127642</v>
      </c>
      <c r="ET120" s="231">
        <v>556788</v>
      </c>
      <c r="EU120" s="231">
        <v>136007303</v>
      </c>
      <c r="EV120" s="231">
        <v>920452</v>
      </c>
      <c r="EW120" s="231">
        <v>929179</v>
      </c>
      <c r="EX120" s="231">
        <v>-8727</v>
      </c>
      <c r="EY120" s="229">
        <v>-9.4000000000000004E-3</v>
      </c>
      <c r="EZ120" s="229">
        <v>0.16619999999999999</v>
      </c>
      <c r="FA120" s="227" t="s">
        <v>237</v>
      </c>
      <c r="FB120" s="161">
        <f t="shared" si="1"/>
        <v>1947575</v>
      </c>
    </row>
    <row r="121" spans="1:158" ht="17.25" hidden="1" thickBot="1" x14ac:dyDescent="0.3">
      <c r="A121" s="226">
        <v>46008</v>
      </c>
      <c r="B121" s="227" t="s">
        <v>175</v>
      </c>
      <c r="C121" s="227" t="s">
        <v>565</v>
      </c>
      <c r="D121" s="228">
        <v>4462</v>
      </c>
      <c r="E121" s="228">
        <v>303.05</v>
      </c>
      <c r="F121" s="228">
        <v>301.55</v>
      </c>
      <c r="G121" s="228">
        <v>1.5</v>
      </c>
      <c r="H121" s="229">
        <v>5.0000000000000001E-3</v>
      </c>
      <c r="I121" s="228">
        <v>301.89999999999998</v>
      </c>
      <c r="J121" s="228">
        <v>300.8</v>
      </c>
      <c r="K121" s="228">
        <v>1.1000000000000001</v>
      </c>
      <c r="L121" s="229">
        <v>3.7000000000000002E-3</v>
      </c>
      <c r="M121" s="228">
        <v>303.05</v>
      </c>
      <c r="N121" s="228">
        <v>301.55</v>
      </c>
      <c r="O121" s="228">
        <v>1.5</v>
      </c>
      <c r="P121" s="229">
        <v>5.0000000000000001E-3</v>
      </c>
      <c r="Q121" s="228">
        <v>304.3</v>
      </c>
      <c r="R121" s="228">
        <v>303.45</v>
      </c>
      <c r="S121" s="228">
        <v>0.85</v>
      </c>
      <c r="T121" s="229">
        <v>2.8E-3</v>
      </c>
      <c r="U121" s="228">
        <v>306</v>
      </c>
      <c r="V121" s="228">
        <v>304.64999999999998</v>
      </c>
      <c r="W121" s="228">
        <v>1.35</v>
      </c>
      <c r="X121" s="229">
        <v>4.4000000000000003E-3</v>
      </c>
      <c r="Y121" s="228">
        <v>1.1499999999999999</v>
      </c>
      <c r="Z121" s="228">
        <v>0.75</v>
      </c>
      <c r="AA121" s="228">
        <v>0.4</v>
      </c>
      <c r="AB121" s="229">
        <v>3.8E-3</v>
      </c>
      <c r="AC121" s="228">
        <v>1.1499999999999999</v>
      </c>
      <c r="AD121" s="228">
        <v>0.75</v>
      </c>
      <c r="AE121" s="228">
        <v>0.4</v>
      </c>
      <c r="AF121" s="229">
        <v>3.8E-3</v>
      </c>
      <c r="AG121" s="228">
        <v>2.4</v>
      </c>
      <c r="AH121" s="228">
        <v>2.65</v>
      </c>
      <c r="AI121" s="228">
        <v>-0.25</v>
      </c>
      <c r="AJ121" s="229">
        <v>7.9000000000000008E-3</v>
      </c>
      <c r="AK121" s="228">
        <v>4.0999999999999996</v>
      </c>
      <c r="AL121" s="228">
        <v>3.85</v>
      </c>
      <c r="AM121" s="228">
        <v>0.25</v>
      </c>
      <c r="AN121" s="229">
        <v>1.3599999999999999E-2</v>
      </c>
      <c r="AO121" s="228">
        <v>303.89999999999998</v>
      </c>
      <c r="AP121" s="228">
        <v>305.08999999999997</v>
      </c>
      <c r="AQ121" s="228">
        <v>0</v>
      </c>
      <c r="AR121" s="230">
        <v>11935850</v>
      </c>
      <c r="AS121" s="230">
        <v>8745520</v>
      </c>
      <c r="AT121" s="230">
        <v>3190330</v>
      </c>
      <c r="AU121" s="229">
        <v>0.36480000000000001</v>
      </c>
      <c r="AV121" s="230">
        <v>9682540</v>
      </c>
      <c r="AW121" s="230">
        <v>7674640</v>
      </c>
      <c r="AX121" s="230">
        <v>2007900</v>
      </c>
      <c r="AY121" s="229">
        <v>0.2616</v>
      </c>
      <c r="AZ121" s="230">
        <v>2164070</v>
      </c>
      <c r="BA121" s="230">
        <v>999488</v>
      </c>
      <c r="BB121" s="230">
        <v>1164582</v>
      </c>
      <c r="BC121" s="229">
        <v>1.1652</v>
      </c>
      <c r="BD121" s="230">
        <v>89240</v>
      </c>
      <c r="BE121" s="230">
        <v>71392</v>
      </c>
      <c r="BF121" s="230">
        <v>17848</v>
      </c>
      <c r="BG121" s="229">
        <v>0.25</v>
      </c>
      <c r="BH121" s="230">
        <v>36307294</v>
      </c>
      <c r="BI121" s="230">
        <v>32786776</v>
      </c>
      <c r="BJ121" s="230">
        <v>3520518</v>
      </c>
      <c r="BK121" s="229">
        <v>0.1074</v>
      </c>
      <c r="BL121" s="230">
        <v>16884208</v>
      </c>
      <c r="BM121" s="230">
        <v>10606174</v>
      </c>
      <c r="BN121" s="230">
        <v>6278034</v>
      </c>
      <c r="BO121" s="229">
        <v>0.59189999999999998</v>
      </c>
      <c r="BP121" s="230">
        <v>65127352</v>
      </c>
      <c r="BQ121" s="230">
        <v>52138470</v>
      </c>
      <c r="BR121" s="230">
        <v>12988882</v>
      </c>
      <c r="BS121" s="229">
        <v>0.24909999999999999</v>
      </c>
      <c r="BT121" s="230">
        <v>4179671</v>
      </c>
      <c r="BU121" s="230">
        <v>3096843</v>
      </c>
      <c r="BV121" s="230">
        <v>1082828</v>
      </c>
      <c r="BW121" s="229">
        <v>0.34970000000000001</v>
      </c>
      <c r="BX121" s="230">
        <v>40596504</v>
      </c>
      <c r="BY121" s="230">
        <v>40821748</v>
      </c>
      <c r="BZ121" s="230">
        <v>-225244</v>
      </c>
      <c r="CA121" s="229">
        <v>-5.4999999999999997E-3</v>
      </c>
      <c r="CB121" s="230">
        <v>38337504</v>
      </c>
      <c r="CC121" s="230">
        <v>38837248</v>
      </c>
      <c r="CD121" s="230">
        <v>-499744</v>
      </c>
      <c r="CE121" s="229">
        <v>-1.29E-2</v>
      </c>
      <c r="CF121" s="230">
        <v>2072250</v>
      </c>
      <c r="CG121" s="230">
        <v>1797750</v>
      </c>
      <c r="CH121" s="230">
        <v>274500</v>
      </c>
      <c r="CI121" s="229">
        <v>0.1527</v>
      </c>
      <c r="CJ121" s="230">
        <v>186750</v>
      </c>
      <c r="CK121" s="230">
        <v>186750</v>
      </c>
      <c r="CL121" s="228">
        <v>0</v>
      </c>
      <c r="CM121" s="229">
        <v>0</v>
      </c>
      <c r="CN121" s="230">
        <v>37459088</v>
      </c>
      <c r="CO121" s="230">
        <v>36243790</v>
      </c>
      <c r="CP121" s="230">
        <v>1215298</v>
      </c>
      <c r="CQ121" s="229">
        <v>3.3500000000000002E-2</v>
      </c>
      <c r="CR121" s="230">
        <v>24062614</v>
      </c>
      <c r="CS121" s="230">
        <v>23208662</v>
      </c>
      <c r="CT121" s="230">
        <v>853952</v>
      </c>
      <c r="CU121" s="229">
        <v>3.6799999999999999E-2</v>
      </c>
      <c r="CV121" s="230">
        <v>102118206</v>
      </c>
      <c r="CW121" s="230">
        <v>100274200</v>
      </c>
      <c r="CX121" s="230">
        <v>1844006</v>
      </c>
      <c r="CY121" s="229">
        <v>1.84E-2</v>
      </c>
      <c r="CZ121" s="228">
        <v>26.78</v>
      </c>
      <c r="DA121" s="228">
        <v>26.82</v>
      </c>
      <c r="DB121" s="228">
        <v>-0.04</v>
      </c>
      <c r="DC121" s="228">
        <v>-0.04</v>
      </c>
      <c r="DD121" s="228">
        <v>39</v>
      </c>
      <c r="DE121" s="228">
        <v>39.090000000000003</v>
      </c>
      <c r="DF121" s="228">
        <v>-12.22</v>
      </c>
      <c r="DG121" s="228">
        <v>-0.09</v>
      </c>
      <c r="DH121" s="228">
        <v>26.78</v>
      </c>
      <c r="DI121" s="228">
        <v>27.31</v>
      </c>
      <c r="DJ121" s="228">
        <v>-0.53</v>
      </c>
      <c r="DK121" s="228">
        <v>-0.53</v>
      </c>
      <c r="DL121" s="228">
        <v>26.79</v>
      </c>
      <c r="DM121" s="228">
        <v>25.29</v>
      </c>
      <c r="DN121" s="228">
        <v>1.5</v>
      </c>
      <c r="DO121" s="228">
        <v>1.5</v>
      </c>
      <c r="DP121" s="228">
        <v>0.64</v>
      </c>
      <c r="DQ121" s="228">
        <v>0.64</v>
      </c>
      <c r="DR121" s="228">
        <v>0</v>
      </c>
      <c r="DS121" s="229">
        <v>0</v>
      </c>
      <c r="DT121" s="228">
        <v>320</v>
      </c>
      <c r="DU121" s="228">
        <v>300</v>
      </c>
      <c r="DV121" s="228">
        <v>0.47</v>
      </c>
      <c r="DW121" s="228">
        <v>0.32</v>
      </c>
      <c r="DX121" s="228">
        <v>0.15</v>
      </c>
      <c r="DY121" s="229">
        <v>0.46870000000000001</v>
      </c>
      <c r="DZ121" s="229">
        <v>5.5599999999999997E-2</v>
      </c>
      <c r="EA121" s="230">
        <v>1984500</v>
      </c>
      <c r="EB121" s="229">
        <v>4.1000000000000003E-3</v>
      </c>
      <c r="EC121" s="229">
        <v>5.5599999999999997E-2</v>
      </c>
      <c r="ED121" s="228">
        <v>1.19</v>
      </c>
      <c r="EE121" s="229">
        <v>3.8999999999999998E-3</v>
      </c>
      <c r="EF121" s="230">
        <v>1945373</v>
      </c>
      <c r="EG121" s="230">
        <v>1144225</v>
      </c>
      <c r="EH121" s="229">
        <v>0.70020000000000004</v>
      </c>
      <c r="EI121" s="229">
        <v>0.46539999999999998</v>
      </c>
      <c r="EJ121" s="231">
        <v>112829.36</v>
      </c>
      <c r="EK121" s="231">
        <v>49234.93</v>
      </c>
      <c r="EL121" s="231">
        <v>32892.58</v>
      </c>
      <c r="EM121" s="231">
        <v>2364</v>
      </c>
      <c r="EN121" s="231">
        <v>194956.87</v>
      </c>
      <c r="EO121" s="231">
        <v>159446.41</v>
      </c>
      <c r="EP121" s="231">
        <v>35510.46</v>
      </c>
      <c r="EQ121" s="229">
        <v>0.22270000000000001</v>
      </c>
      <c r="ER121" s="231">
        <v>117986</v>
      </c>
      <c r="ES121" s="231">
        <v>70595</v>
      </c>
      <c r="ET121" s="231">
        <v>123059</v>
      </c>
      <c r="EU121" s="231">
        <v>126777205</v>
      </c>
      <c r="EV121" s="231">
        <v>311640</v>
      </c>
      <c r="EW121" s="231">
        <v>305520</v>
      </c>
      <c r="EX121" s="231">
        <v>6120</v>
      </c>
      <c r="EY121" s="229">
        <v>0.02</v>
      </c>
      <c r="EZ121" s="229">
        <v>0.80549999999999999</v>
      </c>
      <c r="FA121" s="227" t="s">
        <v>556</v>
      </c>
      <c r="FB121" s="161">
        <f t="shared" si="1"/>
        <v>2259000</v>
      </c>
    </row>
    <row r="122" spans="1:158" ht="17.25" hidden="1" thickBot="1" x14ac:dyDescent="0.3">
      <c r="A122" s="226">
        <v>46008</v>
      </c>
      <c r="B122" s="227" t="s">
        <v>221</v>
      </c>
      <c r="C122" s="227" t="s">
        <v>561</v>
      </c>
      <c r="D122" s="228">
        <v>150</v>
      </c>
      <c r="E122" s="231">
        <v>6270.5</v>
      </c>
      <c r="F122" s="231">
        <v>6228</v>
      </c>
      <c r="G122" s="228">
        <v>42.5</v>
      </c>
      <c r="H122" s="229">
        <v>6.7999999999999996E-3</v>
      </c>
      <c r="I122" s="231">
        <v>6252.5</v>
      </c>
      <c r="J122" s="231">
        <v>6216</v>
      </c>
      <c r="K122" s="228">
        <v>36.5</v>
      </c>
      <c r="L122" s="229">
        <v>5.8999999999999999E-3</v>
      </c>
      <c r="M122" s="231">
        <v>6270.5</v>
      </c>
      <c r="N122" s="231">
        <v>6228</v>
      </c>
      <c r="O122" s="228">
        <v>42.5</v>
      </c>
      <c r="P122" s="229">
        <v>6.7999999999999996E-3</v>
      </c>
      <c r="Q122" s="231">
        <v>6304</v>
      </c>
      <c r="R122" s="231">
        <v>6264.5</v>
      </c>
      <c r="S122" s="228">
        <v>39.5</v>
      </c>
      <c r="T122" s="229">
        <v>6.3E-3</v>
      </c>
      <c r="U122" s="231">
        <v>6316.5</v>
      </c>
      <c r="V122" s="231">
        <v>6296.5</v>
      </c>
      <c r="W122" s="228">
        <v>20</v>
      </c>
      <c r="X122" s="229">
        <v>3.2000000000000002E-3</v>
      </c>
      <c r="Y122" s="228">
        <v>18</v>
      </c>
      <c r="Z122" s="228">
        <v>12</v>
      </c>
      <c r="AA122" s="228">
        <v>6</v>
      </c>
      <c r="AB122" s="229">
        <v>2.8999999999999998E-3</v>
      </c>
      <c r="AC122" s="228">
        <v>18</v>
      </c>
      <c r="AD122" s="228">
        <v>12</v>
      </c>
      <c r="AE122" s="228">
        <v>6</v>
      </c>
      <c r="AF122" s="229">
        <v>2.8999999999999998E-3</v>
      </c>
      <c r="AG122" s="228">
        <v>51.5</v>
      </c>
      <c r="AH122" s="228">
        <v>48.5</v>
      </c>
      <c r="AI122" s="228">
        <v>3</v>
      </c>
      <c r="AJ122" s="229">
        <v>8.2000000000000007E-3</v>
      </c>
      <c r="AK122" s="228">
        <v>64</v>
      </c>
      <c r="AL122" s="228">
        <v>80.5</v>
      </c>
      <c r="AM122" s="228">
        <v>-16.5</v>
      </c>
      <c r="AN122" s="229">
        <v>1.0200000000000001E-2</v>
      </c>
      <c r="AO122" s="231">
        <v>6270.71</v>
      </c>
      <c r="AP122" s="231">
        <v>6301.96</v>
      </c>
      <c r="AQ122" s="228">
        <v>0</v>
      </c>
      <c r="AR122" s="230">
        <v>409350</v>
      </c>
      <c r="AS122" s="230">
        <v>401850</v>
      </c>
      <c r="AT122" s="230">
        <v>7500</v>
      </c>
      <c r="AU122" s="229">
        <v>1.8700000000000001E-2</v>
      </c>
      <c r="AV122" s="230">
        <v>343500</v>
      </c>
      <c r="AW122" s="230">
        <v>358800</v>
      </c>
      <c r="AX122" s="230">
        <v>-15300</v>
      </c>
      <c r="AY122" s="229">
        <v>-4.2599999999999999E-2</v>
      </c>
      <c r="AZ122" s="230">
        <v>65250</v>
      </c>
      <c r="BA122" s="230">
        <v>41700</v>
      </c>
      <c r="BB122" s="230">
        <v>23550</v>
      </c>
      <c r="BC122" s="229">
        <v>0.56469999999999998</v>
      </c>
      <c r="BD122" s="228">
        <v>600</v>
      </c>
      <c r="BE122" s="230">
        <v>1350</v>
      </c>
      <c r="BF122" s="228">
        <v>-750</v>
      </c>
      <c r="BG122" s="229">
        <v>-0.55559999999999998</v>
      </c>
      <c r="BH122" s="230">
        <v>1677000</v>
      </c>
      <c r="BI122" s="230">
        <v>705900</v>
      </c>
      <c r="BJ122" s="230">
        <v>971100</v>
      </c>
      <c r="BK122" s="229">
        <v>1.3756999999999999</v>
      </c>
      <c r="BL122" s="230">
        <v>524250</v>
      </c>
      <c r="BM122" s="230">
        <v>518100</v>
      </c>
      <c r="BN122" s="230">
        <v>6150</v>
      </c>
      <c r="BO122" s="229">
        <v>1.1900000000000001E-2</v>
      </c>
      <c r="BP122" s="230">
        <v>2610600</v>
      </c>
      <c r="BQ122" s="230">
        <v>1625850</v>
      </c>
      <c r="BR122" s="230">
        <v>984750</v>
      </c>
      <c r="BS122" s="229">
        <v>0.60570000000000002</v>
      </c>
      <c r="BT122" s="230">
        <v>412770</v>
      </c>
      <c r="BU122" s="230">
        <v>202011</v>
      </c>
      <c r="BV122" s="230">
        <v>210759</v>
      </c>
      <c r="BW122" s="229">
        <v>1.0432999999999999</v>
      </c>
      <c r="BX122" s="230">
        <v>2307750</v>
      </c>
      <c r="BY122" s="230">
        <v>2238900</v>
      </c>
      <c r="BZ122" s="230">
        <v>68850</v>
      </c>
      <c r="CA122" s="229">
        <v>3.0800000000000001E-2</v>
      </c>
      <c r="CB122" s="230">
        <v>2115600</v>
      </c>
      <c r="CC122" s="230">
        <v>2073150</v>
      </c>
      <c r="CD122" s="230">
        <v>42450</v>
      </c>
      <c r="CE122" s="229">
        <v>2.0500000000000001E-2</v>
      </c>
      <c r="CF122" s="230">
        <v>186000</v>
      </c>
      <c r="CG122" s="230">
        <v>159600</v>
      </c>
      <c r="CH122" s="230">
        <v>26400</v>
      </c>
      <c r="CI122" s="229">
        <v>0.16539999999999999</v>
      </c>
      <c r="CJ122" s="230">
        <v>6150</v>
      </c>
      <c r="CK122" s="230">
        <v>6150</v>
      </c>
      <c r="CL122" s="228">
        <v>0</v>
      </c>
      <c r="CM122" s="229">
        <v>0</v>
      </c>
      <c r="CN122" s="230">
        <v>923100</v>
      </c>
      <c r="CO122" s="230">
        <v>894300</v>
      </c>
      <c r="CP122" s="230">
        <v>28800</v>
      </c>
      <c r="CQ122" s="229">
        <v>3.2199999999999999E-2</v>
      </c>
      <c r="CR122" s="230">
        <v>729000</v>
      </c>
      <c r="CS122" s="230">
        <v>720600</v>
      </c>
      <c r="CT122" s="230">
        <v>8400</v>
      </c>
      <c r="CU122" s="229">
        <v>1.17E-2</v>
      </c>
      <c r="CV122" s="230">
        <v>3959850</v>
      </c>
      <c r="CW122" s="230">
        <v>3853800</v>
      </c>
      <c r="CX122" s="230">
        <v>106050</v>
      </c>
      <c r="CY122" s="229">
        <v>2.75E-2</v>
      </c>
      <c r="CZ122" s="228">
        <v>22.48</v>
      </c>
      <c r="DA122" s="228">
        <v>22.68</v>
      </c>
      <c r="DB122" s="228">
        <v>-0.2</v>
      </c>
      <c r="DC122" s="228">
        <v>-0.2</v>
      </c>
      <c r="DD122" s="228">
        <v>32.26</v>
      </c>
      <c r="DE122" s="228">
        <v>32.33</v>
      </c>
      <c r="DF122" s="228">
        <v>-9.7799999999999994</v>
      </c>
      <c r="DG122" s="228">
        <v>-7.0000000000000007E-2</v>
      </c>
      <c r="DH122" s="228">
        <v>22.3</v>
      </c>
      <c r="DI122" s="228">
        <v>22.72</v>
      </c>
      <c r="DJ122" s="228">
        <v>-0.42</v>
      </c>
      <c r="DK122" s="228">
        <v>-0.42</v>
      </c>
      <c r="DL122" s="228">
        <v>23.06</v>
      </c>
      <c r="DM122" s="228">
        <v>22.63</v>
      </c>
      <c r="DN122" s="228">
        <v>0.43</v>
      </c>
      <c r="DO122" s="228">
        <v>0.43</v>
      </c>
      <c r="DP122" s="228">
        <v>0.79</v>
      </c>
      <c r="DQ122" s="228">
        <v>0.81</v>
      </c>
      <c r="DR122" s="228">
        <v>-0.02</v>
      </c>
      <c r="DS122" s="229">
        <v>-2.47E-2</v>
      </c>
      <c r="DT122" s="231">
        <v>6800</v>
      </c>
      <c r="DU122" s="231">
        <v>5900</v>
      </c>
      <c r="DV122" s="228">
        <v>0.31</v>
      </c>
      <c r="DW122" s="228">
        <v>0.73</v>
      </c>
      <c r="DX122" s="228">
        <v>-0.42</v>
      </c>
      <c r="DY122" s="229">
        <v>-0.57530000000000003</v>
      </c>
      <c r="DZ122" s="229">
        <v>8.3299999999999999E-2</v>
      </c>
      <c r="EA122" s="230">
        <v>165750</v>
      </c>
      <c r="EB122" s="229">
        <v>5.3E-3</v>
      </c>
      <c r="EC122" s="229">
        <v>8.3299999999999999E-2</v>
      </c>
      <c r="ED122" s="228">
        <v>31.25</v>
      </c>
      <c r="EE122" s="229">
        <v>5.0000000000000001E-3</v>
      </c>
      <c r="EF122" s="230">
        <v>246916</v>
      </c>
      <c r="EG122" s="230">
        <v>108710</v>
      </c>
      <c r="EH122" s="229">
        <v>1.2713000000000001</v>
      </c>
      <c r="EI122" s="229">
        <v>0.59819999999999995</v>
      </c>
      <c r="EJ122" s="231">
        <v>108061.17</v>
      </c>
      <c r="EK122" s="231">
        <v>32341.54</v>
      </c>
      <c r="EL122" s="231">
        <v>25689.82</v>
      </c>
      <c r="EM122" s="231">
        <v>2274</v>
      </c>
      <c r="EN122" s="231">
        <v>166092.53</v>
      </c>
      <c r="EO122" s="231">
        <v>102889.46</v>
      </c>
      <c r="EP122" s="231">
        <v>63203.07</v>
      </c>
      <c r="EQ122" s="229">
        <v>0.61429999999999996</v>
      </c>
      <c r="ER122" s="231">
        <v>59262</v>
      </c>
      <c r="ES122" s="231">
        <v>42794</v>
      </c>
      <c r="ET122" s="231">
        <v>144773</v>
      </c>
      <c r="EU122" s="231">
        <v>9315942</v>
      </c>
      <c r="EV122" s="231">
        <v>246829</v>
      </c>
      <c r="EW122" s="231">
        <v>239192</v>
      </c>
      <c r="EX122" s="231">
        <v>7637</v>
      </c>
      <c r="EY122" s="229">
        <v>3.1899999999999998E-2</v>
      </c>
      <c r="EZ122" s="229">
        <v>0.42509999999999998</v>
      </c>
      <c r="FA122" s="227" t="s">
        <v>555</v>
      </c>
      <c r="FB122" s="161">
        <f t="shared" si="1"/>
        <v>192150</v>
      </c>
    </row>
    <row r="123" spans="1:158" ht="17.25" hidden="1" thickBot="1" x14ac:dyDescent="0.3">
      <c r="A123" s="226">
        <v>46008</v>
      </c>
      <c r="B123" s="227" t="s">
        <v>170</v>
      </c>
      <c r="C123" s="227" t="s">
        <v>250</v>
      </c>
      <c r="D123" s="228">
        <v>425</v>
      </c>
      <c r="E123" s="231">
        <v>2114</v>
      </c>
      <c r="F123" s="231">
        <v>2092.3000000000002</v>
      </c>
      <c r="G123" s="228">
        <v>21.7</v>
      </c>
      <c r="H123" s="229">
        <v>1.04E-2</v>
      </c>
      <c r="I123" s="231">
        <v>2113.1</v>
      </c>
      <c r="J123" s="231">
        <v>2090.6</v>
      </c>
      <c r="K123" s="228">
        <v>22.5</v>
      </c>
      <c r="L123" s="229">
        <v>1.0800000000000001E-2</v>
      </c>
      <c r="M123" s="231">
        <v>2114</v>
      </c>
      <c r="N123" s="231">
        <v>2092.3000000000002</v>
      </c>
      <c r="O123" s="228">
        <v>21.7</v>
      </c>
      <c r="P123" s="229">
        <v>1.04E-2</v>
      </c>
      <c r="Q123" s="231">
        <v>2126</v>
      </c>
      <c r="R123" s="231">
        <v>2105.1999999999998</v>
      </c>
      <c r="S123" s="228">
        <v>20.8</v>
      </c>
      <c r="T123" s="229">
        <v>9.9000000000000008E-3</v>
      </c>
      <c r="U123" s="231">
        <v>2139.1999999999998</v>
      </c>
      <c r="V123" s="231">
        <v>2120.1</v>
      </c>
      <c r="W123" s="228">
        <v>19.100000000000001</v>
      </c>
      <c r="X123" s="229">
        <v>8.9999999999999993E-3</v>
      </c>
      <c r="Y123" s="228">
        <v>0.9</v>
      </c>
      <c r="Z123" s="228">
        <v>1.7</v>
      </c>
      <c r="AA123" s="228">
        <v>-0.8</v>
      </c>
      <c r="AB123" s="229">
        <v>4.0000000000000002E-4</v>
      </c>
      <c r="AC123" s="228">
        <v>0.9</v>
      </c>
      <c r="AD123" s="228">
        <v>1.7</v>
      </c>
      <c r="AE123" s="228">
        <v>-0.8</v>
      </c>
      <c r="AF123" s="229">
        <v>4.0000000000000002E-4</v>
      </c>
      <c r="AG123" s="228">
        <v>12.9</v>
      </c>
      <c r="AH123" s="228">
        <v>14.6</v>
      </c>
      <c r="AI123" s="228">
        <v>-1.7</v>
      </c>
      <c r="AJ123" s="229">
        <v>6.1000000000000004E-3</v>
      </c>
      <c r="AK123" s="228">
        <v>26.1</v>
      </c>
      <c r="AL123" s="228">
        <v>29.5</v>
      </c>
      <c r="AM123" s="228">
        <v>-3.4</v>
      </c>
      <c r="AN123" s="229">
        <v>1.24E-2</v>
      </c>
      <c r="AO123" s="231">
        <v>2116.31</v>
      </c>
      <c r="AP123" s="231">
        <v>2129.34</v>
      </c>
      <c r="AQ123" s="228">
        <v>0</v>
      </c>
      <c r="AR123" s="230">
        <v>1348525</v>
      </c>
      <c r="AS123" s="230">
        <v>783700</v>
      </c>
      <c r="AT123" s="230">
        <v>564825</v>
      </c>
      <c r="AU123" s="229">
        <v>0.72070000000000001</v>
      </c>
      <c r="AV123" s="230">
        <v>1195100</v>
      </c>
      <c r="AW123" s="230">
        <v>657475</v>
      </c>
      <c r="AX123" s="230">
        <v>537625</v>
      </c>
      <c r="AY123" s="229">
        <v>0.81769999999999998</v>
      </c>
      <c r="AZ123" s="230">
        <v>147050</v>
      </c>
      <c r="BA123" s="230">
        <v>124950</v>
      </c>
      <c r="BB123" s="230">
        <v>22100</v>
      </c>
      <c r="BC123" s="229">
        <v>0.1769</v>
      </c>
      <c r="BD123" s="230">
        <v>6375</v>
      </c>
      <c r="BE123" s="230">
        <v>1275</v>
      </c>
      <c r="BF123" s="230">
        <v>5100</v>
      </c>
      <c r="BG123" s="229">
        <v>4</v>
      </c>
      <c r="BH123" s="230">
        <v>6031175</v>
      </c>
      <c r="BI123" s="230">
        <v>1950750</v>
      </c>
      <c r="BJ123" s="230">
        <v>4080425</v>
      </c>
      <c r="BK123" s="229">
        <v>2.0916999999999999</v>
      </c>
      <c r="BL123" s="230">
        <v>1833875</v>
      </c>
      <c r="BM123" s="230">
        <v>727175</v>
      </c>
      <c r="BN123" s="230">
        <v>1106700</v>
      </c>
      <c r="BO123" s="229">
        <v>1.5219</v>
      </c>
      <c r="BP123" s="230">
        <v>9213575</v>
      </c>
      <c r="BQ123" s="230">
        <v>3461625</v>
      </c>
      <c r="BR123" s="230">
        <v>5751950</v>
      </c>
      <c r="BS123" s="229">
        <v>1.6616</v>
      </c>
      <c r="BT123" s="230">
        <v>800211</v>
      </c>
      <c r="BU123" s="230">
        <v>609819</v>
      </c>
      <c r="BV123" s="230">
        <v>190392</v>
      </c>
      <c r="BW123" s="229">
        <v>0.31219999999999998</v>
      </c>
      <c r="BX123" s="230">
        <v>7223300</v>
      </c>
      <c r="BY123" s="230">
        <v>7402225</v>
      </c>
      <c r="BZ123" s="230">
        <v>-178925</v>
      </c>
      <c r="CA123" s="229">
        <v>-2.4199999999999999E-2</v>
      </c>
      <c r="CB123" s="230">
        <v>6906250</v>
      </c>
      <c r="CC123" s="230">
        <v>7111525</v>
      </c>
      <c r="CD123" s="230">
        <v>-205275</v>
      </c>
      <c r="CE123" s="229">
        <v>-2.8899999999999999E-2</v>
      </c>
      <c r="CF123" s="230">
        <v>295800</v>
      </c>
      <c r="CG123" s="230">
        <v>271575</v>
      </c>
      <c r="CH123" s="230">
        <v>24225</v>
      </c>
      <c r="CI123" s="229">
        <v>8.9200000000000002E-2</v>
      </c>
      <c r="CJ123" s="230">
        <v>21250</v>
      </c>
      <c r="CK123" s="230">
        <v>19125</v>
      </c>
      <c r="CL123" s="230">
        <v>2125</v>
      </c>
      <c r="CM123" s="229">
        <v>0.1111</v>
      </c>
      <c r="CN123" s="230">
        <v>3006450</v>
      </c>
      <c r="CO123" s="230">
        <v>2977125</v>
      </c>
      <c r="CP123" s="230">
        <v>29325</v>
      </c>
      <c r="CQ123" s="229">
        <v>9.9000000000000008E-3</v>
      </c>
      <c r="CR123" s="230">
        <v>2293725</v>
      </c>
      <c r="CS123" s="230">
        <v>2241450</v>
      </c>
      <c r="CT123" s="230">
        <v>52275</v>
      </c>
      <c r="CU123" s="229">
        <v>2.3300000000000001E-2</v>
      </c>
      <c r="CV123" s="230">
        <v>12523475</v>
      </c>
      <c r="CW123" s="230">
        <v>12620800</v>
      </c>
      <c r="CX123" s="230">
        <v>-97325</v>
      </c>
      <c r="CY123" s="229">
        <v>-7.7000000000000002E-3</v>
      </c>
      <c r="CZ123" s="228">
        <v>19.68</v>
      </c>
      <c r="DA123" s="228">
        <v>19.68</v>
      </c>
      <c r="DB123" s="228">
        <v>0</v>
      </c>
      <c r="DC123" s="228">
        <v>0</v>
      </c>
      <c r="DD123" s="228">
        <v>30.35</v>
      </c>
      <c r="DE123" s="228">
        <v>30.39</v>
      </c>
      <c r="DF123" s="228">
        <v>-10.67</v>
      </c>
      <c r="DG123" s="228">
        <v>-0.04</v>
      </c>
      <c r="DH123" s="228">
        <v>19.489999999999998</v>
      </c>
      <c r="DI123" s="228">
        <v>19.72</v>
      </c>
      <c r="DJ123" s="228">
        <v>-0.23</v>
      </c>
      <c r="DK123" s="228">
        <v>-0.23</v>
      </c>
      <c r="DL123" s="228">
        <v>20.3</v>
      </c>
      <c r="DM123" s="228">
        <v>19.579999999999998</v>
      </c>
      <c r="DN123" s="228">
        <v>0.72</v>
      </c>
      <c r="DO123" s="228">
        <v>0.72</v>
      </c>
      <c r="DP123" s="228">
        <v>0.76</v>
      </c>
      <c r="DQ123" s="228">
        <v>0.75</v>
      </c>
      <c r="DR123" s="228">
        <v>0.01</v>
      </c>
      <c r="DS123" s="229">
        <v>1.3299999999999999E-2</v>
      </c>
      <c r="DT123" s="231">
        <v>2200</v>
      </c>
      <c r="DU123" s="231">
        <v>2000</v>
      </c>
      <c r="DV123" s="228">
        <v>0.3</v>
      </c>
      <c r="DW123" s="228">
        <v>0.37</v>
      </c>
      <c r="DX123" s="228">
        <v>-7.0000000000000007E-2</v>
      </c>
      <c r="DY123" s="229">
        <v>-0.18920000000000001</v>
      </c>
      <c r="DZ123" s="229">
        <v>4.3900000000000002E-2</v>
      </c>
      <c r="EA123" s="230">
        <v>290700</v>
      </c>
      <c r="EB123" s="229">
        <v>5.7000000000000002E-3</v>
      </c>
      <c r="EC123" s="229">
        <v>4.3900000000000002E-2</v>
      </c>
      <c r="ED123" s="228">
        <v>13.03</v>
      </c>
      <c r="EE123" s="229">
        <v>6.1999999999999998E-3</v>
      </c>
      <c r="EF123" s="230">
        <v>444101</v>
      </c>
      <c r="EG123" s="230">
        <v>446213</v>
      </c>
      <c r="EH123" s="229">
        <v>-4.7000000000000002E-3</v>
      </c>
      <c r="EI123" s="229">
        <v>0.55500000000000005</v>
      </c>
      <c r="EJ123" s="231">
        <v>130466.98</v>
      </c>
      <c r="EK123" s="231">
        <v>38322.21</v>
      </c>
      <c r="EL123" s="231">
        <v>28559.69</v>
      </c>
      <c r="EM123" s="231">
        <v>2059</v>
      </c>
      <c r="EN123" s="231">
        <v>197348.88</v>
      </c>
      <c r="EO123" s="231">
        <v>73517.7</v>
      </c>
      <c r="EP123" s="231">
        <v>123831.18</v>
      </c>
      <c r="EQ123" s="229">
        <v>1.6843999999999999</v>
      </c>
      <c r="ER123" s="231">
        <v>64805</v>
      </c>
      <c r="ES123" s="231">
        <v>46044</v>
      </c>
      <c r="ET123" s="231">
        <v>152741</v>
      </c>
      <c r="EU123" s="231">
        <v>35341043</v>
      </c>
      <c r="EV123" s="231">
        <v>263591</v>
      </c>
      <c r="EW123" s="231">
        <v>263885</v>
      </c>
      <c r="EX123" s="228">
        <v>-294</v>
      </c>
      <c r="EY123" s="229">
        <v>-1.1000000000000001E-3</v>
      </c>
      <c r="EZ123" s="229">
        <v>0.35439999999999999</v>
      </c>
      <c r="FA123" s="227" t="s">
        <v>556</v>
      </c>
      <c r="FB123" s="161">
        <f t="shared" si="1"/>
        <v>317050</v>
      </c>
    </row>
    <row r="124" spans="1:158" ht="17.25" hidden="1" thickBot="1" x14ac:dyDescent="0.3">
      <c r="A124" s="226">
        <v>46008</v>
      </c>
      <c r="B124" s="227" t="s">
        <v>162</v>
      </c>
      <c r="C124" s="227" t="s">
        <v>251</v>
      </c>
      <c r="D124" s="228">
        <v>200</v>
      </c>
      <c r="E124" s="231">
        <v>3617.9</v>
      </c>
      <c r="F124" s="231">
        <v>3629.8</v>
      </c>
      <c r="G124" s="228">
        <v>-11.9</v>
      </c>
      <c r="H124" s="229">
        <v>-3.3E-3</v>
      </c>
      <c r="I124" s="231">
        <v>3612.8</v>
      </c>
      <c r="J124" s="231">
        <v>3621</v>
      </c>
      <c r="K124" s="228">
        <v>-8.1999999999999993</v>
      </c>
      <c r="L124" s="229">
        <v>-2.3E-3</v>
      </c>
      <c r="M124" s="231">
        <v>3617.9</v>
      </c>
      <c r="N124" s="231">
        <v>3629.8</v>
      </c>
      <c r="O124" s="228">
        <v>-11.9</v>
      </c>
      <c r="P124" s="229">
        <v>-3.3E-3</v>
      </c>
      <c r="Q124" s="231">
        <v>3640.1</v>
      </c>
      <c r="R124" s="231">
        <v>3652.1</v>
      </c>
      <c r="S124" s="228">
        <v>-12</v>
      </c>
      <c r="T124" s="229">
        <v>-3.3E-3</v>
      </c>
      <c r="U124" s="231">
        <v>3660.5</v>
      </c>
      <c r="V124" s="231">
        <v>3675.1</v>
      </c>
      <c r="W124" s="228">
        <v>-14.6</v>
      </c>
      <c r="X124" s="229">
        <v>-4.0000000000000001E-3</v>
      </c>
      <c r="Y124" s="228">
        <v>5.0999999999999996</v>
      </c>
      <c r="Z124" s="228">
        <v>8.8000000000000007</v>
      </c>
      <c r="AA124" s="228">
        <v>-3.7</v>
      </c>
      <c r="AB124" s="229">
        <v>1.4E-3</v>
      </c>
      <c r="AC124" s="228">
        <v>5.0999999999999996</v>
      </c>
      <c r="AD124" s="228">
        <v>8.8000000000000007</v>
      </c>
      <c r="AE124" s="228">
        <v>-3.7</v>
      </c>
      <c r="AF124" s="229">
        <v>1.4E-3</v>
      </c>
      <c r="AG124" s="228">
        <v>27.3</v>
      </c>
      <c r="AH124" s="228">
        <v>31.1</v>
      </c>
      <c r="AI124" s="228">
        <v>-3.8</v>
      </c>
      <c r="AJ124" s="229">
        <v>7.6E-3</v>
      </c>
      <c r="AK124" s="228">
        <v>47.7</v>
      </c>
      <c r="AL124" s="228">
        <v>54.1</v>
      </c>
      <c r="AM124" s="228">
        <v>-6.4</v>
      </c>
      <c r="AN124" s="229">
        <v>1.32E-2</v>
      </c>
      <c r="AO124" s="231">
        <v>3618.76</v>
      </c>
      <c r="AP124" s="231">
        <v>3638.15</v>
      </c>
      <c r="AQ124" s="228">
        <v>0</v>
      </c>
      <c r="AR124" s="230">
        <v>1500000</v>
      </c>
      <c r="AS124" s="230">
        <v>1909000</v>
      </c>
      <c r="AT124" s="230">
        <v>-409000</v>
      </c>
      <c r="AU124" s="229">
        <v>-0.2142</v>
      </c>
      <c r="AV124" s="230">
        <v>1102400</v>
      </c>
      <c r="AW124" s="230">
        <v>1583000</v>
      </c>
      <c r="AX124" s="230">
        <v>-480600</v>
      </c>
      <c r="AY124" s="229">
        <v>-0.30359999999999998</v>
      </c>
      <c r="AZ124" s="230">
        <v>386600</v>
      </c>
      <c r="BA124" s="230">
        <v>306200</v>
      </c>
      <c r="BB124" s="230">
        <v>80400</v>
      </c>
      <c r="BC124" s="229">
        <v>0.2626</v>
      </c>
      <c r="BD124" s="230">
        <v>11000</v>
      </c>
      <c r="BE124" s="230">
        <v>19800</v>
      </c>
      <c r="BF124" s="230">
        <v>-8800</v>
      </c>
      <c r="BG124" s="229">
        <v>-0.44440000000000002</v>
      </c>
      <c r="BH124" s="230">
        <v>4651800</v>
      </c>
      <c r="BI124" s="230">
        <v>5986000</v>
      </c>
      <c r="BJ124" s="230">
        <v>-1334200</v>
      </c>
      <c r="BK124" s="229">
        <v>-0.22289999999999999</v>
      </c>
      <c r="BL124" s="230">
        <v>2381400</v>
      </c>
      <c r="BM124" s="230">
        <v>2812400</v>
      </c>
      <c r="BN124" s="230">
        <v>-431000</v>
      </c>
      <c r="BO124" s="229">
        <v>-0.1532</v>
      </c>
      <c r="BP124" s="230">
        <v>8533200</v>
      </c>
      <c r="BQ124" s="230">
        <v>10707400</v>
      </c>
      <c r="BR124" s="230">
        <v>-2174200</v>
      </c>
      <c r="BS124" s="229">
        <v>-0.2031</v>
      </c>
      <c r="BT124" s="230">
        <v>1243735</v>
      </c>
      <c r="BU124" s="230">
        <v>1433151</v>
      </c>
      <c r="BV124" s="230">
        <v>-189416</v>
      </c>
      <c r="BW124" s="229">
        <v>-0.13220000000000001</v>
      </c>
      <c r="BX124" s="230">
        <v>18454000</v>
      </c>
      <c r="BY124" s="230">
        <v>18560000</v>
      </c>
      <c r="BZ124" s="230">
        <v>-106000</v>
      </c>
      <c r="CA124" s="229">
        <v>-5.7000000000000002E-3</v>
      </c>
      <c r="CB124" s="230">
        <v>16608400</v>
      </c>
      <c r="CC124" s="230">
        <v>17021400</v>
      </c>
      <c r="CD124" s="230">
        <v>-413000</v>
      </c>
      <c r="CE124" s="229">
        <v>-2.4299999999999999E-2</v>
      </c>
      <c r="CF124" s="230">
        <v>1718400</v>
      </c>
      <c r="CG124" s="230">
        <v>1414000</v>
      </c>
      <c r="CH124" s="230">
        <v>304400</v>
      </c>
      <c r="CI124" s="229">
        <v>0.21529999999999999</v>
      </c>
      <c r="CJ124" s="230">
        <v>127200</v>
      </c>
      <c r="CK124" s="230">
        <v>124600</v>
      </c>
      <c r="CL124" s="230">
        <v>2600</v>
      </c>
      <c r="CM124" s="229">
        <v>2.0899999999999998E-2</v>
      </c>
      <c r="CN124" s="230">
        <v>6686600</v>
      </c>
      <c r="CO124" s="230">
        <v>6737200</v>
      </c>
      <c r="CP124" s="230">
        <v>-50600</v>
      </c>
      <c r="CQ124" s="229">
        <v>-7.4999999999999997E-3</v>
      </c>
      <c r="CR124" s="230">
        <v>3577800</v>
      </c>
      <c r="CS124" s="230">
        <v>3694000</v>
      </c>
      <c r="CT124" s="230">
        <v>-116200</v>
      </c>
      <c r="CU124" s="229">
        <v>-3.15E-2</v>
      </c>
      <c r="CV124" s="230">
        <v>28718400</v>
      </c>
      <c r="CW124" s="230">
        <v>28991200</v>
      </c>
      <c r="CX124" s="230">
        <v>-272800</v>
      </c>
      <c r="CY124" s="229">
        <v>-9.4000000000000004E-3</v>
      </c>
      <c r="CZ124" s="228">
        <v>21.27</v>
      </c>
      <c r="DA124" s="228">
        <v>21.29</v>
      </c>
      <c r="DB124" s="228">
        <v>-0.02</v>
      </c>
      <c r="DC124" s="228">
        <v>-0.02</v>
      </c>
      <c r="DD124" s="228">
        <v>32.18</v>
      </c>
      <c r="DE124" s="228">
        <v>32.26</v>
      </c>
      <c r="DF124" s="228">
        <v>-10.91</v>
      </c>
      <c r="DG124" s="228">
        <v>-0.08</v>
      </c>
      <c r="DH124" s="228">
        <v>21.65</v>
      </c>
      <c r="DI124" s="228">
        <v>21.49</v>
      </c>
      <c r="DJ124" s="228">
        <v>0.16</v>
      </c>
      <c r="DK124" s="228">
        <v>0.16</v>
      </c>
      <c r="DL124" s="228">
        <v>20.52</v>
      </c>
      <c r="DM124" s="228">
        <v>20.88</v>
      </c>
      <c r="DN124" s="228">
        <v>-0.36</v>
      </c>
      <c r="DO124" s="228">
        <v>-0.36</v>
      </c>
      <c r="DP124" s="228">
        <v>0.54</v>
      </c>
      <c r="DQ124" s="228">
        <v>0.55000000000000004</v>
      </c>
      <c r="DR124" s="228">
        <v>-0.01</v>
      </c>
      <c r="DS124" s="229">
        <v>-1.8200000000000001E-2</v>
      </c>
      <c r="DT124" s="231">
        <v>3800</v>
      </c>
      <c r="DU124" s="231">
        <v>3600</v>
      </c>
      <c r="DV124" s="228">
        <v>0.51</v>
      </c>
      <c r="DW124" s="228">
        <v>0.47</v>
      </c>
      <c r="DX124" s="228">
        <v>0.04</v>
      </c>
      <c r="DY124" s="229">
        <v>8.5099999999999995E-2</v>
      </c>
      <c r="DZ124" s="229">
        <v>0.1</v>
      </c>
      <c r="EA124" s="230">
        <v>1538600</v>
      </c>
      <c r="EB124" s="229">
        <v>6.1000000000000004E-3</v>
      </c>
      <c r="EC124" s="229">
        <v>0.1</v>
      </c>
      <c r="ED124" s="228">
        <v>19.39</v>
      </c>
      <c r="EE124" s="229">
        <v>5.4000000000000003E-3</v>
      </c>
      <c r="EF124" s="230">
        <v>803308</v>
      </c>
      <c r="EG124" s="230">
        <v>840274</v>
      </c>
      <c r="EH124" s="229">
        <v>-4.3999999999999997E-2</v>
      </c>
      <c r="EI124" s="229">
        <v>0.64590000000000003</v>
      </c>
      <c r="EJ124" s="231">
        <v>174382.47</v>
      </c>
      <c r="EK124" s="231">
        <v>85878.31</v>
      </c>
      <c r="EL124" s="231">
        <v>54361.06</v>
      </c>
      <c r="EM124" s="231">
        <v>7724</v>
      </c>
      <c r="EN124" s="231">
        <v>314621.84000000003</v>
      </c>
      <c r="EO124" s="231">
        <v>394894.07</v>
      </c>
      <c r="EP124" s="231">
        <v>-80272.23</v>
      </c>
      <c r="EQ124" s="229">
        <v>-0.20330000000000001</v>
      </c>
      <c r="ER124" s="231">
        <v>253707</v>
      </c>
      <c r="ES124" s="231">
        <v>127954</v>
      </c>
      <c r="ET124" s="231">
        <v>668083</v>
      </c>
      <c r="EU124" s="231">
        <v>100261459</v>
      </c>
      <c r="EV124" s="231">
        <v>1049743</v>
      </c>
      <c r="EW124" s="231">
        <v>1062041</v>
      </c>
      <c r="EX124" s="231">
        <v>-12298</v>
      </c>
      <c r="EY124" s="229">
        <v>-1.1599999999999999E-2</v>
      </c>
      <c r="EZ124" s="229">
        <v>0.28639999999999999</v>
      </c>
      <c r="FA124" s="227" t="s">
        <v>568</v>
      </c>
      <c r="FB124" s="161">
        <f t="shared" si="1"/>
        <v>1845600</v>
      </c>
    </row>
    <row r="125" spans="1:158" ht="17.25" hidden="1" thickBot="1" x14ac:dyDescent="0.3">
      <c r="A125" s="226">
        <v>46008</v>
      </c>
      <c r="B125" s="227" t="s">
        <v>175</v>
      </c>
      <c r="C125" s="227" t="s">
        <v>253</v>
      </c>
      <c r="D125" s="228">
        <v>3000</v>
      </c>
      <c r="E125" s="228">
        <v>286.5</v>
      </c>
      <c r="F125" s="228">
        <v>283.85000000000002</v>
      </c>
      <c r="G125" s="228">
        <v>2.65</v>
      </c>
      <c r="H125" s="229">
        <v>9.2999999999999992E-3</v>
      </c>
      <c r="I125" s="228">
        <v>286.25</v>
      </c>
      <c r="J125" s="228">
        <v>283.5</v>
      </c>
      <c r="K125" s="228">
        <v>2.75</v>
      </c>
      <c r="L125" s="229">
        <v>9.7000000000000003E-3</v>
      </c>
      <c r="M125" s="228">
        <v>286.5</v>
      </c>
      <c r="N125" s="228">
        <v>283.85000000000002</v>
      </c>
      <c r="O125" s="228">
        <v>2.65</v>
      </c>
      <c r="P125" s="229">
        <v>9.2999999999999992E-3</v>
      </c>
      <c r="Q125" s="228">
        <v>288.39999999999998</v>
      </c>
      <c r="R125" s="228">
        <v>285.7</v>
      </c>
      <c r="S125" s="228">
        <v>2.7</v>
      </c>
      <c r="T125" s="229">
        <v>9.4999999999999998E-3</v>
      </c>
      <c r="U125" s="228">
        <v>288.10000000000002</v>
      </c>
      <c r="V125" s="228">
        <v>286.2</v>
      </c>
      <c r="W125" s="228">
        <v>1.9</v>
      </c>
      <c r="X125" s="229">
        <v>6.6E-3</v>
      </c>
      <c r="Y125" s="228">
        <v>0.25</v>
      </c>
      <c r="Z125" s="228">
        <v>0.35</v>
      </c>
      <c r="AA125" s="228">
        <v>-0.1</v>
      </c>
      <c r="AB125" s="229">
        <v>8.9999999999999998E-4</v>
      </c>
      <c r="AC125" s="228">
        <v>0.25</v>
      </c>
      <c r="AD125" s="228">
        <v>0.35</v>
      </c>
      <c r="AE125" s="228">
        <v>-0.1</v>
      </c>
      <c r="AF125" s="229">
        <v>8.9999999999999998E-4</v>
      </c>
      <c r="AG125" s="228">
        <v>2.15</v>
      </c>
      <c r="AH125" s="228">
        <v>2.2000000000000002</v>
      </c>
      <c r="AI125" s="228">
        <v>-0.05</v>
      </c>
      <c r="AJ125" s="229">
        <v>7.4999999999999997E-3</v>
      </c>
      <c r="AK125" s="228">
        <v>1.85</v>
      </c>
      <c r="AL125" s="228">
        <v>2.7</v>
      </c>
      <c r="AM125" s="228">
        <v>-0.85</v>
      </c>
      <c r="AN125" s="229">
        <v>6.4999999999999997E-3</v>
      </c>
      <c r="AO125" s="228">
        <v>285.83</v>
      </c>
      <c r="AP125" s="228">
        <v>287.35000000000002</v>
      </c>
      <c r="AQ125" s="228">
        <v>0</v>
      </c>
      <c r="AR125" s="230">
        <v>7677000</v>
      </c>
      <c r="AS125" s="230">
        <v>4620000</v>
      </c>
      <c r="AT125" s="230">
        <v>3057000</v>
      </c>
      <c r="AU125" s="229">
        <v>0.66169999999999995</v>
      </c>
      <c r="AV125" s="230">
        <v>6270000</v>
      </c>
      <c r="AW125" s="230">
        <v>3939000</v>
      </c>
      <c r="AX125" s="230">
        <v>2331000</v>
      </c>
      <c r="AY125" s="229">
        <v>0.59179999999999999</v>
      </c>
      <c r="AZ125" s="230">
        <v>1344000</v>
      </c>
      <c r="BA125" s="230">
        <v>558000</v>
      </c>
      <c r="BB125" s="230">
        <v>786000</v>
      </c>
      <c r="BC125" s="229">
        <v>1.4086000000000001</v>
      </c>
      <c r="BD125" s="230">
        <v>63000</v>
      </c>
      <c r="BE125" s="230">
        <v>123000</v>
      </c>
      <c r="BF125" s="230">
        <v>-60000</v>
      </c>
      <c r="BG125" s="229">
        <v>-0.48780000000000001</v>
      </c>
      <c r="BH125" s="230">
        <v>13557000</v>
      </c>
      <c r="BI125" s="230">
        <v>8040000</v>
      </c>
      <c r="BJ125" s="230">
        <v>5517000</v>
      </c>
      <c r="BK125" s="229">
        <v>0.68620000000000003</v>
      </c>
      <c r="BL125" s="230">
        <v>5391000</v>
      </c>
      <c r="BM125" s="230">
        <v>3906000</v>
      </c>
      <c r="BN125" s="230">
        <v>1485000</v>
      </c>
      <c r="BO125" s="229">
        <v>0.38019999999999998</v>
      </c>
      <c r="BP125" s="230">
        <v>26625000</v>
      </c>
      <c r="BQ125" s="230">
        <v>16566000</v>
      </c>
      <c r="BR125" s="230">
        <v>10059000</v>
      </c>
      <c r="BS125" s="229">
        <v>0.60719999999999996</v>
      </c>
      <c r="BT125" s="230">
        <v>4516672</v>
      </c>
      <c r="BU125" s="230">
        <v>1277639</v>
      </c>
      <c r="BV125" s="230">
        <v>3239033</v>
      </c>
      <c r="BW125" s="229">
        <v>2.5352000000000001</v>
      </c>
      <c r="BX125" s="230">
        <v>39552000</v>
      </c>
      <c r="BY125" s="230">
        <v>40785000</v>
      </c>
      <c r="BZ125" s="230">
        <v>-1233000</v>
      </c>
      <c r="CA125" s="229">
        <v>-3.0200000000000001E-2</v>
      </c>
      <c r="CB125" s="230">
        <v>37662000</v>
      </c>
      <c r="CC125" s="230">
        <v>39273000</v>
      </c>
      <c r="CD125" s="230">
        <v>-1611000</v>
      </c>
      <c r="CE125" s="229">
        <v>-4.1000000000000002E-2</v>
      </c>
      <c r="CF125" s="230">
        <v>1710000</v>
      </c>
      <c r="CG125" s="230">
        <v>1329000</v>
      </c>
      <c r="CH125" s="230">
        <v>381000</v>
      </c>
      <c r="CI125" s="229">
        <v>0.28670000000000001</v>
      </c>
      <c r="CJ125" s="230">
        <v>180000</v>
      </c>
      <c r="CK125" s="230">
        <v>183000</v>
      </c>
      <c r="CL125" s="230">
        <v>-3000</v>
      </c>
      <c r="CM125" s="229">
        <v>-1.6400000000000001E-2</v>
      </c>
      <c r="CN125" s="230">
        <v>17715000</v>
      </c>
      <c r="CO125" s="230">
        <v>16926000</v>
      </c>
      <c r="CP125" s="230">
        <v>789000</v>
      </c>
      <c r="CQ125" s="229">
        <v>4.6600000000000003E-2</v>
      </c>
      <c r="CR125" s="230">
        <v>11745000</v>
      </c>
      <c r="CS125" s="230">
        <v>11499000</v>
      </c>
      <c r="CT125" s="230">
        <v>246000</v>
      </c>
      <c r="CU125" s="229">
        <v>2.1399999999999999E-2</v>
      </c>
      <c r="CV125" s="230">
        <v>69012000</v>
      </c>
      <c r="CW125" s="230">
        <v>69210000</v>
      </c>
      <c r="CX125" s="230">
        <v>-198000</v>
      </c>
      <c r="CY125" s="229">
        <v>-2.8999999999999998E-3</v>
      </c>
      <c r="CZ125" s="228">
        <v>24.57</v>
      </c>
      <c r="DA125" s="228">
        <v>24.88</v>
      </c>
      <c r="DB125" s="228">
        <v>-0.31</v>
      </c>
      <c r="DC125" s="228">
        <v>-0.31</v>
      </c>
      <c r="DD125" s="228">
        <v>40.64</v>
      </c>
      <c r="DE125" s="228">
        <v>40.72</v>
      </c>
      <c r="DF125" s="228">
        <v>-16.07</v>
      </c>
      <c r="DG125" s="228">
        <v>-0.08</v>
      </c>
      <c r="DH125" s="228">
        <v>24.12</v>
      </c>
      <c r="DI125" s="228">
        <v>24.76</v>
      </c>
      <c r="DJ125" s="228">
        <v>-0.64</v>
      </c>
      <c r="DK125" s="228">
        <v>-0.64</v>
      </c>
      <c r="DL125" s="228">
        <v>25.71</v>
      </c>
      <c r="DM125" s="228">
        <v>25.12</v>
      </c>
      <c r="DN125" s="228">
        <v>0.59</v>
      </c>
      <c r="DO125" s="228">
        <v>0.59</v>
      </c>
      <c r="DP125" s="228">
        <v>0.66</v>
      </c>
      <c r="DQ125" s="228">
        <v>0.68</v>
      </c>
      <c r="DR125" s="228">
        <v>-0.02</v>
      </c>
      <c r="DS125" s="229">
        <v>-2.9399999999999999E-2</v>
      </c>
      <c r="DT125" s="228">
        <v>300</v>
      </c>
      <c r="DU125" s="228">
        <v>260</v>
      </c>
      <c r="DV125" s="228">
        <v>0.4</v>
      </c>
      <c r="DW125" s="228">
        <v>0.49</v>
      </c>
      <c r="DX125" s="228">
        <v>-0.09</v>
      </c>
      <c r="DY125" s="229">
        <v>-0.1837</v>
      </c>
      <c r="DZ125" s="229">
        <v>4.7800000000000002E-2</v>
      </c>
      <c r="EA125" s="230">
        <v>1512000</v>
      </c>
      <c r="EB125" s="229">
        <v>6.6E-3</v>
      </c>
      <c r="EC125" s="229">
        <v>4.7800000000000002E-2</v>
      </c>
      <c r="ED125" s="228">
        <v>1.52</v>
      </c>
      <c r="EE125" s="229">
        <v>5.3E-3</v>
      </c>
      <c r="EF125" s="230">
        <v>3049921</v>
      </c>
      <c r="EG125" s="230">
        <v>547136</v>
      </c>
      <c r="EH125" s="229">
        <v>4.5743</v>
      </c>
      <c r="EI125" s="229">
        <v>0.67530000000000001</v>
      </c>
      <c r="EJ125" s="231">
        <v>39991.379999999997</v>
      </c>
      <c r="EK125" s="231">
        <v>15167.22</v>
      </c>
      <c r="EL125" s="231">
        <v>21964.69</v>
      </c>
      <c r="EM125" s="231">
        <v>2355</v>
      </c>
      <c r="EN125" s="231">
        <v>77123.289999999994</v>
      </c>
      <c r="EO125" s="231">
        <v>47809.31</v>
      </c>
      <c r="EP125" s="231">
        <v>29313.98</v>
      </c>
      <c r="EQ125" s="229">
        <v>0.61309999999999998</v>
      </c>
      <c r="ER125" s="231">
        <v>52219</v>
      </c>
      <c r="ES125" s="231">
        <v>31637</v>
      </c>
      <c r="ET125" s="231">
        <v>113352</v>
      </c>
      <c r="EU125" s="231">
        <v>82205057</v>
      </c>
      <c r="EV125" s="231">
        <v>197208</v>
      </c>
      <c r="EW125" s="231">
        <v>196637</v>
      </c>
      <c r="EX125" s="228">
        <v>571</v>
      </c>
      <c r="EY125" s="229">
        <v>2.8999999999999998E-3</v>
      </c>
      <c r="EZ125" s="229">
        <v>0.83950000000000002</v>
      </c>
      <c r="FA125" s="227" t="s">
        <v>556</v>
      </c>
      <c r="FB125" s="161">
        <f t="shared" si="1"/>
        <v>1890000</v>
      </c>
    </row>
    <row r="126" spans="1:158" ht="17.25" hidden="1" thickBot="1" x14ac:dyDescent="0.3">
      <c r="A126" s="226">
        <v>46008</v>
      </c>
      <c r="B126" s="227" t="s">
        <v>170</v>
      </c>
      <c r="C126" s="227" t="s">
        <v>673</v>
      </c>
      <c r="D126" s="228">
        <v>225</v>
      </c>
      <c r="E126" s="231">
        <v>2117.6</v>
      </c>
      <c r="F126" s="231">
        <v>2114.1</v>
      </c>
      <c r="G126" s="228">
        <v>3.5</v>
      </c>
      <c r="H126" s="229">
        <v>1.6999999999999999E-3</v>
      </c>
      <c r="I126" s="231">
        <v>2111.1999999999998</v>
      </c>
      <c r="J126" s="231">
        <v>2106</v>
      </c>
      <c r="K126" s="228">
        <v>5.2</v>
      </c>
      <c r="L126" s="229">
        <v>2.5000000000000001E-3</v>
      </c>
      <c r="M126" s="231">
        <v>2117.6</v>
      </c>
      <c r="N126" s="231">
        <v>2114.1</v>
      </c>
      <c r="O126" s="228">
        <v>3.5</v>
      </c>
      <c r="P126" s="229">
        <v>1.6999999999999999E-3</v>
      </c>
      <c r="Q126" s="231">
        <v>2130.8000000000002</v>
      </c>
      <c r="R126" s="231">
        <v>2125.8000000000002</v>
      </c>
      <c r="S126" s="228">
        <v>5</v>
      </c>
      <c r="T126" s="229">
        <v>2.3999999999999998E-3</v>
      </c>
      <c r="U126" s="231">
        <v>2144.9</v>
      </c>
      <c r="V126" s="231">
        <v>2139.6</v>
      </c>
      <c r="W126" s="228">
        <v>5.3</v>
      </c>
      <c r="X126" s="229">
        <v>2.5000000000000001E-3</v>
      </c>
      <c r="Y126" s="228">
        <v>6.4</v>
      </c>
      <c r="Z126" s="228">
        <v>8.1</v>
      </c>
      <c r="AA126" s="228">
        <v>-1.7</v>
      </c>
      <c r="AB126" s="229">
        <v>3.0000000000000001E-3</v>
      </c>
      <c r="AC126" s="228">
        <v>6.4</v>
      </c>
      <c r="AD126" s="228">
        <v>8.1</v>
      </c>
      <c r="AE126" s="228">
        <v>-1.7</v>
      </c>
      <c r="AF126" s="229">
        <v>3.0000000000000001E-3</v>
      </c>
      <c r="AG126" s="228">
        <v>19.600000000000001</v>
      </c>
      <c r="AH126" s="228">
        <v>19.8</v>
      </c>
      <c r="AI126" s="228">
        <v>-0.2</v>
      </c>
      <c r="AJ126" s="229">
        <v>9.2999999999999992E-3</v>
      </c>
      <c r="AK126" s="228">
        <v>33.700000000000003</v>
      </c>
      <c r="AL126" s="228">
        <v>33.6</v>
      </c>
      <c r="AM126" s="228">
        <v>0.1</v>
      </c>
      <c r="AN126" s="229">
        <v>1.6E-2</v>
      </c>
      <c r="AO126" s="231">
        <v>2111.2800000000002</v>
      </c>
      <c r="AP126" s="231">
        <v>2120.59</v>
      </c>
      <c r="AQ126" s="228">
        <v>0</v>
      </c>
      <c r="AR126" s="230">
        <v>281475</v>
      </c>
      <c r="AS126" s="230">
        <v>497475</v>
      </c>
      <c r="AT126" s="230">
        <v>-216000</v>
      </c>
      <c r="AU126" s="229">
        <v>-0.43419999999999997</v>
      </c>
      <c r="AV126" s="230">
        <v>222075</v>
      </c>
      <c r="AW126" s="230">
        <v>379575</v>
      </c>
      <c r="AX126" s="230">
        <v>-157500</v>
      </c>
      <c r="AY126" s="229">
        <v>-0.41489999999999999</v>
      </c>
      <c r="AZ126" s="230">
        <v>55800</v>
      </c>
      <c r="BA126" s="230">
        <v>110700</v>
      </c>
      <c r="BB126" s="230">
        <v>-54900</v>
      </c>
      <c r="BC126" s="229">
        <v>-0.49590000000000001</v>
      </c>
      <c r="BD126" s="230">
        <v>3600</v>
      </c>
      <c r="BE126" s="230">
        <v>7200</v>
      </c>
      <c r="BF126" s="230">
        <v>-3600</v>
      </c>
      <c r="BG126" s="229">
        <v>-0.5</v>
      </c>
      <c r="BH126" s="230">
        <v>1000125</v>
      </c>
      <c r="BI126" s="230">
        <v>934200</v>
      </c>
      <c r="BJ126" s="230">
        <v>65925</v>
      </c>
      <c r="BK126" s="229">
        <v>7.0599999999999996E-2</v>
      </c>
      <c r="BL126" s="230">
        <v>482850</v>
      </c>
      <c r="BM126" s="230">
        <v>452925</v>
      </c>
      <c r="BN126" s="230">
        <v>29925</v>
      </c>
      <c r="BO126" s="229">
        <v>6.6100000000000006E-2</v>
      </c>
      <c r="BP126" s="230">
        <v>1764450</v>
      </c>
      <c r="BQ126" s="230">
        <v>1884600</v>
      </c>
      <c r="BR126" s="230">
        <v>-120150</v>
      </c>
      <c r="BS126" s="229">
        <v>-6.3799999999999996E-2</v>
      </c>
      <c r="BT126" s="230">
        <v>750631</v>
      </c>
      <c r="BU126" s="230">
        <v>694024</v>
      </c>
      <c r="BV126" s="230">
        <v>56607</v>
      </c>
      <c r="BW126" s="229">
        <v>8.1600000000000006E-2</v>
      </c>
      <c r="BX126" s="230">
        <v>2661975</v>
      </c>
      <c r="BY126" s="230">
        <v>2627100</v>
      </c>
      <c r="BZ126" s="230">
        <v>34875</v>
      </c>
      <c r="CA126" s="229">
        <v>1.3299999999999999E-2</v>
      </c>
      <c r="CB126" s="230">
        <v>2453175</v>
      </c>
      <c r="CC126" s="230">
        <v>2443050</v>
      </c>
      <c r="CD126" s="230">
        <v>10125</v>
      </c>
      <c r="CE126" s="229">
        <v>4.1000000000000003E-3</v>
      </c>
      <c r="CF126" s="230">
        <v>191250</v>
      </c>
      <c r="CG126" s="230">
        <v>169425</v>
      </c>
      <c r="CH126" s="230">
        <v>21825</v>
      </c>
      <c r="CI126" s="229">
        <v>0.1288</v>
      </c>
      <c r="CJ126" s="230">
        <v>17550</v>
      </c>
      <c r="CK126" s="230">
        <v>14625</v>
      </c>
      <c r="CL126" s="230">
        <v>2925</v>
      </c>
      <c r="CM126" s="229">
        <v>0.2</v>
      </c>
      <c r="CN126" s="230">
        <v>1179000</v>
      </c>
      <c r="CO126" s="230">
        <v>1139625</v>
      </c>
      <c r="CP126" s="230">
        <v>39375</v>
      </c>
      <c r="CQ126" s="229">
        <v>3.4599999999999999E-2</v>
      </c>
      <c r="CR126" s="230">
        <v>568125</v>
      </c>
      <c r="CS126" s="230">
        <v>557775</v>
      </c>
      <c r="CT126" s="230">
        <v>10350</v>
      </c>
      <c r="CU126" s="229">
        <v>1.8599999999999998E-2</v>
      </c>
      <c r="CV126" s="230">
        <v>4409100</v>
      </c>
      <c r="CW126" s="230">
        <v>4324500</v>
      </c>
      <c r="CX126" s="230">
        <v>84600</v>
      </c>
      <c r="CY126" s="229">
        <v>1.9599999999999999E-2</v>
      </c>
      <c r="CZ126" s="228">
        <v>22.16</v>
      </c>
      <c r="DA126" s="228">
        <v>24.16</v>
      </c>
      <c r="DB126" s="228">
        <v>-2</v>
      </c>
      <c r="DC126" s="228">
        <v>-2</v>
      </c>
      <c r="DD126" s="228">
        <v>32.380000000000003</v>
      </c>
      <c r="DE126" s="228">
        <v>32.46</v>
      </c>
      <c r="DF126" s="228">
        <v>-10.220000000000001</v>
      </c>
      <c r="DG126" s="228">
        <v>-0.08</v>
      </c>
      <c r="DH126" s="228">
        <v>23.08</v>
      </c>
      <c r="DI126" s="228">
        <v>25.06</v>
      </c>
      <c r="DJ126" s="228">
        <v>-1.98</v>
      </c>
      <c r="DK126" s="228">
        <v>-1.98</v>
      </c>
      <c r="DL126" s="228">
        <v>20.239999999999998</v>
      </c>
      <c r="DM126" s="228">
        <v>22.31</v>
      </c>
      <c r="DN126" s="228">
        <v>-2.0699999999999998</v>
      </c>
      <c r="DO126" s="228">
        <v>-2.0699999999999998</v>
      </c>
      <c r="DP126" s="228">
        <v>0.48</v>
      </c>
      <c r="DQ126" s="228">
        <v>0.49</v>
      </c>
      <c r="DR126" s="228">
        <v>-0.01</v>
      </c>
      <c r="DS126" s="229">
        <v>-2.0400000000000001E-2</v>
      </c>
      <c r="DT126" s="231">
        <v>2300</v>
      </c>
      <c r="DU126" s="231">
        <v>2000</v>
      </c>
      <c r="DV126" s="228">
        <v>0.48</v>
      </c>
      <c r="DW126" s="228">
        <v>0.48</v>
      </c>
      <c r="DX126" s="228">
        <v>0</v>
      </c>
      <c r="DY126" s="229">
        <v>0</v>
      </c>
      <c r="DZ126" s="229">
        <v>7.8399999999999997E-2</v>
      </c>
      <c r="EA126" s="230">
        <v>184050</v>
      </c>
      <c r="EB126" s="229">
        <v>6.1999999999999998E-3</v>
      </c>
      <c r="EC126" s="229">
        <v>7.8399999999999997E-2</v>
      </c>
      <c r="ED126" s="228">
        <v>9.31</v>
      </c>
      <c r="EE126" s="229">
        <v>4.4000000000000003E-3</v>
      </c>
      <c r="EF126" s="230">
        <v>598071</v>
      </c>
      <c r="EG126" s="230">
        <v>520883</v>
      </c>
      <c r="EH126" s="229">
        <v>0.1482</v>
      </c>
      <c r="EI126" s="229">
        <v>0.79679999999999995</v>
      </c>
      <c r="EJ126" s="231">
        <v>22336.89</v>
      </c>
      <c r="EK126" s="231">
        <v>10092.26</v>
      </c>
      <c r="EL126" s="231">
        <v>5948.87</v>
      </c>
      <c r="EM126" s="231">
        <v>1814</v>
      </c>
      <c r="EN126" s="231">
        <v>38378.019999999997</v>
      </c>
      <c r="EO126" s="231">
        <v>41368.35</v>
      </c>
      <c r="EP126" s="231">
        <v>-2990.33</v>
      </c>
      <c r="EQ126" s="229">
        <v>-7.2300000000000003E-2</v>
      </c>
      <c r="ER126" s="231">
        <v>26956</v>
      </c>
      <c r="ES126" s="231">
        <v>12234</v>
      </c>
      <c r="ET126" s="231">
        <v>56400</v>
      </c>
      <c r="EU126" s="231">
        <v>16915220</v>
      </c>
      <c r="EV126" s="231">
        <v>95591</v>
      </c>
      <c r="EW126" s="231">
        <v>93808</v>
      </c>
      <c r="EX126" s="231">
        <v>1783</v>
      </c>
      <c r="EY126" s="229">
        <v>1.9E-2</v>
      </c>
      <c r="EZ126" s="229">
        <v>0.26069999999999999</v>
      </c>
      <c r="FA126" s="227" t="s">
        <v>555</v>
      </c>
      <c r="FB126" s="161">
        <f t="shared" si="1"/>
        <v>208800</v>
      </c>
    </row>
    <row r="127" spans="1:158" ht="17.25" hidden="1" thickBot="1" x14ac:dyDescent="0.3">
      <c r="A127" s="226">
        <v>46008</v>
      </c>
      <c r="B127" s="227" t="s">
        <v>168</v>
      </c>
      <c r="C127" s="227" t="s">
        <v>254</v>
      </c>
      <c r="D127" s="228">
        <v>1200</v>
      </c>
      <c r="E127" s="228">
        <v>739</v>
      </c>
      <c r="F127" s="228">
        <v>739.8</v>
      </c>
      <c r="G127" s="228">
        <v>-0.8</v>
      </c>
      <c r="H127" s="229">
        <v>-1.1000000000000001E-3</v>
      </c>
      <c r="I127" s="228">
        <v>738.15</v>
      </c>
      <c r="J127" s="228">
        <v>738.8</v>
      </c>
      <c r="K127" s="228">
        <v>-0.65</v>
      </c>
      <c r="L127" s="229">
        <v>-8.9999999999999998E-4</v>
      </c>
      <c r="M127" s="228">
        <v>739</v>
      </c>
      <c r="N127" s="228">
        <v>739.8</v>
      </c>
      <c r="O127" s="228">
        <v>-0.8</v>
      </c>
      <c r="P127" s="229">
        <v>-1.1000000000000001E-3</v>
      </c>
      <c r="Q127" s="228">
        <v>743.65</v>
      </c>
      <c r="R127" s="228">
        <v>743.9</v>
      </c>
      <c r="S127" s="228">
        <v>-0.25</v>
      </c>
      <c r="T127" s="229">
        <v>-2.9999999999999997E-4</v>
      </c>
      <c r="U127" s="228">
        <v>744.2</v>
      </c>
      <c r="V127" s="228">
        <v>744.8</v>
      </c>
      <c r="W127" s="228">
        <v>-0.6</v>
      </c>
      <c r="X127" s="229">
        <v>-8.0000000000000004E-4</v>
      </c>
      <c r="Y127" s="228">
        <v>0.85</v>
      </c>
      <c r="Z127" s="228">
        <v>1</v>
      </c>
      <c r="AA127" s="228">
        <v>-0.15</v>
      </c>
      <c r="AB127" s="229">
        <v>1.1999999999999999E-3</v>
      </c>
      <c r="AC127" s="228">
        <v>0.85</v>
      </c>
      <c r="AD127" s="228">
        <v>1</v>
      </c>
      <c r="AE127" s="228">
        <v>-0.15</v>
      </c>
      <c r="AF127" s="229">
        <v>1.1999999999999999E-3</v>
      </c>
      <c r="AG127" s="228">
        <v>5.5</v>
      </c>
      <c r="AH127" s="228">
        <v>5.0999999999999996</v>
      </c>
      <c r="AI127" s="228">
        <v>0.4</v>
      </c>
      <c r="AJ127" s="229">
        <v>7.4999999999999997E-3</v>
      </c>
      <c r="AK127" s="228">
        <v>6.05</v>
      </c>
      <c r="AL127" s="228">
        <v>6</v>
      </c>
      <c r="AM127" s="228">
        <v>0.05</v>
      </c>
      <c r="AN127" s="229">
        <v>8.2000000000000007E-3</v>
      </c>
      <c r="AO127" s="228">
        <v>739.49</v>
      </c>
      <c r="AP127" s="228">
        <v>743.91</v>
      </c>
      <c r="AQ127" s="228">
        <v>0</v>
      </c>
      <c r="AR127" s="230">
        <v>1098000</v>
      </c>
      <c r="AS127" s="230">
        <v>2845200</v>
      </c>
      <c r="AT127" s="230">
        <v>-1747200</v>
      </c>
      <c r="AU127" s="229">
        <v>-0.61409999999999998</v>
      </c>
      <c r="AV127" s="230">
        <v>1058400</v>
      </c>
      <c r="AW127" s="230">
        <v>2668800</v>
      </c>
      <c r="AX127" s="230">
        <v>-1610400</v>
      </c>
      <c r="AY127" s="229">
        <v>-0.60340000000000005</v>
      </c>
      <c r="AZ127" s="230">
        <v>38400</v>
      </c>
      <c r="BA127" s="230">
        <v>162000</v>
      </c>
      <c r="BB127" s="230">
        <v>-123600</v>
      </c>
      <c r="BC127" s="229">
        <v>-0.76300000000000001</v>
      </c>
      <c r="BD127" s="230">
        <v>1200</v>
      </c>
      <c r="BE127" s="230">
        <v>14400</v>
      </c>
      <c r="BF127" s="230">
        <v>-13200</v>
      </c>
      <c r="BG127" s="229">
        <v>-0.91669999999999996</v>
      </c>
      <c r="BH127" s="230">
        <v>4837200</v>
      </c>
      <c r="BI127" s="230">
        <v>21015600</v>
      </c>
      <c r="BJ127" s="230">
        <v>-16178400</v>
      </c>
      <c r="BK127" s="229">
        <v>-0.76980000000000004</v>
      </c>
      <c r="BL127" s="230">
        <v>1484400</v>
      </c>
      <c r="BM127" s="230">
        <v>5973600</v>
      </c>
      <c r="BN127" s="230">
        <v>-4489200</v>
      </c>
      <c r="BO127" s="229">
        <v>-0.75149999999999995</v>
      </c>
      <c r="BP127" s="230">
        <v>7419600</v>
      </c>
      <c r="BQ127" s="230">
        <v>29834400</v>
      </c>
      <c r="BR127" s="230">
        <v>-22414800</v>
      </c>
      <c r="BS127" s="229">
        <v>-0.75129999999999997</v>
      </c>
      <c r="BT127" s="230">
        <v>1102795</v>
      </c>
      <c r="BU127" s="230">
        <v>1993867</v>
      </c>
      <c r="BV127" s="230">
        <v>-891072</v>
      </c>
      <c r="BW127" s="229">
        <v>-0.44690000000000002</v>
      </c>
      <c r="BX127" s="230">
        <v>33944400</v>
      </c>
      <c r="BY127" s="230">
        <v>34064400</v>
      </c>
      <c r="BZ127" s="230">
        <v>-120000</v>
      </c>
      <c r="CA127" s="229">
        <v>-3.5000000000000001E-3</v>
      </c>
      <c r="CB127" s="230">
        <v>33698400</v>
      </c>
      <c r="CC127" s="230">
        <v>33825600</v>
      </c>
      <c r="CD127" s="230">
        <v>-127200</v>
      </c>
      <c r="CE127" s="229">
        <v>-3.8E-3</v>
      </c>
      <c r="CF127" s="230">
        <v>219600</v>
      </c>
      <c r="CG127" s="230">
        <v>211200</v>
      </c>
      <c r="CH127" s="230">
        <v>8400</v>
      </c>
      <c r="CI127" s="229">
        <v>3.9800000000000002E-2</v>
      </c>
      <c r="CJ127" s="230">
        <v>26400</v>
      </c>
      <c r="CK127" s="230">
        <v>27600</v>
      </c>
      <c r="CL127" s="230">
        <v>-1200</v>
      </c>
      <c r="CM127" s="229">
        <v>-4.3499999999999997E-2</v>
      </c>
      <c r="CN127" s="230">
        <v>6520800</v>
      </c>
      <c r="CO127" s="230">
        <v>6398400</v>
      </c>
      <c r="CP127" s="230">
        <v>122400</v>
      </c>
      <c r="CQ127" s="229">
        <v>1.9099999999999999E-2</v>
      </c>
      <c r="CR127" s="230">
        <v>3950400</v>
      </c>
      <c r="CS127" s="230">
        <v>3842400</v>
      </c>
      <c r="CT127" s="230">
        <v>108000</v>
      </c>
      <c r="CU127" s="229">
        <v>2.81E-2</v>
      </c>
      <c r="CV127" s="230">
        <v>44415600</v>
      </c>
      <c r="CW127" s="230">
        <v>44305200</v>
      </c>
      <c r="CX127" s="230">
        <v>110400</v>
      </c>
      <c r="CY127" s="229">
        <v>2.5000000000000001E-3</v>
      </c>
      <c r="CZ127" s="228">
        <v>18.41</v>
      </c>
      <c r="DA127" s="228">
        <v>18.8</v>
      </c>
      <c r="DB127" s="228">
        <v>-0.39</v>
      </c>
      <c r="DC127" s="228">
        <v>-0.39</v>
      </c>
      <c r="DD127" s="228">
        <v>24.8</v>
      </c>
      <c r="DE127" s="228">
        <v>24.86</v>
      </c>
      <c r="DF127" s="228">
        <v>-6.39</v>
      </c>
      <c r="DG127" s="228">
        <v>-0.06</v>
      </c>
      <c r="DH127" s="228">
        <v>18.46</v>
      </c>
      <c r="DI127" s="228">
        <v>19.010000000000002</v>
      </c>
      <c r="DJ127" s="228">
        <v>-0.55000000000000004</v>
      </c>
      <c r="DK127" s="228">
        <v>-0.55000000000000004</v>
      </c>
      <c r="DL127" s="228">
        <v>18.260000000000002</v>
      </c>
      <c r="DM127" s="228">
        <v>18.04</v>
      </c>
      <c r="DN127" s="228">
        <v>0.22</v>
      </c>
      <c r="DO127" s="228">
        <v>0.22</v>
      </c>
      <c r="DP127" s="228">
        <v>0.61</v>
      </c>
      <c r="DQ127" s="228">
        <v>0.6</v>
      </c>
      <c r="DR127" s="228">
        <v>0.01</v>
      </c>
      <c r="DS127" s="229">
        <v>1.67E-2</v>
      </c>
      <c r="DT127" s="228">
        <v>750</v>
      </c>
      <c r="DU127" s="228">
        <v>690</v>
      </c>
      <c r="DV127" s="228">
        <v>0.31</v>
      </c>
      <c r="DW127" s="228">
        <v>0.28000000000000003</v>
      </c>
      <c r="DX127" s="228">
        <v>0.03</v>
      </c>
      <c r="DY127" s="229">
        <v>0.1071</v>
      </c>
      <c r="DZ127" s="229">
        <v>7.1999999999999998E-3</v>
      </c>
      <c r="EA127" s="230">
        <v>238800</v>
      </c>
      <c r="EB127" s="229">
        <v>6.3E-3</v>
      </c>
      <c r="EC127" s="229">
        <v>7.1999999999999998E-3</v>
      </c>
      <c r="ED127" s="228">
        <v>4.42</v>
      </c>
      <c r="EE127" s="229">
        <v>6.0000000000000001E-3</v>
      </c>
      <c r="EF127" s="230">
        <v>796222</v>
      </c>
      <c r="EG127" s="230">
        <v>874445</v>
      </c>
      <c r="EH127" s="229">
        <v>-8.9499999999999996E-2</v>
      </c>
      <c r="EI127" s="229">
        <v>0.72199999999999998</v>
      </c>
      <c r="EJ127" s="231">
        <v>36722</v>
      </c>
      <c r="EK127" s="231">
        <v>10812.42</v>
      </c>
      <c r="EL127" s="231">
        <v>8121.35</v>
      </c>
      <c r="EM127" s="231">
        <v>1797</v>
      </c>
      <c r="EN127" s="231">
        <v>55655.77</v>
      </c>
      <c r="EO127" s="231">
        <v>225730.99</v>
      </c>
      <c r="EP127" s="231">
        <v>-170075.22</v>
      </c>
      <c r="EQ127" s="229">
        <v>-0.75339999999999996</v>
      </c>
      <c r="ER127" s="231">
        <v>49932</v>
      </c>
      <c r="ES127" s="231">
        <v>27735</v>
      </c>
      <c r="ET127" s="231">
        <v>250861</v>
      </c>
      <c r="EU127" s="231">
        <v>79408529</v>
      </c>
      <c r="EV127" s="231">
        <v>328528</v>
      </c>
      <c r="EW127" s="231">
        <v>327949</v>
      </c>
      <c r="EX127" s="228">
        <v>579</v>
      </c>
      <c r="EY127" s="229">
        <v>1.8E-3</v>
      </c>
      <c r="EZ127" s="229">
        <v>0.55930000000000002</v>
      </c>
      <c r="FA127" s="227" t="s">
        <v>568</v>
      </c>
      <c r="FB127" s="161">
        <f t="shared" si="1"/>
        <v>246000</v>
      </c>
    </row>
    <row r="128" spans="1:158" ht="17.25" hidden="1" thickBot="1" x14ac:dyDescent="0.3">
      <c r="A128" s="226">
        <v>46008</v>
      </c>
      <c r="B128" s="227" t="s">
        <v>162</v>
      </c>
      <c r="C128" s="227" t="s">
        <v>255</v>
      </c>
      <c r="D128" s="228">
        <v>50</v>
      </c>
      <c r="E128" s="231">
        <v>16409</v>
      </c>
      <c r="F128" s="231">
        <v>16396</v>
      </c>
      <c r="G128" s="228">
        <v>13</v>
      </c>
      <c r="H128" s="229">
        <v>8.0000000000000004E-4</v>
      </c>
      <c r="I128" s="231">
        <v>16398</v>
      </c>
      <c r="J128" s="231">
        <v>16354</v>
      </c>
      <c r="K128" s="228">
        <v>44</v>
      </c>
      <c r="L128" s="229">
        <v>2.7000000000000001E-3</v>
      </c>
      <c r="M128" s="231">
        <v>16409</v>
      </c>
      <c r="N128" s="231">
        <v>16396</v>
      </c>
      <c r="O128" s="228">
        <v>13</v>
      </c>
      <c r="P128" s="229">
        <v>8.0000000000000004E-4</v>
      </c>
      <c r="Q128" s="231">
        <v>16516</v>
      </c>
      <c r="R128" s="231">
        <v>16492</v>
      </c>
      <c r="S128" s="228">
        <v>24</v>
      </c>
      <c r="T128" s="229">
        <v>1.5E-3</v>
      </c>
      <c r="U128" s="231">
        <v>16600</v>
      </c>
      <c r="V128" s="231">
        <v>16592</v>
      </c>
      <c r="W128" s="228">
        <v>8</v>
      </c>
      <c r="X128" s="229">
        <v>5.0000000000000001E-4</v>
      </c>
      <c r="Y128" s="228">
        <v>11</v>
      </c>
      <c r="Z128" s="228">
        <v>42</v>
      </c>
      <c r="AA128" s="228">
        <v>-31</v>
      </c>
      <c r="AB128" s="229">
        <v>6.9999999999999999E-4</v>
      </c>
      <c r="AC128" s="228">
        <v>11</v>
      </c>
      <c r="AD128" s="228">
        <v>42</v>
      </c>
      <c r="AE128" s="228">
        <v>-31</v>
      </c>
      <c r="AF128" s="229">
        <v>6.9999999999999999E-4</v>
      </c>
      <c r="AG128" s="228">
        <v>118</v>
      </c>
      <c r="AH128" s="228">
        <v>138</v>
      </c>
      <c r="AI128" s="228">
        <v>-20</v>
      </c>
      <c r="AJ128" s="229">
        <v>7.1999999999999998E-3</v>
      </c>
      <c r="AK128" s="228">
        <v>202</v>
      </c>
      <c r="AL128" s="228">
        <v>238</v>
      </c>
      <c r="AM128" s="228">
        <v>-36</v>
      </c>
      <c r="AN128" s="229">
        <v>1.23E-2</v>
      </c>
      <c r="AO128" s="231">
        <v>16430.61</v>
      </c>
      <c r="AP128" s="231">
        <v>16530.830000000002</v>
      </c>
      <c r="AQ128" s="228">
        <v>0</v>
      </c>
      <c r="AR128" s="230">
        <v>261150</v>
      </c>
      <c r="AS128" s="230">
        <v>296850</v>
      </c>
      <c r="AT128" s="230">
        <v>-35700</v>
      </c>
      <c r="AU128" s="229">
        <v>-0.1203</v>
      </c>
      <c r="AV128" s="230">
        <v>211450</v>
      </c>
      <c r="AW128" s="230">
        <v>237350</v>
      </c>
      <c r="AX128" s="230">
        <v>-25900</v>
      </c>
      <c r="AY128" s="229">
        <v>-0.1091</v>
      </c>
      <c r="AZ128" s="230">
        <v>48300</v>
      </c>
      <c r="BA128" s="230">
        <v>58050</v>
      </c>
      <c r="BB128" s="230">
        <v>-9750</v>
      </c>
      <c r="BC128" s="229">
        <v>-0.16800000000000001</v>
      </c>
      <c r="BD128" s="230">
        <v>1400</v>
      </c>
      <c r="BE128" s="230">
        <v>1450</v>
      </c>
      <c r="BF128" s="228">
        <v>-50</v>
      </c>
      <c r="BG128" s="229">
        <v>-3.4500000000000003E-2</v>
      </c>
      <c r="BH128" s="230">
        <v>1964900</v>
      </c>
      <c r="BI128" s="230">
        <v>1225400</v>
      </c>
      <c r="BJ128" s="230">
        <v>739500</v>
      </c>
      <c r="BK128" s="229">
        <v>0.60350000000000004</v>
      </c>
      <c r="BL128" s="230">
        <v>1517750</v>
      </c>
      <c r="BM128" s="230">
        <v>1450100</v>
      </c>
      <c r="BN128" s="230">
        <v>67650</v>
      </c>
      <c r="BO128" s="229">
        <v>4.6699999999999998E-2</v>
      </c>
      <c r="BP128" s="230">
        <v>3743800</v>
      </c>
      <c r="BQ128" s="230">
        <v>2972350</v>
      </c>
      <c r="BR128" s="230">
        <v>771450</v>
      </c>
      <c r="BS128" s="229">
        <v>0.25950000000000001</v>
      </c>
      <c r="BT128" s="230">
        <v>260520</v>
      </c>
      <c r="BU128" s="230">
        <v>166578</v>
      </c>
      <c r="BV128" s="230">
        <v>93942</v>
      </c>
      <c r="BW128" s="229">
        <v>0.56399999999999995</v>
      </c>
      <c r="BX128" s="230">
        <v>2854250</v>
      </c>
      <c r="BY128" s="230">
        <v>2860850</v>
      </c>
      <c r="BZ128" s="230">
        <v>-6600</v>
      </c>
      <c r="CA128" s="229">
        <v>-2.3E-3</v>
      </c>
      <c r="CB128" s="230">
        <v>2613950</v>
      </c>
      <c r="CC128" s="230">
        <v>2655800</v>
      </c>
      <c r="CD128" s="230">
        <v>-41850</v>
      </c>
      <c r="CE128" s="229">
        <v>-1.5800000000000002E-2</v>
      </c>
      <c r="CF128" s="230">
        <v>226550</v>
      </c>
      <c r="CG128" s="230">
        <v>191550</v>
      </c>
      <c r="CH128" s="230">
        <v>35000</v>
      </c>
      <c r="CI128" s="229">
        <v>0.1827</v>
      </c>
      <c r="CJ128" s="230">
        <v>13750</v>
      </c>
      <c r="CK128" s="230">
        <v>13500</v>
      </c>
      <c r="CL128" s="228">
        <v>250</v>
      </c>
      <c r="CM128" s="229">
        <v>1.8499999999999999E-2</v>
      </c>
      <c r="CN128" s="230">
        <v>1614100</v>
      </c>
      <c r="CO128" s="230">
        <v>1579000</v>
      </c>
      <c r="CP128" s="230">
        <v>35100</v>
      </c>
      <c r="CQ128" s="229">
        <v>2.2200000000000001E-2</v>
      </c>
      <c r="CR128" s="230">
        <v>1533750</v>
      </c>
      <c r="CS128" s="230">
        <v>1544850</v>
      </c>
      <c r="CT128" s="230">
        <v>-11100</v>
      </c>
      <c r="CU128" s="229">
        <v>-7.1999999999999998E-3</v>
      </c>
      <c r="CV128" s="230">
        <v>6002100</v>
      </c>
      <c r="CW128" s="230">
        <v>5984700</v>
      </c>
      <c r="CX128" s="230">
        <v>17400</v>
      </c>
      <c r="CY128" s="229">
        <v>2.8999999999999998E-3</v>
      </c>
      <c r="CZ128" s="228">
        <v>15.73</v>
      </c>
      <c r="DA128" s="228">
        <v>15.47</v>
      </c>
      <c r="DB128" s="228">
        <v>0.26</v>
      </c>
      <c r="DC128" s="228">
        <v>0.26</v>
      </c>
      <c r="DD128" s="228">
        <v>24.6</v>
      </c>
      <c r="DE128" s="228">
        <v>24.66</v>
      </c>
      <c r="DF128" s="228">
        <v>-8.8699999999999992</v>
      </c>
      <c r="DG128" s="228">
        <v>-0.06</v>
      </c>
      <c r="DH128" s="228">
        <v>15.24</v>
      </c>
      <c r="DI128" s="228">
        <v>15</v>
      </c>
      <c r="DJ128" s="228">
        <v>0.24</v>
      </c>
      <c r="DK128" s="228">
        <v>0.24</v>
      </c>
      <c r="DL128" s="228">
        <v>16.350000000000001</v>
      </c>
      <c r="DM128" s="228">
        <v>15.86</v>
      </c>
      <c r="DN128" s="228">
        <v>0.49</v>
      </c>
      <c r="DO128" s="228">
        <v>0.49</v>
      </c>
      <c r="DP128" s="228">
        <v>0.95</v>
      </c>
      <c r="DQ128" s="228">
        <v>0.98</v>
      </c>
      <c r="DR128" s="228">
        <v>-0.03</v>
      </c>
      <c r="DS128" s="229">
        <v>-3.0599999999999999E-2</v>
      </c>
      <c r="DT128" s="231">
        <v>16500</v>
      </c>
      <c r="DU128" s="231">
        <v>16000</v>
      </c>
      <c r="DV128" s="228">
        <v>0.77</v>
      </c>
      <c r="DW128" s="228">
        <v>1.18</v>
      </c>
      <c r="DX128" s="228">
        <v>-0.41</v>
      </c>
      <c r="DY128" s="229">
        <v>-0.34749999999999998</v>
      </c>
      <c r="DZ128" s="229">
        <v>8.4199999999999997E-2</v>
      </c>
      <c r="EA128" s="230">
        <v>205050</v>
      </c>
      <c r="EB128" s="229">
        <v>6.4999999999999997E-3</v>
      </c>
      <c r="EC128" s="229">
        <v>8.4199999999999997E-2</v>
      </c>
      <c r="ED128" s="228">
        <v>100.22</v>
      </c>
      <c r="EE128" s="229">
        <v>6.1000000000000004E-3</v>
      </c>
      <c r="EF128" s="230">
        <v>192505</v>
      </c>
      <c r="EG128" s="230">
        <v>110972</v>
      </c>
      <c r="EH128" s="229">
        <v>0.73470000000000002</v>
      </c>
      <c r="EI128" s="229">
        <v>0.7389</v>
      </c>
      <c r="EJ128" s="231">
        <v>329678.64</v>
      </c>
      <c r="EK128" s="231">
        <v>245569.84</v>
      </c>
      <c r="EL128" s="231">
        <v>42959.57</v>
      </c>
      <c r="EM128" s="231">
        <v>8241</v>
      </c>
      <c r="EN128" s="231">
        <v>618208.05000000005</v>
      </c>
      <c r="EO128" s="231">
        <v>489927.31</v>
      </c>
      <c r="EP128" s="231">
        <v>128280.74</v>
      </c>
      <c r="EQ128" s="229">
        <v>0.26179999999999998</v>
      </c>
      <c r="ER128" s="231">
        <v>269720</v>
      </c>
      <c r="ES128" s="231">
        <v>240779</v>
      </c>
      <c r="ET128" s="231">
        <v>468623</v>
      </c>
      <c r="EU128" s="231">
        <v>16752897</v>
      </c>
      <c r="EV128" s="231">
        <v>979121</v>
      </c>
      <c r="EW128" s="231">
        <v>975398</v>
      </c>
      <c r="EX128" s="231">
        <v>3723</v>
      </c>
      <c r="EY128" s="229">
        <v>3.8E-3</v>
      </c>
      <c r="EZ128" s="229">
        <v>0.35830000000000001</v>
      </c>
      <c r="FA128" s="227" t="s">
        <v>556</v>
      </c>
      <c r="FB128" s="161">
        <f t="shared" si="1"/>
        <v>240300</v>
      </c>
    </row>
    <row r="129" spans="1:158" ht="17.25" hidden="1" thickBot="1" x14ac:dyDescent="0.3">
      <c r="A129" s="226">
        <v>46008</v>
      </c>
      <c r="B129" s="227" t="s">
        <v>170</v>
      </c>
      <c r="C129" s="227" t="s">
        <v>603</v>
      </c>
      <c r="D129" s="228">
        <v>525</v>
      </c>
      <c r="E129" s="231">
        <v>1033.8</v>
      </c>
      <c r="F129" s="231">
        <v>1074.2</v>
      </c>
      <c r="G129" s="228">
        <v>-40.4</v>
      </c>
      <c r="H129" s="229">
        <v>-3.7600000000000001E-2</v>
      </c>
      <c r="I129" s="231">
        <v>1031.0999999999999</v>
      </c>
      <c r="J129" s="231">
        <v>1073</v>
      </c>
      <c r="K129" s="228">
        <v>-41.9</v>
      </c>
      <c r="L129" s="229">
        <v>-3.9E-2</v>
      </c>
      <c r="M129" s="231">
        <v>1033.8</v>
      </c>
      <c r="N129" s="231">
        <v>1074.2</v>
      </c>
      <c r="O129" s="228">
        <v>-40.4</v>
      </c>
      <c r="P129" s="229">
        <v>-3.7600000000000001E-2</v>
      </c>
      <c r="Q129" s="231">
        <v>1041.2</v>
      </c>
      <c r="R129" s="231">
        <v>1080</v>
      </c>
      <c r="S129" s="228">
        <v>-38.799999999999997</v>
      </c>
      <c r="T129" s="229">
        <v>-3.5900000000000001E-2</v>
      </c>
      <c r="U129" s="231">
        <v>1046.7</v>
      </c>
      <c r="V129" s="231">
        <v>1085.5999999999999</v>
      </c>
      <c r="W129" s="228">
        <v>-38.9</v>
      </c>
      <c r="X129" s="229">
        <v>-3.5799999999999998E-2</v>
      </c>
      <c r="Y129" s="228">
        <v>2.7</v>
      </c>
      <c r="Z129" s="228">
        <v>1.2</v>
      </c>
      <c r="AA129" s="228">
        <v>1.5</v>
      </c>
      <c r="AB129" s="229">
        <v>2.5999999999999999E-3</v>
      </c>
      <c r="AC129" s="228">
        <v>2.7</v>
      </c>
      <c r="AD129" s="228">
        <v>1.2</v>
      </c>
      <c r="AE129" s="228">
        <v>1.5</v>
      </c>
      <c r="AF129" s="229">
        <v>2.5999999999999999E-3</v>
      </c>
      <c r="AG129" s="228">
        <v>10.1</v>
      </c>
      <c r="AH129" s="228">
        <v>7</v>
      </c>
      <c r="AI129" s="228">
        <v>3.1</v>
      </c>
      <c r="AJ129" s="229">
        <v>9.7999999999999997E-3</v>
      </c>
      <c r="AK129" s="228">
        <v>15.6</v>
      </c>
      <c r="AL129" s="228">
        <v>12.6</v>
      </c>
      <c r="AM129" s="228">
        <v>3</v>
      </c>
      <c r="AN129" s="229">
        <v>1.5100000000000001E-2</v>
      </c>
      <c r="AO129" s="231">
        <v>1043.4100000000001</v>
      </c>
      <c r="AP129" s="231">
        <v>1050.24</v>
      </c>
      <c r="AQ129" s="228">
        <v>0</v>
      </c>
      <c r="AR129" s="230">
        <v>3700200</v>
      </c>
      <c r="AS129" s="230">
        <v>1201725</v>
      </c>
      <c r="AT129" s="230">
        <v>2498475</v>
      </c>
      <c r="AU129" s="229">
        <v>2.0790999999999999</v>
      </c>
      <c r="AV129" s="230">
        <v>3224025</v>
      </c>
      <c r="AW129" s="230">
        <v>1093050</v>
      </c>
      <c r="AX129" s="230">
        <v>2130975</v>
      </c>
      <c r="AY129" s="229">
        <v>1.9496</v>
      </c>
      <c r="AZ129" s="230">
        <v>440475</v>
      </c>
      <c r="BA129" s="230">
        <v>97125</v>
      </c>
      <c r="BB129" s="230">
        <v>343350</v>
      </c>
      <c r="BC129" s="229">
        <v>3.5350999999999999</v>
      </c>
      <c r="BD129" s="230">
        <v>35700</v>
      </c>
      <c r="BE129" s="230">
        <v>11550</v>
      </c>
      <c r="BF129" s="230">
        <v>24150</v>
      </c>
      <c r="BG129" s="229">
        <v>2.0909</v>
      </c>
      <c r="BH129" s="230">
        <v>14431200</v>
      </c>
      <c r="BI129" s="230">
        <v>3465525</v>
      </c>
      <c r="BJ129" s="230">
        <v>10965675</v>
      </c>
      <c r="BK129" s="229">
        <v>3.1642000000000001</v>
      </c>
      <c r="BL129" s="230">
        <v>18929925</v>
      </c>
      <c r="BM129" s="230">
        <v>833700</v>
      </c>
      <c r="BN129" s="230">
        <v>18096225</v>
      </c>
      <c r="BO129" s="229">
        <v>21.7059</v>
      </c>
      <c r="BP129" s="230">
        <v>37061325</v>
      </c>
      <c r="BQ129" s="230">
        <v>5500950</v>
      </c>
      <c r="BR129" s="230">
        <v>31560375</v>
      </c>
      <c r="BS129" s="229">
        <v>5.7373000000000003</v>
      </c>
      <c r="BT129" s="230">
        <v>4349516</v>
      </c>
      <c r="BU129" s="230">
        <v>1473285</v>
      </c>
      <c r="BV129" s="230">
        <v>2876231</v>
      </c>
      <c r="BW129" s="229">
        <v>1.9522999999999999</v>
      </c>
      <c r="BX129" s="230">
        <v>19722675</v>
      </c>
      <c r="BY129" s="230">
        <v>18824925</v>
      </c>
      <c r="BZ129" s="230">
        <v>897750</v>
      </c>
      <c r="CA129" s="229">
        <v>4.7699999999999999E-2</v>
      </c>
      <c r="CB129" s="230">
        <v>18618600</v>
      </c>
      <c r="CC129" s="230">
        <v>17940300</v>
      </c>
      <c r="CD129" s="230">
        <v>678300</v>
      </c>
      <c r="CE129" s="229">
        <v>3.78E-2</v>
      </c>
      <c r="CF129" s="230">
        <v>941850</v>
      </c>
      <c r="CG129" s="230">
        <v>743400</v>
      </c>
      <c r="CH129" s="230">
        <v>198450</v>
      </c>
      <c r="CI129" s="229">
        <v>0.26690000000000003</v>
      </c>
      <c r="CJ129" s="230">
        <v>162225</v>
      </c>
      <c r="CK129" s="230">
        <v>141225</v>
      </c>
      <c r="CL129" s="230">
        <v>21000</v>
      </c>
      <c r="CM129" s="229">
        <v>0.1487</v>
      </c>
      <c r="CN129" s="230">
        <v>7305375</v>
      </c>
      <c r="CO129" s="230">
        <v>5549250</v>
      </c>
      <c r="CP129" s="230">
        <v>1756125</v>
      </c>
      <c r="CQ129" s="229">
        <v>0.3165</v>
      </c>
      <c r="CR129" s="230">
        <v>3847200</v>
      </c>
      <c r="CS129" s="230">
        <v>2820825</v>
      </c>
      <c r="CT129" s="230">
        <v>1026375</v>
      </c>
      <c r="CU129" s="229">
        <v>0.3639</v>
      </c>
      <c r="CV129" s="230">
        <v>30875250</v>
      </c>
      <c r="CW129" s="230">
        <v>27195000</v>
      </c>
      <c r="CX129" s="230">
        <v>3680250</v>
      </c>
      <c r="CY129" s="229">
        <v>0.1353</v>
      </c>
      <c r="CZ129" s="228">
        <v>27.79</v>
      </c>
      <c r="DA129" s="228">
        <v>24.56</v>
      </c>
      <c r="DB129" s="228">
        <v>3.23</v>
      </c>
      <c r="DC129" s="228">
        <v>3.23</v>
      </c>
      <c r="DD129" s="228">
        <v>39.32</v>
      </c>
      <c r="DE129" s="228">
        <v>39.049999999999997</v>
      </c>
      <c r="DF129" s="228">
        <v>-11.53</v>
      </c>
      <c r="DG129" s="228">
        <v>0.27</v>
      </c>
      <c r="DH129" s="228">
        <v>28.93</v>
      </c>
      <c r="DI129" s="228">
        <v>24.62</v>
      </c>
      <c r="DJ129" s="228">
        <v>4.3099999999999996</v>
      </c>
      <c r="DK129" s="228">
        <v>4.3099999999999996</v>
      </c>
      <c r="DL129" s="228">
        <v>26.93</v>
      </c>
      <c r="DM129" s="228">
        <v>24.3</v>
      </c>
      <c r="DN129" s="228">
        <v>2.63</v>
      </c>
      <c r="DO129" s="228">
        <v>2.63</v>
      </c>
      <c r="DP129" s="228">
        <v>0.53</v>
      </c>
      <c r="DQ129" s="228">
        <v>0.51</v>
      </c>
      <c r="DR129" s="228">
        <v>0.02</v>
      </c>
      <c r="DS129" s="229">
        <v>3.9199999999999999E-2</v>
      </c>
      <c r="DT129" s="231">
        <v>1100</v>
      </c>
      <c r="DU129" s="231">
        <v>1160</v>
      </c>
      <c r="DV129" s="228">
        <v>1.31</v>
      </c>
      <c r="DW129" s="228">
        <v>0.24</v>
      </c>
      <c r="DX129" s="228">
        <v>1.07</v>
      </c>
      <c r="DY129" s="229">
        <v>4.4583000000000004</v>
      </c>
      <c r="DZ129" s="229">
        <v>5.6000000000000001E-2</v>
      </c>
      <c r="EA129" s="230">
        <v>884625</v>
      </c>
      <c r="EB129" s="229">
        <v>7.1999999999999998E-3</v>
      </c>
      <c r="EC129" s="229">
        <v>5.6000000000000001E-2</v>
      </c>
      <c r="ED129" s="228">
        <v>6.83</v>
      </c>
      <c r="EE129" s="229">
        <v>6.4999999999999997E-3</v>
      </c>
      <c r="EF129" s="230">
        <v>2657537</v>
      </c>
      <c r="EG129" s="230">
        <v>966569</v>
      </c>
      <c r="EH129" s="229">
        <v>1.7495000000000001</v>
      </c>
      <c r="EI129" s="229">
        <v>0.61099999999999999</v>
      </c>
      <c r="EJ129" s="231">
        <v>158849.51</v>
      </c>
      <c r="EK129" s="231">
        <v>196655.23</v>
      </c>
      <c r="EL129" s="231">
        <v>38643.56</v>
      </c>
      <c r="EM129" s="231">
        <v>2845</v>
      </c>
      <c r="EN129" s="231">
        <v>394148.3</v>
      </c>
      <c r="EO129" s="231">
        <v>61043.43</v>
      </c>
      <c r="EP129" s="231">
        <v>333104.87</v>
      </c>
      <c r="EQ129" s="229">
        <v>5.4569000000000001</v>
      </c>
      <c r="ER129" s="231">
        <v>82936</v>
      </c>
      <c r="ES129" s="231">
        <v>41082</v>
      </c>
      <c r="ET129" s="231">
        <v>203984</v>
      </c>
      <c r="EU129" s="231">
        <v>97211768</v>
      </c>
      <c r="EV129" s="231">
        <v>328002</v>
      </c>
      <c r="EW129" s="231">
        <v>297725</v>
      </c>
      <c r="EX129" s="231">
        <v>30277</v>
      </c>
      <c r="EY129" s="229">
        <v>0.1017</v>
      </c>
      <c r="EZ129" s="229">
        <v>0.31759999999999999</v>
      </c>
      <c r="FA129" s="227" t="s">
        <v>567</v>
      </c>
      <c r="FB129" s="161">
        <f t="shared" si="1"/>
        <v>1104075</v>
      </c>
    </row>
    <row r="130" spans="1:158" ht="17.25" hidden="1" thickBot="1" x14ac:dyDescent="0.3">
      <c r="A130" s="226">
        <v>46008</v>
      </c>
      <c r="B130" s="227" t="s">
        <v>215</v>
      </c>
      <c r="C130" s="227" t="s">
        <v>674</v>
      </c>
      <c r="D130" s="228">
        <v>175</v>
      </c>
      <c r="E130" s="231">
        <v>2362.6</v>
      </c>
      <c r="F130" s="231">
        <v>2416.6</v>
      </c>
      <c r="G130" s="228">
        <v>-54</v>
      </c>
      <c r="H130" s="229">
        <v>-2.23E-2</v>
      </c>
      <c r="I130" s="231">
        <v>2356.6</v>
      </c>
      <c r="J130" s="231">
        <v>2408</v>
      </c>
      <c r="K130" s="228">
        <v>-51.4</v>
      </c>
      <c r="L130" s="229">
        <v>-2.1299999999999999E-2</v>
      </c>
      <c r="M130" s="231">
        <v>2362.6</v>
      </c>
      <c r="N130" s="231">
        <v>2416.6</v>
      </c>
      <c r="O130" s="228">
        <v>-54</v>
      </c>
      <c r="P130" s="229">
        <v>-2.23E-2</v>
      </c>
      <c r="Q130" s="231">
        <v>2376.9</v>
      </c>
      <c r="R130" s="231">
        <v>2425.6</v>
      </c>
      <c r="S130" s="228">
        <v>-48.7</v>
      </c>
      <c r="T130" s="229">
        <v>-2.01E-2</v>
      </c>
      <c r="U130" s="231">
        <v>2388.8000000000002</v>
      </c>
      <c r="V130" s="231">
        <v>2441.6</v>
      </c>
      <c r="W130" s="228">
        <v>-52.8</v>
      </c>
      <c r="X130" s="229">
        <v>-2.1600000000000001E-2</v>
      </c>
      <c r="Y130" s="228">
        <v>6</v>
      </c>
      <c r="Z130" s="228">
        <v>8.6</v>
      </c>
      <c r="AA130" s="228">
        <v>-2.6</v>
      </c>
      <c r="AB130" s="229">
        <v>2.5000000000000001E-3</v>
      </c>
      <c r="AC130" s="228">
        <v>6</v>
      </c>
      <c r="AD130" s="228">
        <v>8.6</v>
      </c>
      <c r="AE130" s="228">
        <v>-2.6</v>
      </c>
      <c r="AF130" s="229">
        <v>2.5000000000000001E-3</v>
      </c>
      <c r="AG130" s="228">
        <v>20.3</v>
      </c>
      <c r="AH130" s="228">
        <v>17.600000000000001</v>
      </c>
      <c r="AI130" s="228">
        <v>2.7</v>
      </c>
      <c r="AJ130" s="229">
        <v>8.6E-3</v>
      </c>
      <c r="AK130" s="228">
        <v>32.200000000000003</v>
      </c>
      <c r="AL130" s="228">
        <v>33.6</v>
      </c>
      <c r="AM130" s="228">
        <v>-1.4</v>
      </c>
      <c r="AN130" s="229">
        <v>1.37E-2</v>
      </c>
      <c r="AO130" s="231">
        <v>2382.92</v>
      </c>
      <c r="AP130" s="231">
        <v>2398.0300000000002</v>
      </c>
      <c r="AQ130" s="228">
        <v>0</v>
      </c>
      <c r="AR130" s="230">
        <v>746725</v>
      </c>
      <c r="AS130" s="230">
        <v>725900</v>
      </c>
      <c r="AT130" s="230">
        <v>20825</v>
      </c>
      <c r="AU130" s="229">
        <v>2.87E-2</v>
      </c>
      <c r="AV130" s="230">
        <v>564200</v>
      </c>
      <c r="AW130" s="230">
        <v>642075</v>
      </c>
      <c r="AX130" s="230">
        <v>-77875</v>
      </c>
      <c r="AY130" s="229">
        <v>-0.12130000000000001</v>
      </c>
      <c r="AZ130" s="230">
        <v>148925</v>
      </c>
      <c r="BA130" s="230">
        <v>77000</v>
      </c>
      <c r="BB130" s="230">
        <v>71925</v>
      </c>
      <c r="BC130" s="229">
        <v>0.93410000000000004</v>
      </c>
      <c r="BD130" s="230">
        <v>33600</v>
      </c>
      <c r="BE130" s="230">
        <v>6825</v>
      </c>
      <c r="BF130" s="230">
        <v>26775</v>
      </c>
      <c r="BG130" s="229">
        <v>3.9230999999999998</v>
      </c>
      <c r="BH130" s="230">
        <v>3565800</v>
      </c>
      <c r="BI130" s="230">
        <v>2536975</v>
      </c>
      <c r="BJ130" s="230">
        <v>1028825</v>
      </c>
      <c r="BK130" s="229">
        <v>0.40550000000000003</v>
      </c>
      <c r="BL130" s="230">
        <v>2150050</v>
      </c>
      <c r="BM130" s="230">
        <v>1018150</v>
      </c>
      <c r="BN130" s="230">
        <v>1131900</v>
      </c>
      <c r="BO130" s="229">
        <v>1.1116999999999999</v>
      </c>
      <c r="BP130" s="230">
        <v>6462575</v>
      </c>
      <c r="BQ130" s="230">
        <v>4281025</v>
      </c>
      <c r="BR130" s="230">
        <v>2181550</v>
      </c>
      <c r="BS130" s="229">
        <v>0.50960000000000005</v>
      </c>
      <c r="BT130" s="230">
        <v>697328</v>
      </c>
      <c r="BU130" s="230">
        <v>619971</v>
      </c>
      <c r="BV130" s="230">
        <v>77357</v>
      </c>
      <c r="BW130" s="229">
        <v>0.12479999999999999</v>
      </c>
      <c r="BX130" s="230">
        <v>4584550</v>
      </c>
      <c r="BY130" s="230">
        <v>4621675</v>
      </c>
      <c r="BZ130" s="230">
        <v>-37125</v>
      </c>
      <c r="CA130" s="229">
        <v>-8.0000000000000002E-3</v>
      </c>
      <c r="CB130" s="230">
        <v>4084150</v>
      </c>
      <c r="CC130" s="230">
        <v>4149075</v>
      </c>
      <c r="CD130" s="230">
        <v>-64925</v>
      </c>
      <c r="CE130" s="229">
        <v>-1.5599999999999999E-2</v>
      </c>
      <c r="CF130" s="230">
        <v>456000</v>
      </c>
      <c r="CG130" s="230">
        <v>431800</v>
      </c>
      <c r="CH130" s="230">
        <v>24200</v>
      </c>
      <c r="CI130" s="229">
        <v>5.6000000000000001E-2</v>
      </c>
      <c r="CJ130" s="230">
        <v>44400</v>
      </c>
      <c r="CK130" s="230">
        <v>40800</v>
      </c>
      <c r="CL130" s="230">
        <v>3600</v>
      </c>
      <c r="CM130" s="229">
        <v>8.8200000000000001E-2</v>
      </c>
      <c r="CN130" s="230">
        <v>4206900</v>
      </c>
      <c r="CO130" s="230">
        <v>4068475</v>
      </c>
      <c r="CP130" s="230">
        <v>138425</v>
      </c>
      <c r="CQ130" s="229">
        <v>3.4000000000000002E-2</v>
      </c>
      <c r="CR130" s="230">
        <v>1788600</v>
      </c>
      <c r="CS130" s="230">
        <v>1811350</v>
      </c>
      <c r="CT130" s="230">
        <v>-22750</v>
      </c>
      <c r="CU130" s="229">
        <v>-1.26E-2</v>
      </c>
      <c r="CV130" s="230">
        <v>10580050</v>
      </c>
      <c r="CW130" s="230">
        <v>10501500</v>
      </c>
      <c r="CX130" s="230">
        <v>78550</v>
      </c>
      <c r="CY130" s="229">
        <v>7.4999999999999997E-3</v>
      </c>
      <c r="CZ130" s="228">
        <v>30.87</v>
      </c>
      <c r="DA130" s="228">
        <v>31.88</v>
      </c>
      <c r="DB130" s="228">
        <v>-1.01</v>
      </c>
      <c r="DC130" s="228">
        <v>-1.01</v>
      </c>
      <c r="DD130" s="228">
        <v>55.4</v>
      </c>
      <c r="DE130" s="228">
        <v>55.46</v>
      </c>
      <c r="DF130" s="228">
        <v>-24.53</v>
      </c>
      <c r="DG130" s="228">
        <v>-0.06</v>
      </c>
      <c r="DH130" s="228">
        <v>32.49</v>
      </c>
      <c r="DI130" s="228">
        <v>32.840000000000003</v>
      </c>
      <c r="DJ130" s="228">
        <v>-0.35</v>
      </c>
      <c r="DK130" s="228">
        <v>-0.35</v>
      </c>
      <c r="DL130" s="228">
        <v>28.17</v>
      </c>
      <c r="DM130" s="228">
        <v>29.48</v>
      </c>
      <c r="DN130" s="228">
        <v>-1.31</v>
      </c>
      <c r="DO130" s="228">
        <v>-1.31</v>
      </c>
      <c r="DP130" s="228">
        <v>0.43</v>
      </c>
      <c r="DQ130" s="228">
        <v>0.45</v>
      </c>
      <c r="DR130" s="228">
        <v>-0.02</v>
      </c>
      <c r="DS130" s="229">
        <v>-4.4400000000000002E-2</v>
      </c>
      <c r="DT130" s="231">
        <v>2700</v>
      </c>
      <c r="DU130" s="231">
        <v>2400</v>
      </c>
      <c r="DV130" s="228">
        <v>0.6</v>
      </c>
      <c r="DW130" s="228">
        <v>0.4</v>
      </c>
      <c r="DX130" s="228">
        <v>0.2</v>
      </c>
      <c r="DY130" s="229">
        <v>0.5</v>
      </c>
      <c r="DZ130" s="229">
        <v>0.1091</v>
      </c>
      <c r="EA130" s="230">
        <v>472600</v>
      </c>
      <c r="EB130" s="229">
        <v>6.1000000000000004E-3</v>
      </c>
      <c r="EC130" s="229">
        <v>0.1091</v>
      </c>
      <c r="ED130" s="228">
        <v>15.11</v>
      </c>
      <c r="EE130" s="229">
        <v>6.3E-3</v>
      </c>
      <c r="EF130" s="230">
        <v>209676</v>
      </c>
      <c r="EG130" s="230">
        <v>180964</v>
      </c>
      <c r="EH130" s="229">
        <v>0.15870000000000001</v>
      </c>
      <c r="EI130" s="229">
        <v>0.30070000000000002</v>
      </c>
      <c r="EJ130" s="231">
        <v>91448.97</v>
      </c>
      <c r="EK130" s="231">
        <v>52347.09</v>
      </c>
      <c r="EL130" s="231">
        <v>18453.66</v>
      </c>
      <c r="EM130" s="231">
        <v>3632</v>
      </c>
      <c r="EN130" s="231">
        <v>162249.72</v>
      </c>
      <c r="EO130" s="231">
        <v>109633.57</v>
      </c>
      <c r="EP130" s="231">
        <v>52616.15</v>
      </c>
      <c r="EQ130" s="229">
        <v>0.47989999999999999</v>
      </c>
      <c r="ER130" s="231">
        <v>112822</v>
      </c>
      <c r="ES130" s="231">
        <v>45610</v>
      </c>
      <c r="ET130" s="231">
        <v>108391</v>
      </c>
      <c r="EU130" s="231">
        <v>11364224</v>
      </c>
      <c r="EV130" s="231">
        <v>266823</v>
      </c>
      <c r="EW130" s="231">
        <v>268007</v>
      </c>
      <c r="EX130" s="231">
        <v>-1184</v>
      </c>
      <c r="EY130" s="229">
        <v>-4.4000000000000003E-3</v>
      </c>
      <c r="EZ130" s="229">
        <v>0.93100000000000005</v>
      </c>
      <c r="FA130" s="227" t="s">
        <v>568</v>
      </c>
      <c r="FB130" s="161">
        <f t="shared" si="1"/>
        <v>500400</v>
      </c>
    </row>
    <row r="131" spans="1:158" ht="17.25" hidden="1" thickBot="1" x14ac:dyDescent="0.3">
      <c r="A131" s="226">
        <v>46008</v>
      </c>
      <c r="B131" s="227" t="s">
        <v>175</v>
      </c>
      <c r="C131" s="227" t="s">
        <v>517</v>
      </c>
      <c r="D131" s="228">
        <v>125</v>
      </c>
      <c r="E131" s="231">
        <v>10066</v>
      </c>
      <c r="F131" s="231">
        <v>10195</v>
      </c>
      <c r="G131" s="228">
        <v>-129</v>
      </c>
      <c r="H131" s="229">
        <v>-1.2699999999999999E-2</v>
      </c>
      <c r="I131" s="231">
        <v>10025</v>
      </c>
      <c r="J131" s="231">
        <v>10164</v>
      </c>
      <c r="K131" s="228">
        <v>-139</v>
      </c>
      <c r="L131" s="229">
        <v>-1.37E-2</v>
      </c>
      <c r="M131" s="231">
        <v>10066</v>
      </c>
      <c r="N131" s="231">
        <v>10195</v>
      </c>
      <c r="O131" s="228">
        <v>-129</v>
      </c>
      <c r="P131" s="229">
        <v>-1.2699999999999999E-2</v>
      </c>
      <c r="Q131" s="231">
        <v>10120</v>
      </c>
      <c r="R131" s="231">
        <v>10262</v>
      </c>
      <c r="S131" s="228">
        <v>-142</v>
      </c>
      <c r="T131" s="229">
        <v>-1.38E-2</v>
      </c>
      <c r="U131" s="231">
        <v>10188</v>
      </c>
      <c r="V131" s="231">
        <v>10293</v>
      </c>
      <c r="W131" s="228">
        <v>-105</v>
      </c>
      <c r="X131" s="229">
        <v>-1.0200000000000001E-2</v>
      </c>
      <c r="Y131" s="228">
        <v>41</v>
      </c>
      <c r="Z131" s="228">
        <v>31</v>
      </c>
      <c r="AA131" s="228">
        <v>10</v>
      </c>
      <c r="AB131" s="229">
        <v>4.1000000000000003E-3</v>
      </c>
      <c r="AC131" s="228">
        <v>41</v>
      </c>
      <c r="AD131" s="228">
        <v>31</v>
      </c>
      <c r="AE131" s="228">
        <v>10</v>
      </c>
      <c r="AF131" s="229">
        <v>4.1000000000000003E-3</v>
      </c>
      <c r="AG131" s="228">
        <v>95</v>
      </c>
      <c r="AH131" s="228">
        <v>98</v>
      </c>
      <c r="AI131" s="228">
        <v>-3</v>
      </c>
      <c r="AJ131" s="229">
        <v>9.4999999999999998E-3</v>
      </c>
      <c r="AK131" s="228">
        <v>163</v>
      </c>
      <c r="AL131" s="228">
        <v>129</v>
      </c>
      <c r="AM131" s="228">
        <v>34</v>
      </c>
      <c r="AN131" s="229">
        <v>1.6299999999999999E-2</v>
      </c>
      <c r="AO131" s="231">
        <v>10126.99</v>
      </c>
      <c r="AP131" s="231">
        <v>10185.34</v>
      </c>
      <c r="AQ131" s="228">
        <v>0</v>
      </c>
      <c r="AR131" s="230">
        <v>562000</v>
      </c>
      <c r="AS131" s="230">
        <v>882000</v>
      </c>
      <c r="AT131" s="230">
        <v>-320000</v>
      </c>
      <c r="AU131" s="229">
        <v>-0.36280000000000001</v>
      </c>
      <c r="AV131" s="230">
        <v>472250</v>
      </c>
      <c r="AW131" s="230">
        <v>757500</v>
      </c>
      <c r="AX131" s="230">
        <v>-285250</v>
      </c>
      <c r="AY131" s="229">
        <v>-0.37659999999999999</v>
      </c>
      <c r="AZ131" s="230">
        <v>86625</v>
      </c>
      <c r="BA131" s="230">
        <v>118750</v>
      </c>
      <c r="BB131" s="230">
        <v>-32125</v>
      </c>
      <c r="BC131" s="229">
        <v>-0.27050000000000002</v>
      </c>
      <c r="BD131" s="230">
        <v>3125</v>
      </c>
      <c r="BE131" s="230">
        <v>5750</v>
      </c>
      <c r="BF131" s="230">
        <v>-2625</v>
      </c>
      <c r="BG131" s="229">
        <v>-0.45650000000000002</v>
      </c>
      <c r="BH131" s="230">
        <v>3499750</v>
      </c>
      <c r="BI131" s="230">
        <v>4289625</v>
      </c>
      <c r="BJ131" s="230">
        <v>-789875</v>
      </c>
      <c r="BK131" s="229">
        <v>-0.18410000000000001</v>
      </c>
      <c r="BL131" s="230">
        <v>2283250</v>
      </c>
      <c r="BM131" s="230">
        <v>3273875</v>
      </c>
      <c r="BN131" s="230">
        <v>-990625</v>
      </c>
      <c r="BO131" s="229">
        <v>-0.30259999999999998</v>
      </c>
      <c r="BP131" s="230">
        <v>6345000</v>
      </c>
      <c r="BQ131" s="230">
        <v>8445500</v>
      </c>
      <c r="BR131" s="230">
        <v>-2100500</v>
      </c>
      <c r="BS131" s="229">
        <v>-0.2487</v>
      </c>
      <c r="BT131" s="230">
        <v>294649</v>
      </c>
      <c r="BU131" s="230">
        <v>363526</v>
      </c>
      <c r="BV131" s="230">
        <v>-68877</v>
      </c>
      <c r="BW131" s="229">
        <v>-0.1895</v>
      </c>
      <c r="BX131" s="230">
        <v>2888750</v>
      </c>
      <c r="BY131" s="230">
        <v>2764625</v>
      </c>
      <c r="BZ131" s="230">
        <v>124125</v>
      </c>
      <c r="CA131" s="229">
        <v>4.4900000000000002E-2</v>
      </c>
      <c r="CB131" s="230">
        <v>2568750</v>
      </c>
      <c r="CC131" s="230">
        <v>2479625</v>
      </c>
      <c r="CD131" s="230">
        <v>89125</v>
      </c>
      <c r="CE131" s="229">
        <v>3.5900000000000001E-2</v>
      </c>
      <c r="CF131" s="230">
        <v>275125</v>
      </c>
      <c r="CG131" s="230">
        <v>239625</v>
      </c>
      <c r="CH131" s="230">
        <v>35500</v>
      </c>
      <c r="CI131" s="229">
        <v>0.14810000000000001</v>
      </c>
      <c r="CJ131" s="230">
        <v>44875</v>
      </c>
      <c r="CK131" s="230">
        <v>45375</v>
      </c>
      <c r="CL131" s="228">
        <v>-500</v>
      </c>
      <c r="CM131" s="229">
        <v>-1.0999999999999999E-2</v>
      </c>
      <c r="CN131" s="230">
        <v>3142000</v>
      </c>
      <c r="CO131" s="230">
        <v>2942375</v>
      </c>
      <c r="CP131" s="230">
        <v>199625</v>
      </c>
      <c r="CQ131" s="229">
        <v>6.7799999999999999E-2</v>
      </c>
      <c r="CR131" s="230">
        <v>1995750</v>
      </c>
      <c r="CS131" s="230">
        <v>1964750</v>
      </c>
      <c r="CT131" s="230">
        <v>31000</v>
      </c>
      <c r="CU131" s="229">
        <v>1.5800000000000002E-2</v>
      </c>
      <c r="CV131" s="230">
        <v>8026500</v>
      </c>
      <c r="CW131" s="230">
        <v>7671750</v>
      </c>
      <c r="CX131" s="230">
        <v>354750</v>
      </c>
      <c r="CY131" s="229">
        <v>4.6199999999999998E-2</v>
      </c>
      <c r="CZ131" s="228">
        <v>30.89</v>
      </c>
      <c r="DA131" s="228">
        <v>30.47</v>
      </c>
      <c r="DB131" s="228">
        <v>0.42</v>
      </c>
      <c r="DC131" s="228">
        <v>0.42</v>
      </c>
      <c r="DD131" s="228">
        <v>45.24</v>
      </c>
      <c r="DE131" s="228">
        <v>45.32</v>
      </c>
      <c r="DF131" s="228">
        <v>-14.35</v>
      </c>
      <c r="DG131" s="228">
        <v>-0.08</v>
      </c>
      <c r="DH131" s="228">
        <v>31.11</v>
      </c>
      <c r="DI131" s="228">
        <v>30.41</v>
      </c>
      <c r="DJ131" s="228">
        <v>0.7</v>
      </c>
      <c r="DK131" s="228">
        <v>0.7</v>
      </c>
      <c r="DL131" s="228">
        <v>30.54</v>
      </c>
      <c r="DM131" s="228">
        <v>30.55</v>
      </c>
      <c r="DN131" s="228">
        <v>-0.01</v>
      </c>
      <c r="DO131" s="228">
        <v>-0.01</v>
      </c>
      <c r="DP131" s="228">
        <v>0.64</v>
      </c>
      <c r="DQ131" s="228">
        <v>0.67</v>
      </c>
      <c r="DR131" s="228">
        <v>-0.03</v>
      </c>
      <c r="DS131" s="229">
        <v>-4.48E-2</v>
      </c>
      <c r="DT131" s="231">
        <v>11000</v>
      </c>
      <c r="DU131" s="231">
        <v>10000</v>
      </c>
      <c r="DV131" s="228">
        <v>0.65</v>
      </c>
      <c r="DW131" s="228">
        <v>0.76</v>
      </c>
      <c r="DX131" s="228">
        <v>-0.11</v>
      </c>
      <c r="DY131" s="229">
        <v>-0.1447</v>
      </c>
      <c r="DZ131" s="229">
        <v>0.1108</v>
      </c>
      <c r="EA131" s="230">
        <v>285000</v>
      </c>
      <c r="EB131" s="229">
        <v>5.4000000000000003E-3</v>
      </c>
      <c r="EC131" s="229">
        <v>0.1108</v>
      </c>
      <c r="ED131" s="228">
        <v>58.35</v>
      </c>
      <c r="EE131" s="229">
        <v>5.7999999999999996E-3</v>
      </c>
      <c r="EF131" s="230">
        <v>102061</v>
      </c>
      <c r="EG131" s="230">
        <v>98918</v>
      </c>
      <c r="EH131" s="229">
        <v>3.1800000000000002E-2</v>
      </c>
      <c r="EI131" s="229">
        <v>0.34639999999999999</v>
      </c>
      <c r="EJ131" s="231">
        <v>371997.14</v>
      </c>
      <c r="EK131" s="231">
        <v>226664.94</v>
      </c>
      <c r="EL131" s="231">
        <v>56967.92</v>
      </c>
      <c r="EM131" s="231">
        <v>7713</v>
      </c>
      <c r="EN131" s="231">
        <v>655630</v>
      </c>
      <c r="EO131" s="231">
        <v>873773.09</v>
      </c>
      <c r="EP131" s="231">
        <v>-218143.09</v>
      </c>
      <c r="EQ131" s="229">
        <v>-0.24970000000000001</v>
      </c>
      <c r="ER131" s="231">
        <v>330281</v>
      </c>
      <c r="ES131" s="231">
        <v>192630</v>
      </c>
      <c r="ET131" s="231">
        <v>290985</v>
      </c>
      <c r="EU131" s="231">
        <v>7635422</v>
      </c>
      <c r="EV131" s="231">
        <v>813896</v>
      </c>
      <c r="EW131" s="231">
        <v>781843</v>
      </c>
      <c r="EX131" s="231">
        <v>32053</v>
      </c>
      <c r="EY131" s="229">
        <v>4.1000000000000002E-2</v>
      </c>
      <c r="EZ131" s="229">
        <v>1.0511999999999999</v>
      </c>
      <c r="FA131" s="227" t="s">
        <v>567</v>
      </c>
      <c r="FB131" s="161">
        <f t="shared" ref="FB131:FB138" si="2">BX131-CB131</f>
        <v>320000</v>
      </c>
    </row>
    <row r="132" spans="1:158" ht="17.25" hidden="1" thickBot="1" x14ac:dyDescent="0.3">
      <c r="A132" s="226">
        <v>46008</v>
      </c>
      <c r="B132" s="227" t="s">
        <v>175</v>
      </c>
      <c r="C132" s="227" t="s">
        <v>257</v>
      </c>
      <c r="D132" s="228">
        <v>400</v>
      </c>
      <c r="E132" s="231">
        <v>1668.5</v>
      </c>
      <c r="F132" s="231">
        <v>1675.8</v>
      </c>
      <c r="G132" s="228">
        <v>-7.3</v>
      </c>
      <c r="H132" s="229">
        <v>-4.4000000000000003E-3</v>
      </c>
      <c r="I132" s="231">
        <v>1663.9</v>
      </c>
      <c r="J132" s="231">
        <v>1669.6</v>
      </c>
      <c r="K132" s="228">
        <v>-5.7</v>
      </c>
      <c r="L132" s="229">
        <v>-3.3999999999999998E-3</v>
      </c>
      <c r="M132" s="231">
        <v>1668.5</v>
      </c>
      <c r="N132" s="231">
        <v>1675.8</v>
      </c>
      <c r="O132" s="228">
        <v>-7.3</v>
      </c>
      <c r="P132" s="229">
        <v>-4.4000000000000003E-3</v>
      </c>
      <c r="Q132" s="231">
        <v>1677.5</v>
      </c>
      <c r="R132" s="231">
        <v>1685.8</v>
      </c>
      <c r="S132" s="228">
        <v>-8.3000000000000007</v>
      </c>
      <c r="T132" s="229">
        <v>-4.8999999999999998E-3</v>
      </c>
      <c r="U132" s="231">
        <v>1684.6</v>
      </c>
      <c r="V132" s="231">
        <v>1708</v>
      </c>
      <c r="W132" s="228">
        <v>-23.4</v>
      </c>
      <c r="X132" s="229">
        <v>-1.37E-2</v>
      </c>
      <c r="Y132" s="228">
        <v>4.5999999999999996</v>
      </c>
      <c r="Z132" s="228">
        <v>6.2</v>
      </c>
      <c r="AA132" s="228">
        <v>-1.6</v>
      </c>
      <c r="AB132" s="229">
        <v>2.8E-3</v>
      </c>
      <c r="AC132" s="228">
        <v>4.5999999999999996</v>
      </c>
      <c r="AD132" s="228">
        <v>6.2</v>
      </c>
      <c r="AE132" s="228">
        <v>-1.6</v>
      </c>
      <c r="AF132" s="229">
        <v>2.8E-3</v>
      </c>
      <c r="AG132" s="228">
        <v>13.6</v>
      </c>
      <c r="AH132" s="228">
        <v>16.2</v>
      </c>
      <c r="AI132" s="228">
        <v>-2.6</v>
      </c>
      <c r="AJ132" s="229">
        <v>8.2000000000000007E-3</v>
      </c>
      <c r="AK132" s="228">
        <v>20.7</v>
      </c>
      <c r="AL132" s="228">
        <v>38.4</v>
      </c>
      <c r="AM132" s="228">
        <v>-17.7</v>
      </c>
      <c r="AN132" s="229">
        <v>1.24E-2</v>
      </c>
      <c r="AO132" s="231">
        <v>1662.79</v>
      </c>
      <c r="AP132" s="231">
        <v>1673.16</v>
      </c>
      <c r="AQ132" s="228">
        <v>0</v>
      </c>
      <c r="AR132" s="230">
        <v>806400</v>
      </c>
      <c r="AS132" s="230">
        <v>836000</v>
      </c>
      <c r="AT132" s="230">
        <v>-29600</v>
      </c>
      <c r="AU132" s="229">
        <v>-3.5400000000000001E-2</v>
      </c>
      <c r="AV132" s="230">
        <v>696000</v>
      </c>
      <c r="AW132" s="230">
        <v>770000</v>
      </c>
      <c r="AX132" s="230">
        <v>-74000</v>
      </c>
      <c r="AY132" s="229">
        <v>-9.6100000000000005E-2</v>
      </c>
      <c r="AZ132" s="230">
        <v>109200</v>
      </c>
      <c r="BA132" s="230">
        <v>60400</v>
      </c>
      <c r="BB132" s="230">
        <v>48800</v>
      </c>
      <c r="BC132" s="229">
        <v>0.80789999999999995</v>
      </c>
      <c r="BD132" s="230">
        <v>1200</v>
      </c>
      <c r="BE132" s="230">
        <v>5600</v>
      </c>
      <c r="BF132" s="230">
        <v>-4400</v>
      </c>
      <c r="BG132" s="229">
        <v>-0.78569999999999995</v>
      </c>
      <c r="BH132" s="230">
        <v>1825600</v>
      </c>
      <c r="BI132" s="230">
        <v>2343600</v>
      </c>
      <c r="BJ132" s="230">
        <v>-518000</v>
      </c>
      <c r="BK132" s="229">
        <v>-0.221</v>
      </c>
      <c r="BL132" s="230">
        <v>1117600</v>
      </c>
      <c r="BM132" s="230">
        <v>971200</v>
      </c>
      <c r="BN132" s="230">
        <v>146400</v>
      </c>
      <c r="BO132" s="229">
        <v>0.1507</v>
      </c>
      <c r="BP132" s="230">
        <v>3749600</v>
      </c>
      <c r="BQ132" s="230">
        <v>4150800</v>
      </c>
      <c r="BR132" s="230">
        <v>-401200</v>
      </c>
      <c r="BS132" s="229">
        <v>-9.6699999999999994E-2</v>
      </c>
      <c r="BT132" s="230">
        <v>351871</v>
      </c>
      <c r="BU132" s="230">
        <v>582597</v>
      </c>
      <c r="BV132" s="230">
        <v>-230726</v>
      </c>
      <c r="BW132" s="229">
        <v>-0.39600000000000002</v>
      </c>
      <c r="BX132" s="230">
        <v>7950000</v>
      </c>
      <c r="BY132" s="230">
        <v>7866000</v>
      </c>
      <c r="BZ132" s="230">
        <v>84000</v>
      </c>
      <c r="CA132" s="229">
        <v>1.0699999999999999E-2</v>
      </c>
      <c r="CB132" s="230">
        <v>7800800</v>
      </c>
      <c r="CC132" s="230">
        <v>7760000</v>
      </c>
      <c r="CD132" s="230">
        <v>40800</v>
      </c>
      <c r="CE132" s="229">
        <v>5.3E-3</v>
      </c>
      <c r="CF132" s="230">
        <v>141600</v>
      </c>
      <c r="CG132" s="230">
        <v>98400</v>
      </c>
      <c r="CH132" s="230">
        <v>43200</v>
      </c>
      <c r="CI132" s="229">
        <v>0.439</v>
      </c>
      <c r="CJ132" s="230">
        <v>7600</v>
      </c>
      <c r="CK132" s="230">
        <v>7600</v>
      </c>
      <c r="CL132" s="228">
        <v>0</v>
      </c>
      <c r="CM132" s="229">
        <v>0</v>
      </c>
      <c r="CN132" s="230">
        <v>1864800</v>
      </c>
      <c r="CO132" s="230">
        <v>1862000</v>
      </c>
      <c r="CP132" s="230">
        <v>2800</v>
      </c>
      <c r="CQ132" s="229">
        <v>1.5E-3</v>
      </c>
      <c r="CR132" s="230">
        <v>994000</v>
      </c>
      <c r="CS132" s="230">
        <v>1021600</v>
      </c>
      <c r="CT132" s="230">
        <v>-27600</v>
      </c>
      <c r="CU132" s="229">
        <v>-2.7E-2</v>
      </c>
      <c r="CV132" s="230">
        <v>10808800</v>
      </c>
      <c r="CW132" s="230">
        <v>10749600</v>
      </c>
      <c r="CX132" s="230">
        <v>59200</v>
      </c>
      <c r="CY132" s="229">
        <v>5.4999999999999997E-3</v>
      </c>
      <c r="CZ132" s="228">
        <v>22.84</v>
      </c>
      <c r="DA132" s="228">
        <v>23.5</v>
      </c>
      <c r="DB132" s="228">
        <v>-0.66</v>
      </c>
      <c r="DC132" s="228">
        <v>-0.66</v>
      </c>
      <c r="DD132" s="228">
        <v>29.97</v>
      </c>
      <c r="DE132" s="228">
        <v>30.04</v>
      </c>
      <c r="DF132" s="228">
        <v>-7.13</v>
      </c>
      <c r="DG132" s="228">
        <v>-7.0000000000000007E-2</v>
      </c>
      <c r="DH132" s="228">
        <v>23.23</v>
      </c>
      <c r="DI132" s="228">
        <v>23.97</v>
      </c>
      <c r="DJ132" s="228">
        <v>-0.74</v>
      </c>
      <c r="DK132" s="228">
        <v>-0.74</v>
      </c>
      <c r="DL132" s="228">
        <v>22.21</v>
      </c>
      <c r="DM132" s="228">
        <v>22.37</v>
      </c>
      <c r="DN132" s="228">
        <v>-0.16</v>
      </c>
      <c r="DO132" s="228">
        <v>-0.16</v>
      </c>
      <c r="DP132" s="228">
        <v>0.53</v>
      </c>
      <c r="DQ132" s="228">
        <v>0.55000000000000004</v>
      </c>
      <c r="DR132" s="228">
        <v>-0.02</v>
      </c>
      <c r="DS132" s="229">
        <v>-3.6400000000000002E-2</v>
      </c>
      <c r="DT132" s="231">
        <v>1740</v>
      </c>
      <c r="DU132" s="231">
        <v>1660</v>
      </c>
      <c r="DV132" s="228">
        <v>0.61</v>
      </c>
      <c r="DW132" s="228">
        <v>0.41</v>
      </c>
      <c r="DX132" s="228">
        <v>0.2</v>
      </c>
      <c r="DY132" s="229">
        <v>0.48780000000000001</v>
      </c>
      <c r="DZ132" s="229">
        <v>1.8800000000000001E-2</v>
      </c>
      <c r="EA132" s="230">
        <v>106000</v>
      </c>
      <c r="EB132" s="229">
        <v>5.4000000000000003E-3</v>
      </c>
      <c r="EC132" s="229">
        <v>1.8800000000000001E-2</v>
      </c>
      <c r="ED132" s="228">
        <v>10.37</v>
      </c>
      <c r="EE132" s="229">
        <v>6.1999999999999998E-3</v>
      </c>
      <c r="EF132" s="230">
        <v>182734</v>
      </c>
      <c r="EG132" s="230">
        <v>332361</v>
      </c>
      <c r="EH132" s="229">
        <v>-0.45019999999999999</v>
      </c>
      <c r="EI132" s="229">
        <v>0.51929999999999998</v>
      </c>
      <c r="EJ132" s="231">
        <v>31822.97</v>
      </c>
      <c r="EK132" s="231">
        <v>18602.16</v>
      </c>
      <c r="EL132" s="231">
        <v>13420.33</v>
      </c>
      <c r="EM132" s="231">
        <v>1800</v>
      </c>
      <c r="EN132" s="231">
        <v>63845.46</v>
      </c>
      <c r="EO132" s="231">
        <v>71621.7</v>
      </c>
      <c r="EP132" s="231">
        <v>-7776.24</v>
      </c>
      <c r="EQ132" s="229">
        <v>-0.1086</v>
      </c>
      <c r="ER132" s="231">
        <v>32914</v>
      </c>
      <c r="ES132" s="231">
        <v>16152</v>
      </c>
      <c r="ET132" s="231">
        <v>132660</v>
      </c>
      <c r="EU132" s="231">
        <v>34712157</v>
      </c>
      <c r="EV132" s="231">
        <v>181725</v>
      </c>
      <c r="EW132" s="231">
        <v>181403</v>
      </c>
      <c r="EX132" s="228">
        <v>322</v>
      </c>
      <c r="EY132" s="229">
        <v>1.8E-3</v>
      </c>
      <c r="EZ132" s="229">
        <v>0.31140000000000001</v>
      </c>
      <c r="FA132" s="227" t="s">
        <v>567</v>
      </c>
      <c r="FB132" s="161">
        <f t="shared" si="2"/>
        <v>149200</v>
      </c>
    </row>
    <row r="133" spans="1:158" ht="17.25" hidden="1" thickBot="1" x14ac:dyDescent="0.3">
      <c r="A133" s="226">
        <v>46008</v>
      </c>
      <c r="B133" s="227" t="s">
        <v>181</v>
      </c>
      <c r="C133" s="227" t="s">
        <v>563</v>
      </c>
      <c r="D133" s="228">
        <v>140</v>
      </c>
      <c r="E133" s="231">
        <v>13686.05</v>
      </c>
      <c r="F133" s="231">
        <v>13776.85</v>
      </c>
      <c r="G133" s="228">
        <v>-90.8</v>
      </c>
      <c r="H133" s="229">
        <v>-6.6E-3</v>
      </c>
      <c r="I133" s="231">
        <v>13652.3</v>
      </c>
      <c r="J133" s="231">
        <v>13748</v>
      </c>
      <c r="K133" s="228">
        <v>-95.7</v>
      </c>
      <c r="L133" s="229">
        <v>-7.0000000000000001E-3</v>
      </c>
      <c r="M133" s="231">
        <v>13686.05</v>
      </c>
      <c r="N133" s="231">
        <v>13776.85</v>
      </c>
      <c r="O133" s="228">
        <v>-90.8</v>
      </c>
      <c r="P133" s="229">
        <v>-6.6E-3</v>
      </c>
      <c r="Q133" s="231">
        <v>13768.15</v>
      </c>
      <c r="R133" s="231">
        <v>13856.1</v>
      </c>
      <c r="S133" s="228">
        <v>-87.95</v>
      </c>
      <c r="T133" s="229">
        <v>-6.3E-3</v>
      </c>
      <c r="U133" s="231">
        <v>13838.35</v>
      </c>
      <c r="V133" s="231">
        <v>13933</v>
      </c>
      <c r="W133" s="228">
        <v>-94.65</v>
      </c>
      <c r="X133" s="229">
        <v>-6.7999999999999996E-3</v>
      </c>
      <c r="Y133" s="228">
        <v>33.75</v>
      </c>
      <c r="Z133" s="228">
        <v>28.85</v>
      </c>
      <c r="AA133" s="228">
        <v>4.9000000000000004</v>
      </c>
      <c r="AB133" s="229">
        <v>2.5000000000000001E-3</v>
      </c>
      <c r="AC133" s="228">
        <v>33.75</v>
      </c>
      <c r="AD133" s="228">
        <v>28.85</v>
      </c>
      <c r="AE133" s="228">
        <v>4.9000000000000004</v>
      </c>
      <c r="AF133" s="229">
        <v>2.5000000000000001E-3</v>
      </c>
      <c r="AG133" s="228">
        <v>115.85</v>
      </c>
      <c r="AH133" s="228">
        <v>108.1</v>
      </c>
      <c r="AI133" s="228">
        <v>7.75</v>
      </c>
      <c r="AJ133" s="229">
        <v>8.5000000000000006E-3</v>
      </c>
      <c r="AK133" s="228">
        <v>186.05</v>
      </c>
      <c r="AL133" s="228">
        <v>185</v>
      </c>
      <c r="AM133" s="228">
        <v>1.05</v>
      </c>
      <c r="AN133" s="229">
        <v>1.3599999999999999E-2</v>
      </c>
      <c r="AO133" s="231">
        <v>13732.02</v>
      </c>
      <c r="AP133" s="231">
        <v>13809.13</v>
      </c>
      <c r="AQ133" s="228">
        <v>0</v>
      </c>
      <c r="AR133" s="230">
        <v>428540</v>
      </c>
      <c r="AS133" s="230">
        <v>711760</v>
      </c>
      <c r="AT133" s="230">
        <v>-283220</v>
      </c>
      <c r="AU133" s="229">
        <v>-0.39789999999999998</v>
      </c>
      <c r="AV133" s="230">
        <v>384020</v>
      </c>
      <c r="AW133" s="230">
        <v>639800</v>
      </c>
      <c r="AX133" s="230">
        <v>-255780</v>
      </c>
      <c r="AY133" s="229">
        <v>-0.39979999999999999</v>
      </c>
      <c r="AZ133" s="230">
        <v>40880</v>
      </c>
      <c r="BA133" s="230">
        <v>68320</v>
      </c>
      <c r="BB133" s="230">
        <v>-27440</v>
      </c>
      <c r="BC133" s="229">
        <v>-0.40160000000000001</v>
      </c>
      <c r="BD133" s="230">
        <v>3640</v>
      </c>
      <c r="BE133" s="230">
        <v>3640</v>
      </c>
      <c r="BF133" s="228">
        <v>0</v>
      </c>
      <c r="BG133" s="229">
        <v>0</v>
      </c>
      <c r="BH133" s="230">
        <v>24776360</v>
      </c>
      <c r="BI133" s="230">
        <v>20355440</v>
      </c>
      <c r="BJ133" s="230">
        <v>4420920</v>
      </c>
      <c r="BK133" s="229">
        <v>0.2172</v>
      </c>
      <c r="BL133" s="230">
        <v>18474400</v>
      </c>
      <c r="BM133" s="230">
        <v>17529400</v>
      </c>
      <c r="BN133" s="230">
        <v>945000</v>
      </c>
      <c r="BO133" s="229">
        <v>5.3900000000000003E-2</v>
      </c>
      <c r="BP133" s="230">
        <v>43679300</v>
      </c>
      <c r="BQ133" s="230">
        <v>38596600</v>
      </c>
      <c r="BR133" s="230">
        <v>5082700</v>
      </c>
      <c r="BS133" s="229">
        <v>0.13170000000000001</v>
      </c>
      <c r="BT133" s="228">
        <v>0</v>
      </c>
      <c r="BU133" s="228">
        <v>0</v>
      </c>
      <c r="BV133" s="228">
        <v>0</v>
      </c>
      <c r="BW133" s="229">
        <v>0</v>
      </c>
      <c r="BX133" s="230">
        <v>2546640</v>
      </c>
      <c r="BY133" s="230">
        <v>2544040</v>
      </c>
      <c r="BZ133" s="230">
        <v>2600</v>
      </c>
      <c r="CA133" s="229">
        <v>1E-3</v>
      </c>
      <c r="CB133" s="230">
        <v>2409960</v>
      </c>
      <c r="CC133" s="230">
        <v>2419480</v>
      </c>
      <c r="CD133" s="230">
        <v>-9520</v>
      </c>
      <c r="CE133" s="229">
        <v>-3.8999999999999998E-3</v>
      </c>
      <c r="CF133" s="230">
        <v>121680</v>
      </c>
      <c r="CG133" s="230">
        <v>110520</v>
      </c>
      <c r="CH133" s="230">
        <v>11160</v>
      </c>
      <c r="CI133" s="229">
        <v>0.10100000000000001</v>
      </c>
      <c r="CJ133" s="230">
        <v>15000</v>
      </c>
      <c r="CK133" s="230">
        <v>14040</v>
      </c>
      <c r="CL133" s="228">
        <v>960</v>
      </c>
      <c r="CM133" s="229">
        <v>6.8400000000000002E-2</v>
      </c>
      <c r="CN133" s="230">
        <v>10689220</v>
      </c>
      <c r="CO133" s="230">
        <v>9873600</v>
      </c>
      <c r="CP133" s="230">
        <v>815620</v>
      </c>
      <c r="CQ133" s="229">
        <v>8.2600000000000007E-2</v>
      </c>
      <c r="CR133" s="230">
        <v>9196300</v>
      </c>
      <c r="CS133" s="230">
        <v>9016820</v>
      </c>
      <c r="CT133" s="230">
        <v>179480</v>
      </c>
      <c r="CU133" s="229">
        <v>1.9900000000000001E-2</v>
      </c>
      <c r="CV133" s="230">
        <v>22432160</v>
      </c>
      <c r="CW133" s="230">
        <v>21434460</v>
      </c>
      <c r="CX133" s="230">
        <v>997700</v>
      </c>
      <c r="CY133" s="229">
        <v>4.65E-2</v>
      </c>
      <c r="CZ133" s="228">
        <v>15.39</v>
      </c>
      <c r="DA133" s="228">
        <v>15.23</v>
      </c>
      <c r="DB133" s="228">
        <v>0.16</v>
      </c>
      <c r="DC133" s="228">
        <v>0.16</v>
      </c>
      <c r="DD133" s="228">
        <v>21.83</v>
      </c>
      <c r="DE133" s="228">
        <v>21.87</v>
      </c>
      <c r="DF133" s="228">
        <v>-6.44</v>
      </c>
      <c r="DG133" s="228">
        <v>-0.04</v>
      </c>
      <c r="DH133" s="228">
        <v>15.23</v>
      </c>
      <c r="DI133" s="228">
        <v>14.8</v>
      </c>
      <c r="DJ133" s="228">
        <v>0.43</v>
      </c>
      <c r="DK133" s="228">
        <v>0.43</v>
      </c>
      <c r="DL133" s="228">
        <v>15.59</v>
      </c>
      <c r="DM133" s="228">
        <v>15.73</v>
      </c>
      <c r="DN133" s="228">
        <v>-0.14000000000000001</v>
      </c>
      <c r="DO133" s="228">
        <v>-0.14000000000000001</v>
      </c>
      <c r="DP133" s="228">
        <v>0.86</v>
      </c>
      <c r="DQ133" s="228">
        <v>0.91</v>
      </c>
      <c r="DR133" s="228">
        <v>-0.05</v>
      </c>
      <c r="DS133" s="229">
        <v>-5.4899999999999997E-2</v>
      </c>
      <c r="DT133" s="231">
        <v>14000</v>
      </c>
      <c r="DU133" s="231">
        <v>13500</v>
      </c>
      <c r="DV133" s="228">
        <v>0.75</v>
      </c>
      <c r="DW133" s="228">
        <v>0.86</v>
      </c>
      <c r="DX133" s="228">
        <v>-0.11</v>
      </c>
      <c r="DY133" s="229">
        <v>-0.12790000000000001</v>
      </c>
      <c r="DZ133" s="229">
        <v>5.3699999999999998E-2</v>
      </c>
      <c r="EA133" s="230">
        <v>124560</v>
      </c>
      <c r="EB133" s="229">
        <v>6.0000000000000001E-3</v>
      </c>
      <c r="EC133" s="229">
        <v>5.3699999999999998E-2</v>
      </c>
      <c r="ED133" s="228">
        <v>77.11</v>
      </c>
      <c r="EE133" s="229">
        <v>5.5999999999999999E-3</v>
      </c>
      <c r="EF133" s="228">
        <v>0</v>
      </c>
      <c r="EG133" s="228">
        <v>0</v>
      </c>
      <c r="EH133" s="229">
        <v>0</v>
      </c>
      <c r="EI133" s="229">
        <v>0</v>
      </c>
      <c r="EJ133" s="231">
        <v>3498824.56</v>
      </c>
      <c r="EK133" s="231">
        <v>2511122.1800000002</v>
      </c>
      <c r="EL133" s="231">
        <v>58004.98</v>
      </c>
      <c r="EM133" s="228">
        <v>0</v>
      </c>
      <c r="EN133" s="231">
        <v>6067951.7199999997</v>
      </c>
      <c r="EO133" s="231">
        <v>5378089.5300000003</v>
      </c>
      <c r="EP133" s="231">
        <v>689862.19</v>
      </c>
      <c r="EQ133" s="229">
        <v>0.1283</v>
      </c>
      <c r="ER133" s="231">
        <v>1521872</v>
      </c>
      <c r="ES133" s="231">
        <v>1227813</v>
      </c>
      <c r="ET133" s="231">
        <v>348657</v>
      </c>
      <c r="EU133" s="228">
        <v>0</v>
      </c>
      <c r="EV133" s="231">
        <v>3098343</v>
      </c>
      <c r="EW133" s="231">
        <v>2965439</v>
      </c>
      <c r="EX133" s="231">
        <v>132904</v>
      </c>
      <c r="EY133" s="229">
        <v>4.48E-2</v>
      </c>
      <c r="EZ133" s="229">
        <v>0</v>
      </c>
      <c r="FA133" s="227" t="s">
        <v>567</v>
      </c>
      <c r="FB133" s="161">
        <f t="shared" si="2"/>
        <v>136680</v>
      </c>
    </row>
    <row r="134" spans="1:158" ht="17.25" hidden="1" thickBot="1" x14ac:dyDescent="0.3">
      <c r="A134" s="226">
        <v>46008</v>
      </c>
      <c r="B134" s="227" t="s">
        <v>162</v>
      </c>
      <c r="C134" s="227" t="s">
        <v>559</v>
      </c>
      <c r="D134" s="228">
        <v>6150</v>
      </c>
      <c r="E134" s="228">
        <v>119.73</v>
      </c>
      <c r="F134" s="228">
        <v>119.97</v>
      </c>
      <c r="G134" s="228">
        <v>-0.24</v>
      </c>
      <c r="H134" s="229">
        <v>-2E-3</v>
      </c>
      <c r="I134" s="228">
        <v>119.56</v>
      </c>
      <c r="J134" s="228">
        <v>119.57</v>
      </c>
      <c r="K134" s="228">
        <v>-0.01</v>
      </c>
      <c r="L134" s="229">
        <v>-1E-4</v>
      </c>
      <c r="M134" s="228">
        <v>119.73</v>
      </c>
      <c r="N134" s="228">
        <v>119.97</v>
      </c>
      <c r="O134" s="228">
        <v>-0.24</v>
      </c>
      <c r="P134" s="229">
        <v>-2E-3</v>
      </c>
      <c r="Q134" s="228">
        <v>120.37</v>
      </c>
      <c r="R134" s="228">
        <v>120.71</v>
      </c>
      <c r="S134" s="228">
        <v>-0.34</v>
      </c>
      <c r="T134" s="229">
        <v>-2.8E-3</v>
      </c>
      <c r="U134" s="228">
        <v>121.14</v>
      </c>
      <c r="V134" s="228">
        <v>121.2</v>
      </c>
      <c r="W134" s="228">
        <v>-0.06</v>
      </c>
      <c r="X134" s="229">
        <v>-5.0000000000000001E-4</v>
      </c>
      <c r="Y134" s="228">
        <v>0.17</v>
      </c>
      <c r="Z134" s="228">
        <v>0.4</v>
      </c>
      <c r="AA134" s="228">
        <v>-0.23</v>
      </c>
      <c r="AB134" s="229">
        <v>1.4E-3</v>
      </c>
      <c r="AC134" s="228">
        <v>0.17</v>
      </c>
      <c r="AD134" s="228">
        <v>0.4</v>
      </c>
      <c r="AE134" s="228">
        <v>-0.23</v>
      </c>
      <c r="AF134" s="229">
        <v>1.4E-3</v>
      </c>
      <c r="AG134" s="228">
        <v>0.81</v>
      </c>
      <c r="AH134" s="228">
        <v>1.1399999999999999</v>
      </c>
      <c r="AI134" s="228">
        <v>-0.33</v>
      </c>
      <c r="AJ134" s="229">
        <v>6.7999999999999996E-3</v>
      </c>
      <c r="AK134" s="228">
        <v>1.58</v>
      </c>
      <c r="AL134" s="228">
        <v>1.63</v>
      </c>
      <c r="AM134" s="228">
        <v>-0.05</v>
      </c>
      <c r="AN134" s="229">
        <v>1.32E-2</v>
      </c>
      <c r="AO134" s="228">
        <v>120.16</v>
      </c>
      <c r="AP134" s="228">
        <v>120.82</v>
      </c>
      <c r="AQ134" s="228">
        <v>0</v>
      </c>
      <c r="AR134" s="230">
        <v>15233550</v>
      </c>
      <c r="AS134" s="230">
        <v>13271700</v>
      </c>
      <c r="AT134" s="230">
        <v>1961850</v>
      </c>
      <c r="AU134" s="229">
        <v>0.14779999999999999</v>
      </c>
      <c r="AV134" s="230">
        <v>12404550</v>
      </c>
      <c r="AW134" s="230">
        <v>11316000</v>
      </c>
      <c r="AX134" s="230">
        <v>1088550</v>
      </c>
      <c r="AY134" s="229">
        <v>9.6199999999999994E-2</v>
      </c>
      <c r="AZ134" s="230">
        <v>2675250</v>
      </c>
      <c r="BA134" s="230">
        <v>1371450</v>
      </c>
      <c r="BB134" s="230">
        <v>1303800</v>
      </c>
      <c r="BC134" s="229">
        <v>0.95069999999999999</v>
      </c>
      <c r="BD134" s="230">
        <v>153750</v>
      </c>
      <c r="BE134" s="230">
        <v>584250</v>
      </c>
      <c r="BF134" s="230">
        <v>-430500</v>
      </c>
      <c r="BG134" s="229">
        <v>-0.73680000000000001</v>
      </c>
      <c r="BH134" s="230">
        <v>38259150</v>
      </c>
      <c r="BI134" s="230">
        <v>21414300</v>
      </c>
      <c r="BJ134" s="230">
        <v>16844850</v>
      </c>
      <c r="BK134" s="229">
        <v>0.78659999999999997</v>
      </c>
      <c r="BL134" s="230">
        <v>17767350</v>
      </c>
      <c r="BM134" s="230">
        <v>11857200</v>
      </c>
      <c r="BN134" s="230">
        <v>5910150</v>
      </c>
      <c r="BO134" s="229">
        <v>0.49840000000000001</v>
      </c>
      <c r="BP134" s="230">
        <v>71260050</v>
      </c>
      <c r="BQ134" s="230">
        <v>46543200</v>
      </c>
      <c r="BR134" s="230">
        <v>24716850</v>
      </c>
      <c r="BS134" s="229">
        <v>0.53110000000000002</v>
      </c>
      <c r="BT134" s="230">
        <v>7357971</v>
      </c>
      <c r="BU134" s="230">
        <v>8060730</v>
      </c>
      <c r="BV134" s="230">
        <v>-702759</v>
      </c>
      <c r="BW134" s="229">
        <v>-8.72E-2</v>
      </c>
      <c r="BX134" s="230">
        <v>190194900</v>
      </c>
      <c r="BY134" s="230">
        <v>188792700</v>
      </c>
      <c r="BZ134" s="230">
        <v>1402200</v>
      </c>
      <c r="CA134" s="229">
        <v>7.4000000000000003E-3</v>
      </c>
      <c r="CB134" s="230">
        <v>182722650</v>
      </c>
      <c r="CC134" s="230">
        <v>182310600</v>
      </c>
      <c r="CD134" s="230">
        <v>412050</v>
      </c>
      <c r="CE134" s="229">
        <v>2.3E-3</v>
      </c>
      <c r="CF134" s="230">
        <v>5639550</v>
      </c>
      <c r="CG134" s="230">
        <v>4643250</v>
      </c>
      <c r="CH134" s="230">
        <v>996300</v>
      </c>
      <c r="CI134" s="229">
        <v>0.21460000000000001</v>
      </c>
      <c r="CJ134" s="230">
        <v>1832700</v>
      </c>
      <c r="CK134" s="230">
        <v>1838850</v>
      </c>
      <c r="CL134" s="230">
        <v>-6150</v>
      </c>
      <c r="CM134" s="229">
        <v>-3.3E-3</v>
      </c>
      <c r="CN134" s="230">
        <v>61057200</v>
      </c>
      <c r="CO134" s="230">
        <v>60509850</v>
      </c>
      <c r="CP134" s="230">
        <v>547350</v>
      </c>
      <c r="CQ134" s="229">
        <v>8.9999999999999993E-3</v>
      </c>
      <c r="CR134" s="230">
        <v>47939250</v>
      </c>
      <c r="CS134" s="230">
        <v>48548100</v>
      </c>
      <c r="CT134" s="230">
        <v>-608850</v>
      </c>
      <c r="CU134" s="229">
        <v>-1.2500000000000001E-2</v>
      </c>
      <c r="CV134" s="230">
        <v>299191350</v>
      </c>
      <c r="CW134" s="230">
        <v>297850650</v>
      </c>
      <c r="CX134" s="230">
        <v>1340700</v>
      </c>
      <c r="CY134" s="229">
        <v>4.4999999999999997E-3</v>
      </c>
      <c r="CZ134" s="228">
        <v>26.75</v>
      </c>
      <c r="DA134" s="228">
        <v>26.78</v>
      </c>
      <c r="DB134" s="228">
        <v>-0.03</v>
      </c>
      <c r="DC134" s="228">
        <v>-0.03</v>
      </c>
      <c r="DD134" s="228">
        <v>39.020000000000003</v>
      </c>
      <c r="DE134" s="228">
        <v>39.11</v>
      </c>
      <c r="DF134" s="228">
        <v>-12.27</v>
      </c>
      <c r="DG134" s="228">
        <v>-0.09</v>
      </c>
      <c r="DH134" s="228">
        <v>26.63</v>
      </c>
      <c r="DI134" s="228">
        <v>26.13</v>
      </c>
      <c r="DJ134" s="228">
        <v>0.5</v>
      </c>
      <c r="DK134" s="228">
        <v>0.5</v>
      </c>
      <c r="DL134" s="228">
        <v>27.01</v>
      </c>
      <c r="DM134" s="228">
        <v>27.96</v>
      </c>
      <c r="DN134" s="228">
        <v>-0.95</v>
      </c>
      <c r="DO134" s="228">
        <v>-0.95</v>
      </c>
      <c r="DP134" s="228">
        <v>0.79</v>
      </c>
      <c r="DQ134" s="228">
        <v>0.8</v>
      </c>
      <c r="DR134" s="228">
        <v>-0.01</v>
      </c>
      <c r="DS134" s="229">
        <v>-1.2500000000000001E-2</v>
      </c>
      <c r="DT134" s="228">
        <v>120</v>
      </c>
      <c r="DU134" s="228">
        <v>110</v>
      </c>
      <c r="DV134" s="228">
        <v>0.46</v>
      </c>
      <c r="DW134" s="228">
        <v>0.55000000000000004</v>
      </c>
      <c r="DX134" s="228">
        <v>-0.09</v>
      </c>
      <c r="DY134" s="229">
        <v>-0.1636</v>
      </c>
      <c r="DZ134" s="229">
        <v>3.9300000000000002E-2</v>
      </c>
      <c r="EA134" s="230">
        <v>6482100</v>
      </c>
      <c r="EB134" s="229">
        <v>5.3E-3</v>
      </c>
      <c r="EC134" s="229">
        <v>3.9300000000000002E-2</v>
      </c>
      <c r="ED134" s="228">
        <v>0.66</v>
      </c>
      <c r="EE134" s="229">
        <v>5.4999999999999997E-3</v>
      </c>
      <c r="EF134" s="230">
        <v>3347263</v>
      </c>
      <c r="EG134" s="230">
        <v>5699437</v>
      </c>
      <c r="EH134" s="229">
        <v>-0.41270000000000001</v>
      </c>
      <c r="EI134" s="229">
        <v>0.45490000000000003</v>
      </c>
      <c r="EJ134" s="231">
        <v>47500.08</v>
      </c>
      <c r="EK134" s="231">
        <v>20958.189999999999</v>
      </c>
      <c r="EL134" s="231">
        <v>18324.57</v>
      </c>
      <c r="EM134" s="231">
        <v>3540</v>
      </c>
      <c r="EN134" s="231">
        <v>86782.84</v>
      </c>
      <c r="EO134" s="231">
        <v>56611.05</v>
      </c>
      <c r="EP134" s="231">
        <v>30171.79</v>
      </c>
      <c r="EQ134" s="229">
        <v>0.53300000000000003</v>
      </c>
      <c r="ER134" s="231">
        <v>74354</v>
      </c>
      <c r="ES134" s="231">
        <v>53813</v>
      </c>
      <c r="ET134" s="231">
        <v>227782</v>
      </c>
      <c r="EU134" s="231">
        <v>542522848</v>
      </c>
      <c r="EV134" s="231">
        <v>355949</v>
      </c>
      <c r="EW134" s="231">
        <v>354536</v>
      </c>
      <c r="EX134" s="231">
        <v>1413</v>
      </c>
      <c r="EY134" s="229">
        <v>4.0000000000000001E-3</v>
      </c>
      <c r="EZ134" s="229">
        <v>0.55149999999999999</v>
      </c>
      <c r="FA134" s="227" t="s">
        <v>567</v>
      </c>
      <c r="FB134" s="161">
        <f t="shared" si="2"/>
        <v>7472250</v>
      </c>
    </row>
    <row r="135" spans="1:158" ht="17.25" hidden="1" thickBot="1" x14ac:dyDescent="0.3">
      <c r="A135" s="226">
        <v>46008</v>
      </c>
      <c r="B135" s="227" t="s">
        <v>221</v>
      </c>
      <c r="C135" s="227" t="s">
        <v>487</v>
      </c>
      <c r="D135" s="228">
        <v>275</v>
      </c>
      <c r="E135" s="231">
        <v>2868.4</v>
      </c>
      <c r="F135" s="231">
        <v>2866.9</v>
      </c>
      <c r="G135" s="228">
        <v>1.5</v>
      </c>
      <c r="H135" s="229">
        <v>5.0000000000000001E-4</v>
      </c>
      <c r="I135" s="231">
        <v>2865.3</v>
      </c>
      <c r="J135" s="231">
        <v>2863.1</v>
      </c>
      <c r="K135" s="228">
        <v>2.2000000000000002</v>
      </c>
      <c r="L135" s="229">
        <v>8.0000000000000004E-4</v>
      </c>
      <c r="M135" s="231">
        <v>2868.4</v>
      </c>
      <c r="N135" s="231">
        <v>2866.9</v>
      </c>
      <c r="O135" s="228">
        <v>1.5</v>
      </c>
      <c r="P135" s="229">
        <v>5.0000000000000001E-4</v>
      </c>
      <c r="Q135" s="231">
        <v>2886.3</v>
      </c>
      <c r="R135" s="231">
        <v>2882</v>
      </c>
      <c r="S135" s="228">
        <v>4.3</v>
      </c>
      <c r="T135" s="229">
        <v>1.5E-3</v>
      </c>
      <c r="U135" s="231">
        <v>2902.7</v>
      </c>
      <c r="V135" s="231">
        <v>2897.9</v>
      </c>
      <c r="W135" s="228">
        <v>4.8</v>
      </c>
      <c r="X135" s="229">
        <v>1.6999999999999999E-3</v>
      </c>
      <c r="Y135" s="228">
        <v>3.1</v>
      </c>
      <c r="Z135" s="228">
        <v>3.8</v>
      </c>
      <c r="AA135" s="228">
        <v>-0.7</v>
      </c>
      <c r="AB135" s="229">
        <v>1.1000000000000001E-3</v>
      </c>
      <c r="AC135" s="228">
        <v>3.1</v>
      </c>
      <c r="AD135" s="228">
        <v>3.8</v>
      </c>
      <c r="AE135" s="228">
        <v>-0.7</v>
      </c>
      <c r="AF135" s="229">
        <v>1.1000000000000001E-3</v>
      </c>
      <c r="AG135" s="228">
        <v>21</v>
      </c>
      <c r="AH135" s="228">
        <v>18.899999999999999</v>
      </c>
      <c r="AI135" s="228">
        <v>2.1</v>
      </c>
      <c r="AJ135" s="229">
        <v>7.3000000000000001E-3</v>
      </c>
      <c r="AK135" s="228">
        <v>37.4</v>
      </c>
      <c r="AL135" s="228">
        <v>34.799999999999997</v>
      </c>
      <c r="AM135" s="228">
        <v>2.6</v>
      </c>
      <c r="AN135" s="229">
        <v>1.3100000000000001E-2</v>
      </c>
      <c r="AO135" s="231">
        <v>2876.12</v>
      </c>
      <c r="AP135" s="231">
        <v>2892.78</v>
      </c>
      <c r="AQ135" s="228">
        <v>0</v>
      </c>
      <c r="AR135" s="230">
        <v>569250</v>
      </c>
      <c r="AS135" s="230">
        <v>694650</v>
      </c>
      <c r="AT135" s="230">
        <v>-125400</v>
      </c>
      <c r="AU135" s="229">
        <v>-0.18049999999999999</v>
      </c>
      <c r="AV135" s="230">
        <v>481525</v>
      </c>
      <c r="AW135" s="230">
        <v>638825</v>
      </c>
      <c r="AX135" s="230">
        <v>-157300</v>
      </c>
      <c r="AY135" s="229">
        <v>-0.2462</v>
      </c>
      <c r="AZ135" s="230">
        <v>87175</v>
      </c>
      <c r="BA135" s="230">
        <v>54175</v>
      </c>
      <c r="BB135" s="230">
        <v>33000</v>
      </c>
      <c r="BC135" s="229">
        <v>0.60909999999999997</v>
      </c>
      <c r="BD135" s="228">
        <v>550</v>
      </c>
      <c r="BE135" s="230">
        <v>1650</v>
      </c>
      <c r="BF135" s="230">
        <v>-1100</v>
      </c>
      <c r="BG135" s="229">
        <v>-0.66669999999999996</v>
      </c>
      <c r="BH135" s="230">
        <v>1220450</v>
      </c>
      <c r="BI135" s="230">
        <v>1174525</v>
      </c>
      <c r="BJ135" s="230">
        <v>45925</v>
      </c>
      <c r="BK135" s="229">
        <v>3.9100000000000003E-2</v>
      </c>
      <c r="BL135" s="230">
        <v>337425</v>
      </c>
      <c r="BM135" s="230">
        <v>890725</v>
      </c>
      <c r="BN135" s="230">
        <v>-553300</v>
      </c>
      <c r="BO135" s="229">
        <v>-0.62119999999999997</v>
      </c>
      <c r="BP135" s="230">
        <v>2127125</v>
      </c>
      <c r="BQ135" s="230">
        <v>2759900</v>
      </c>
      <c r="BR135" s="230">
        <v>-632775</v>
      </c>
      <c r="BS135" s="229">
        <v>-0.2293</v>
      </c>
      <c r="BT135" s="230">
        <v>254423</v>
      </c>
      <c r="BU135" s="230">
        <v>245064</v>
      </c>
      <c r="BV135" s="230">
        <v>9359</v>
      </c>
      <c r="BW135" s="229">
        <v>3.8199999999999998E-2</v>
      </c>
      <c r="BX135" s="230">
        <v>6409700</v>
      </c>
      <c r="BY135" s="230">
        <v>6371200</v>
      </c>
      <c r="BZ135" s="230">
        <v>38500</v>
      </c>
      <c r="CA135" s="229">
        <v>6.0000000000000001E-3</v>
      </c>
      <c r="CB135" s="230">
        <v>6267525</v>
      </c>
      <c r="CC135" s="230">
        <v>6271650</v>
      </c>
      <c r="CD135" s="230">
        <v>-4125</v>
      </c>
      <c r="CE135" s="229">
        <v>-6.9999999999999999E-4</v>
      </c>
      <c r="CF135" s="230">
        <v>134200</v>
      </c>
      <c r="CG135" s="230">
        <v>91300</v>
      </c>
      <c r="CH135" s="230">
        <v>42900</v>
      </c>
      <c r="CI135" s="229">
        <v>0.46989999999999998</v>
      </c>
      <c r="CJ135" s="230">
        <v>7975</v>
      </c>
      <c r="CK135" s="230">
        <v>8250</v>
      </c>
      <c r="CL135" s="228">
        <v>-275</v>
      </c>
      <c r="CM135" s="229">
        <v>-3.3300000000000003E-2</v>
      </c>
      <c r="CN135" s="230">
        <v>1367575</v>
      </c>
      <c r="CO135" s="230">
        <v>1337600</v>
      </c>
      <c r="CP135" s="230">
        <v>29975</v>
      </c>
      <c r="CQ135" s="229">
        <v>2.24E-2</v>
      </c>
      <c r="CR135" s="230">
        <v>1048025</v>
      </c>
      <c r="CS135" s="230">
        <v>1023000</v>
      </c>
      <c r="CT135" s="230">
        <v>25025</v>
      </c>
      <c r="CU135" s="229">
        <v>2.4500000000000001E-2</v>
      </c>
      <c r="CV135" s="230">
        <v>8825300</v>
      </c>
      <c r="CW135" s="230">
        <v>8731800</v>
      </c>
      <c r="CX135" s="230">
        <v>93500</v>
      </c>
      <c r="CY135" s="229">
        <v>1.0699999999999999E-2</v>
      </c>
      <c r="CZ135" s="228">
        <v>25.56</v>
      </c>
      <c r="DA135" s="228">
        <v>25.85</v>
      </c>
      <c r="DB135" s="228">
        <v>-0.28999999999999998</v>
      </c>
      <c r="DC135" s="228">
        <v>-0.28999999999999998</v>
      </c>
      <c r="DD135" s="228">
        <v>36</v>
      </c>
      <c r="DE135" s="228">
        <v>36.090000000000003</v>
      </c>
      <c r="DF135" s="228">
        <v>-10.44</v>
      </c>
      <c r="DG135" s="228">
        <v>-0.09</v>
      </c>
      <c r="DH135" s="228">
        <v>25.5</v>
      </c>
      <c r="DI135" s="228">
        <v>26.2</v>
      </c>
      <c r="DJ135" s="228">
        <v>-0.7</v>
      </c>
      <c r="DK135" s="228">
        <v>-0.7</v>
      </c>
      <c r="DL135" s="228">
        <v>25.81</v>
      </c>
      <c r="DM135" s="228">
        <v>25.38</v>
      </c>
      <c r="DN135" s="228">
        <v>0.43</v>
      </c>
      <c r="DO135" s="228">
        <v>0.43</v>
      </c>
      <c r="DP135" s="228">
        <v>0.77</v>
      </c>
      <c r="DQ135" s="228">
        <v>0.76</v>
      </c>
      <c r="DR135" s="228">
        <v>0.01</v>
      </c>
      <c r="DS135" s="229">
        <v>1.32E-2</v>
      </c>
      <c r="DT135" s="231">
        <v>2900</v>
      </c>
      <c r="DU135" s="231">
        <v>2750</v>
      </c>
      <c r="DV135" s="228">
        <v>0.28000000000000003</v>
      </c>
      <c r="DW135" s="228">
        <v>0.76</v>
      </c>
      <c r="DX135" s="228">
        <v>-0.48</v>
      </c>
      <c r="DY135" s="229">
        <v>-0.63160000000000005</v>
      </c>
      <c r="DZ135" s="229">
        <v>2.2200000000000001E-2</v>
      </c>
      <c r="EA135" s="230">
        <v>99550</v>
      </c>
      <c r="EB135" s="229">
        <v>6.1999999999999998E-3</v>
      </c>
      <c r="EC135" s="229">
        <v>2.2200000000000001E-2</v>
      </c>
      <c r="ED135" s="228">
        <v>16.66</v>
      </c>
      <c r="EE135" s="229">
        <v>5.7999999999999996E-3</v>
      </c>
      <c r="EF135" s="230">
        <v>138004</v>
      </c>
      <c r="EG135" s="230">
        <v>113958</v>
      </c>
      <c r="EH135" s="229">
        <v>0.21099999999999999</v>
      </c>
      <c r="EI135" s="229">
        <v>0.54239999999999999</v>
      </c>
      <c r="EJ135" s="231">
        <v>36472.74</v>
      </c>
      <c r="EK135" s="231">
        <v>9497.99</v>
      </c>
      <c r="EL135" s="231">
        <v>16386.97</v>
      </c>
      <c r="EM135" s="231">
        <v>1853</v>
      </c>
      <c r="EN135" s="231">
        <v>62357.7</v>
      </c>
      <c r="EO135" s="231">
        <v>80691.44</v>
      </c>
      <c r="EP135" s="231">
        <v>-18333.740000000002</v>
      </c>
      <c r="EQ135" s="229">
        <v>-0.22720000000000001</v>
      </c>
      <c r="ER135" s="231">
        <v>41209</v>
      </c>
      <c r="ES135" s="231">
        <v>28631</v>
      </c>
      <c r="ET135" s="231">
        <v>183883</v>
      </c>
      <c r="EU135" s="231">
        <v>14652855</v>
      </c>
      <c r="EV135" s="231">
        <v>253723</v>
      </c>
      <c r="EW135" s="231">
        <v>250940</v>
      </c>
      <c r="EX135" s="231">
        <v>2783</v>
      </c>
      <c r="EY135" s="229">
        <v>1.11E-2</v>
      </c>
      <c r="EZ135" s="229">
        <v>0.60229999999999995</v>
      </c>
      <c r="FA135" s="227" t="s">
        <v>555</v>
      </c>
      <c r="FB135" s="161">
        <f t="shared" si="2"/>
        <v>142175</v>
      </c>
    </row>
    <row r="136" spans="1:158" ht="17.25" hidden="1" thickBot="1" x14ac:dyDescent="0.3">
      <c r="A136" s="226">
        <v>46008</v>
      </c>
      <c r="B136" s="227" t="s">
        <v>175</v>
      </c>
      <c r="C136" s="227" t="s">
        <v>262</v>
      </c>
      <c r="D136" s="228">
        <v>275</v>
      </c>
      <c r="E136" s="231">
        <v>3769.2</v>
      </c>
      <c r="F136" s="231">
        <v>3850.4</v>
      </c>
      <c r="G136" s="228">
        <v>-81.2</v>
      </c>
      <c r="H136" s="229">
        <v>-2.1100000000000001E-2</v>
      </c>
      <c r="I136" s="231">
        <v>3766.5</v>
      </c>
      <c r="J136" s="231">
        <v>3847</v>
      </c>
      <c r="K136" s="228">
        <v>-80.5</v>
      </c>
      <c r="L136" s="229">
        <v>-2.0899999999999998E-2</v>
      </c>
      <c r="M136" s="231">
        <v>3769.2</v>
      </c>
      <c r="N136" s="231">
        <v>3850.4</v>
      </c>
      <c r="O136" s="228">
        <v>-81.2</v>
      </c>
      <c r="P136" s="229">
        <v>-2.1100000000000001E-2</v>
      </c>
      <c r="Q136" s="231">
        <v>3791.7</v>
      </c>
      <c r="R136" s="231">
        <v>3871.4</v>
      </c>
      <c r="S136" s="228">
        <v>-79.7</v>
      </c>
      <c r="T136" s="229">
        <v>-2.06E-2</v>
      </c>
      <c r="U136" s="231">
        <v>3808.4</v>
      </c>
      <c r="V136" s="231">
        <v>3881.3</v>
      </c>
      <c r="W136" s="228">
        <v>-72.900000000000006</v>
      </c>
      <c r="X136" s="229">
        <v>-1.8800000000000001E-2</v>
      </c>
      <c r="Y136" s="228">
        <v>2.7</v>
      </c>
      <c r="Z136" s="228">
        <v>3.4</v>
      </c>
      <c r="AA136" s="228">
        <v>-0.7</v>
      </c>
      <c r="AB136" s="229">
        <v>6.9999999999999999E-4</v>
      </c>
      <c r="AC136" s="228">
        <v>2.7</v>
      </c>
      <c r="AD136" s="228">
        <v>3.4</v>
      </c>
      <c r="AE136" s="228">
        <v>-0.7</v>
      </c>
      <c r="AF136" s="229">
        <v>6.9999999999999999E-4</v>
      </c>
      <c r="AG136" s="228">
        <v>25.2</v>
      </c>
      <c r="AH136" s="228">
        <v>24.4</v>
      </c>
      <c r="AI136" s="228">
        <v>0.8</v>
      </c>
      <c r="AJ136" s="229">
        <v>6.7000000000000002E-3</v>
      </c>
      <c r="AK136" s="228">
        <v>41.9</v>
      </c>
      <c r="AL136" s="228">
        <v>34.299999999999997</v>
      </c>
      <c r="AM136" s="228">
        <v>7.6</v>
      </c>
      <c r="AN136" s="229">
        <v>1.11E-2</v>
      </c>
      <c r="AO136" s="231">
        <v>3807.42</v>
      </c>
      <c r="AP136" s="231">
        <v>3837.95</v>
      </c>
      <c r="AQ136" s="228">
        <v>0</v>
      </c>
      <c r="AR136" s="230">
        <v>1379675</v>
      </c>
      <c r="AS136" s="230">
        <v>827750</v>
      </c>
      <c r="AT136" s="230">
        <v>551925</v>
      </c>
      <c r="AU136" s="229">
        <v>0.66679999999999995</v>
      </c>
      <c r="AV136" s="230">
        <v>1062050</v>
      </c>
      <c r="AW136" s="230">
        <v>758175</v>
      </c>
      <c r="AX136" s="230">
        <v>303875</v>
      </c>
      <c r="AY136" s="229">
        <v>0.40079999999999999</v>
      </c>
      <c r="AZ136" s="230">
        <v>290950</v>
      </c>
      <c r="BA136" s="230">
        <v>64075</v>
      </c>
      <c r="BB136" s="230">
        <v>226875</v>
      </c>
      <c r="BC136" s="229">
        <v>3.5407999999999999</v>
      </c>
      <c r="BD136" s="230">
        <v>26675</v>
      </c>
      <c r="BE136" s="230">
        <v>5500</v>
      </c>
      <c r="BF136" s="230">
        <v>21175</v>
      </c>
      <c r="BG136" s="229">
        <v>3.85</v>
      </c>
      <c r="BH136" s="230">
        <v>6904700</v>
      </c>
      <c r="BI136" s="230">
        <v>2657875</v>
      </c>
      <c r="BJ136" s="230">
        <v>4246825</v>
      </c>
      <c r="BK136" s="229">
        <v>1.5978000000000001</v>
      </c>
      <c r="BL136" s="230">
        <v>2828375</v>
      </c>
      <c r="BM136" s="230">
        <v>1553200</v>
      </c>
      <c r="BN136" s="230">
        <v>1275175</v>
      </c>
      <c r="BO136" s="229">
        <v>0.82099999999999995</v>
      </c>
      <c r="BP136" s="230">
        <v>11112750</v>
      </c>
      <c r="BQ136" s="230">
        <v>5038825</v>
      </c>
      <c r="BR136" s="230">
        <v>6073925</v>
      </c>
      <c r="BS136" s="229">
        <v>1.2054</v>
      </c>
      <c r="BT136" s="230">
        <v>291470</v>
      </c>
      <c r="BU136" s="230">
        <v>183931</v>
      </c>
      <c r="BV136" s="230">
        <v>107539</v>
      </c>
      <c r="BW136" s="229">
        <v>0.5847</v>
      </c>
      <c r="BX136" s="230">
        <v>3162500</v>
      </c>
      <c r="BY136" s="230">
        <v>2920500</v>
      </c>
      <c r="BZ136" s="230">
        <v>242000</v>
      </c>
      <c r="CA136" s="229">
        <v>8.2900000000000001E-2</v>
      </c>
      <c r="CB136" s="230">
        <v>2790150</v>
      </c>
      <c r="CC136" s="230">
        <v>2666400</v>
      </c>
      <c r="CD136" s="230">
        <v>123750</v>
      </c>
      <c r="CE136" s="229">
        <v>4.6399999999999997E-2</v>
      </c>
      <c r="CF136" s="230">
        <v>333850</v>
      </c>
      <c r="CG136" s="230">
        <v>219450</v>
      </c>
      <c r="CH136" s="230">
        <v>114400</v>
      </c>
      <c r="CI136" s="229">
        <v>0.52129999999999999</v>
      </c>
      <c r="CJ136" s="230">
        <v>38500</v>
      </c>
      <c r="CK136" s="230">
        <v>34650</v>
      </c>
      <c r="CL136" s="230">
        <v>3850</v>
      </c>
      <c r="CM136" s="229">
        <v>0.1111</v>
      </c>
      <c r="CN136" s="230">
        <v>3474075</v>
      </c>
      <c r="CO136" s="230">
        <v>3355275</v>
      </c>
      <c r="CP136" s="230">
        <v>118800</v>
      </c>
      <c r="CQ136" s="229">
        <v>3.5400000000000001E-2</v>
      </c>
      <c r="CR136" s="230">
        <v>1809500</v>
      </c>
      <c r="CS136" s="230">
        <v>1839475</v>
      </c>
      <c r="CT136" s="230">
        <v>-29975</v>
      </c>
      <c r="CU136" s="229">
        <v>-1.6299999999999999E-2</v>
      </c>
      <c r="CV136" s="230">
        <v>8446075</v>
      </c>
      <c r="CW136" s="230">
        <v>8115250</v>
      </c>
      <c r="CX136" s="230">
        <v>330825</v>
      </c>
      <c r="CY136" s="229">
        <v>4.0800000000000003E-2</v>
      </c>
      <c r="CZ136" s="228">
        <v>24.12</v>
      </c>
      <c r="DA136" s="228">
        <v>24.84</v>
      </c>
      <c r="DB136" s="228">
        <v>-0.72</v>
      </c>
      <c r="DC136" s="228">
        <v>-0.72</v>
      </c>
      <c r="DD136" s="228">
        <v>36.36</v>
      </c>
      <c r="DE136" s="228">
        <v>36.33</v>
      </c>
      <c r="DF136" s="228">
        <v>-12.24</v>
      </c>
      <c r="DG136" s="228">
        <v>0.03</v>
      </c>
      <c r="DH136" s="228">
        <v>24.42</v>
      </c>
      <c r="DI136" s="228">
        <v>24.61</v>
      </c>
      <c r="DJ136" s="228">
        <v>-0.19</v>
      </c>
      <c r="DK136" s="228">
        <v>-0.19</v>
      </c>
      <c r="DL136" s="228">
        <v>23.38</v>
      </c>
      <c r="DM136" s="228">
        <v>25.22</v>
      </c>
      <c r="DN136" s="228">
        <v>-1.84</v>
      </c>
      <c r="DO136" s="228">
        <v>-1.84</v>
      </c>
      <c r="DP136" s="228">
        <v>0.52</v>
      </c>
      <c r="DQ136" s="228">
        <v>0.55000000000000004</v>
      </c>
      <c r="DR136" s="228">
        <v>-0.03</v>
      </c>
      <c r="DS136" s="229">
        <v>-5.45E-2</v>
      </c>
      <c r="DT136" s="231">
        <v>3800</v>
      </c>
      <c r="DU136" s="231">
        <v>3700</v>
      </c>
      <c r="DV136" s="228">
        <v>0.41</v>
      </c>
      <c r="DW136" s="228">
        <v>0.57999999999999996</v>
      </c>
      <c r="DX136" s="228">
        <v>-0.17</v>
      </c>
      <c r="DY136" s="229">
        <v>-0.29310000000000003</v>
      </c>
      <c r="DZ136" s="229">
        <v>0.1177</v>
      </c>
      <c r="EA136" s="230">
        <v>254100</v>
      </c>
      <c r="EB136" s="229">
        <v>6.0000000000000001E-3</v>
      </c>
      <c r="EC136" s="229">
        <v>0.1177</v>
      </c>
      <c r="ED136" s="228">
        <v>30.53</v>
      </c>
      <c r="EE136" s="229">
        <v>8.0000000000000002E-3</v>
      </c>
      <c r="EF136" s="230">
        <v>144979</v>
      </c>
      <c r="EG136" s="230">
        <v>83345</v>
      </c>
      <c r="EH136" s="229">
        <v>0.73950000000000005</v>
      </c>
      <c r="EI136" s="229">
        <v>0.49740000000000001</v>
      </c>
      <c r="EJ136" s="231">
        <v>273975.96999999997</v>
      </c>
      <c r="EK136" s="231">
        <v>106670.9</v>
      </c>
      <c r="EL136" s="231">
        <v>52626.18</v>
      </c>
      <c r="EM136" s="231">
        <v>3086</v>
      </c>
      <c r="EN136" s="231">
        <v>433273.05</v>
      </c>
      <c r="EO136" s="231">
        <v>196385.01</v>
      </c>
      <c r="EP136" s="231">
        <v>236888.04</v>
      </c>
      <c r="EQ136" s="229">
        <v>1.2061999999999999</v>
      </c>
      <c r="ER136" s="231">
        <v>134675</v>
      </c>
      <c r="ES136" s="231">
        <v>65439</v>
      </c>
      <c r="ET136" s="231">
        <v>119291</v>
      </c>
      <c r="EU136" s="231">
        <v>16050690</v>
      </c>
      <c r="EV136" s="231">
        <v>319406</v>
      </c>
      <c r="EW136" s="231">
        <v>309538</v>
      </c>
      <c r="EX136" s="231">
        <v>9868</v>
      </c>
      <c r="EY136" s="229">
        <v>3.1899999999999998E-2</v>
      </c>
      <c r="EZ136" s="229">
        <v>0.5262</v>
      </c>
      <c r="FA136" s="227" t="s">
        <v>567</v>
      </c>
      <c r="FB136" s="161">
        <f t="shared" si="2"/>
        <v>372350</v>
      </c>
    </row>
    <row r="137" spans="1:158" ht="17.25" hidden="1" thickBot="1" x14ac:dyDescent="0.3">
      <c r="A137" s="226">
        <v>46008</v>
      </c>
      <c r="B137" s="227" t="s">
        <v>227</v>
      </c>
      <c r="C137" s="227" t="s">
        <v>263</v>
      </c>
      <c r="D137" s="228">
        <v>3750</v>
      </c>
      <c r="E137" s="228">
        <v>279.7</v>
      </c>
      <c r="F137" s="228">
        <v>277.10000000000002</v>
      </c>
      <c r="G137" s="228">
        <v>2.6</v>
      </c>
      <c r="H137" s="229">
        <v>9.4000000000000004E-3</v>
      </c>
      <c r="I137" s="228">
        <v>279.45</v>
      </c>
      <c r="J137" s="228">
        <v>276.85000000000002</v>
      </c>
      <c r="K137" s="228">
        <v>2.6</v>
      </c>
      <c r="L137" s="229">
        <v>9.4000000000000004E-3</v>
      </c>
      <c r="M137" s="228">
        <v>279.7</v>
      </c>
      <c r="N137" s="228">
        <v>277.10000000000002</v>
      </c>
      <c r="O137" s="228">
        <v>2.6</v>
      </c>
      <c r="P137" s="229">
        <v>9.4000000000000004E-3</v>
      </c>
      <c r="Q137" s="228">
        <v>281.5</v>
      </c>
      <c r="R137" s="228">
        <v>278.75</v>
      </c>
      <c r="S137" s="228">
        <v>2.75</v>
      </c>
      <c r="T137" s="229">
        <v>9.9000000000000008E-3</v>
      </c>
      <c r="U137" s="228">
        <v>280</v>
      </c>
      <c r="V137" s="228">
        <v>277.35000000000002</v>
      </c>
      <c r="W137" s="228">
        <v>2.65</v>
      </c>
      <c r="X137" s="229">
        <v>9.5999999999999992E-3</v>
      </c>
      <c r="Y137" s="228">
        <v>0.25</v>
      </c>
      <c r="Z137" s="228">
        <v>0.25</v>
      </c>
      <c r="AA137" s="228">
        <v>0</v>
      </c>
      <c r="AB137" s="229">
        <v>8.9999999999999998E-4</v>
      </c>
      <c r="AC137" s="228">
        <v>0.25</v>
      </c>
      <c r="AD137" s="228">
        <v>0.25</v>
      </c>
      <c r="AE137" s="228">
        <v>0</v>
      </c>
      <c r="AF137" s="229">
        <v>8.9999999999999998E-4</v>
      </c>
      <c r="AG137" s="228">
        <v>2.0499999999999998</v>
      </c>
      <c r="AH137" s="228">
        <v>1.9</v>
      </c>
      <c r="AI137" s="228">
        <v>0.15</v>
      </c>
      <c r="AJ137" s="229">
        <v>7.3000000000000001E-3</v>
      </c>
      <c r="AK137" s="228">
        <v>0.55000000000000004</v>
      </c>
      <c r="AL137" s="228">
        <v>0.5</v>
      </c>
      <c r="AM137" s="228">
        <v>0.05</v>
      </c>
      <c r="AN137" s="229">
        <v>2E-3</v>
      </c>
      <c r="AO137" s="228">
        <v>279.89999999999998</v>
      </c>
      <c r="AP137" s="228">
        <v>281.66000000000003</v>
      </c>
      <c r="AQ137" s="228">
        <v>0</v>
      </c>
      <c r="AR137" s="230">
        <v>15671250</v>
      </c>
      <c r="AS137" s="230">
        <v>14707500</v>
      </c>
      <c r="AT137" s="230">
        <v>963750</v>
      </c>
      <c r="AU137" s="229">
        <v>6.5500000000000003E-2</v>
      </c>
      <c r="AV137" s="230">
        <v>13653750</v>
      </c>
      <c r="AW137" s="230">
        <v>12881250</v>
      </c>
      <c r="AX137" s="230">
        <v>772500</v>
      </c>
      <c r="AY137" s="229">
        <v>0.06</v>
      </c>
      <c r="AZ137" s="230">
        <v>1762500</v>
      </c>
      <c r="BA137" s="230">
        <v>1698750</v>
      </c>
      <c r="BB137" s="230">
        <v>63750</v>
      </c>
      <c r="BC137" s="229">
        <v>3.7499999999999999E-2</v>
      </c>
      <c r="BD137" s="230">
        <v>255000</v>
      </c>
      <c r="BE137" s="230">
        <v>127500</v>
      </c>
      <c r="BF137" s="230">
        <v>127500</v>
      </c>
      <c r="BG137" s="229">
        <v>1</v>
      </c>
      <c r="BH137" s="230">
        <v>54761250</v>
      </c>
      <c r="BI137" s="230">
        <v>31260000</v>
      </c>
      <c r="BJ137" s="230">
        <v>23501250</v>
      </c>
      <c r="BK137" s="229">
        <v>0.75180000000000002</v>
      </c>
      <c r="BL137" s="230">
        <v>27765000</v>
      </c>
      <c r="BM137" s="230">
        <v>18997500</v>
      </c>
      <c r="BN137" s="230">
        <v>8767500</v>
      </c>
      <c r="BO137" s="229">
        <v>0.46150000000000002</v>
      </c>
      <c r="BP137" s="230">
        <v>98197500</v>
      </c>
      <c r="BQ137" s="230">
        <v>64965000</v>
      </c>
      <c r="BR137" s="230">
        <v>33232500</v>
      </c>
      <c r="BS137" s="229">
        <v>0.51149999999999995</v>
      </c>
      <c r="BT137" s="230">
        <v>9190687</v>
      </c>
      <c r="BU137" s="230">
        <v>7888846</v>
      </c>
      <c r="BV137" s="230">
        <v>1301841</v>
      </c>
      <c r="BW137" s="229">
        <v>0.16500000000000001</v>
      </c>
      <c r="BX137" s="230">
        <v>59531250</v>
      </c>
      <c r="BY137" s="230">
        <v>61290000</v>
      </c>
      <c r="BZ137" s="230">
        <v>-1758750</v>
      </c>
      <c r="CA137" s="229">
        <v>-2.87E-2</v>
      </c>
      <c r="CB137" s="230">
        <v>53516250</v>
      </c>
      <c r="CC137" s="230">
        <v>55631250</v>
      </c>
      <c r="CD137" s="230">
        <v>-2115000</v>
      </c>
      <c r="CE137" s="229">
        <v>-3.7999999999999999E-2</v>
      </c>
      <c r="CF137" s="230">
        <v>4256250</v>
      </c>
      <c r="CG137" s="230">
        <v>3896250</v>
      </c>
      <c r="CH137" s="230">
        <v>360000</v>
      </c>
      <c r="CI137" s="229">
        <v>9.2399999999999996E-2</v>
      </c>
      <c r="CJ137" s="230">
        <v>1758750</v>
      </c>
      <c r="CK137" s="230">
        <v>1762500</v>
      </c>
      <c r="CL137" s="230">
        <v>-3750</v>
      </c>
      <c r="CM137" s="229">
        <v>-2.0999999999999999E-3</v>
      </c>
      <c r="CN137" s="230">
        <v>33296250</v>
      </c>
      <c r="CO137" s="230">
        <v>31128750</v>
      </c>
      <c r="CP137" s="230">
        <v>2167500</v>
      </c>
      <c r="CQ137" s="229">
        <v>6.9599999999999995E-2</v>
      </c>
      <c r="CR137" s="230">
        <v>28237500</v>
      </c>
      <c r="CS137" s="230">
        <v>27168750</v>
      </c>
      <c r="CT137" s="230">
        <v>1068750</v>
      </c>
      <c r="CU137" s="229">
        <v>3.9300000000000002E-2</v>
      </c>
      <c r="CV137" s="230">
        <v>121065000</v>
      </c>
      <c r="CW137" s="230">
        <v>119587500</v>
      </c>
      <c r="CX137" s="230">
        <v>1477500</v>
      </c>
      <c r="CY137" s="229">
        <v>1.24E-2</v>
      </c>
      <c r="CZ137" s="228">
        <v>28.24</v>
      </c>
      <c r="DA137" s="228">
        <v>28.66</v>
      </c>
      <c r="DB137" s="228">
        <v>-0.42</v>
      </c>
      <c r="DC137" s="228">
        <v>-0.42</v>
      </c>
      <c r="DD137" s="228">
        <v>46.18</v>
      </c>
      <c r="DE137" s="228">
        <v>46.28</v>
      </c>
      <c r="DF137" s="228">
        <v>-17.940000000000001</v>
      </c>
      <c r="DG137" s="228">
        <v>-0.1</v>
      </c>
      <c r="DH137" s="228">
        <v>28.15</v>
      </c>
      <c r="DI137" s="228">
        <v>28.91</v>
      </c>
      <c r="DJ137" s="228">
        <v>-0.76</v>
      </c>
      <c r="DK137" s="228">
        <v>-0.76</v>
      </c>
      <c r="DL137" s="228">
        <v>28.42</v>
      </c>
      <c r="DM137" s="228">
        <v>28.23</v>
      </c>
      <c r="DN137" s="228">
        <v>0.19</v>
      </c>
      <c r="DO137" s="228">
        <v>0.19</v>
      </c>
      <c r="DP137" s="228">
        <v>0.85</v>
      </c>
      <c r="DQ137" s="228">
        <v>0.87</v>
      </c>
      <c r="DR137" s="228">
        <v>-0.02</v>
      </c>
      <c r="DS137" s="229">
        <v>-2.3E-2</v>
      </c>
      <c r="DT137" s="228">
        <v>280</v>
      </c>
      <c r="DU137" s="228">
        <v>270</v>
      </c>
      <c r="DV137" s="228">
        <v>0.51</v>
      </c>
      <c r="DW137" s="228">
        <v>0.61</v>
      </c>
      <c r="DX137" s="228">
        <v>-0.1</v>
      </c>
      <c r="DY137" s="229">
        <v>-0.16389999999999999</v>
      </c>
      <c r="DZ137" s="229">
        <v>0.10100000000000001</v>
      </c>
      <c r="EA137" s="230">
        <v>5658750</v>
      </c>
      <c r="EB137" s="229">
        <v>6.4000000000000003E-3</v>
      </c>
      <c r="EC137" s="229">
        <v>0.10100000000000001</v>
      </c>
      <c r="ED137" s="228">
        <v>1.76</v>
      </c>
      <c r="EE137" s="229">
        <v>6.3E-3</v>
      </c>
      <c r="EF137" s="230">
        <v>4032591</v>
      </c>
      <c r="EG137" s="230">
        <v>4493377</v>
      </c>
      <c r="EH137" s="229">
        <v>-0.10249999999999999</v>
      </c>
      <c r="EI137" s="229">
        <v>0.43880000000000002</v>
      </c>
      <c r="EJ137" s="231">
        <v>158441.18</v>
      </c>
      <c r="EK137" s="231">
        <v>76457.27</v>
      </c>
      <c r="EL137" s="231">
        <v>43896.2</v>
      </c>
      <c r="EM137" s="231">
        <v>4333</v>
      </c>
      <c r="EN137" s="231">
        <v>278794.65000000002</v>
      </c>
      <c r="EO137" s="231">
        <v>182483.95</v>
      </c>
      <c r="EP137" s="231">
        <v>96310.7</v>
      </c>
      <c r="EQ137" s="229">
        <v>0.52780000000000005</v>
      </c>
      <c r="ER137" s="231">
        <v>93520</v>
      </c>
      <c r="ES137" s="231">
        <v>73463</v>
      </c>
      <c r="ET137" s="231">
        <v>166591</v>
      </c>
      <c r="EU137" s="231">
        <v>134225816</v>
      </c>
      <c r="EV137" s="231">
        <v>333574</v>
      </c>
      <c r="EW137" s="231">
        <v>327369</v>
      </c>
      <c r="EX137" s="231">
        <v>6205</v>
      </c>
      <c r="EY137" s="229">
        <v>1.9E-2</v>
      </c>
      <c r="EZ137" s="229">
        <v>0.90200000000000002</v>
      </c>
      <c r="FA137" s="227" t="s">
        <v>556</v>
      </c>
      <c r="FB137" s="161">
        <f t="shared" si="2"/>
        <v>6015000</v>
      </c>
    </row>
    <row r="138" spans="1:158" ht="17.25" hidden="1" thickBot="1" x14ac:dyDescent="0.3">
      <c r="A138" s="226">
        <v>46008</v>
      </c>
      <c r="B138" s="227" t="s">
        <v>615</v>
      </c>
      <c r="C138" s="227" t="s">
        <v>264</v>
      </c>
      <c r="D138" s="228">
        <v>375</v>
      </c>
      <c r="E138" s="231">
        <v>1343.2</v>
      </c>
      <c r="F138" s="231">
        <v>1348.9</v>
      </c>
      <c r="G138" s="228">
        <v>-5.7</v>
      </c>
      <c r="H138" s="229">
        <v>-4.1999999999999997E-3</v>
      </c>
      <c r="I138" s="231">
        <v>1338.2</v>
      </c>
      <c r="J138" s="231">
        <v>1346.9</v>
      </c>
      <c r="K138" s="228">
        <v>-8.6999999999999993</v>
      </c>
      <c r="L138" s="229">
        <v>-6.4999999999999997E-3</v>
      </c>
      <c r="M138" s="231">
        <v>1343.2</v>
      </c>
      <c r="N138" s="231">
        <v>1348.9</v>
      </c>
      <c r="O138" s="228">
        <v>-5.7</v>
      </c>
      <c r="P138" s="229">
        <v>-4.1999999999999997E-3</v>
      </c>
      <c r="Q138" s="231">
        <v>1350.8</v>
      </c>
      <c r="R138" s="231">
        <v>1358.3</v>
      </c>
      <c r="S138" s="228">
        <v>-7.5</v>
      </c>
      <c r="T138" s="229">
        <v>-5.4999999999999997E-3</v>
      </c>
      <c r="U138" s="231">
        <v>1358.2</v>
      </c>
      <c r="V138" s="231">
        <v>1370</v>
      </c>
      <c r="W138" s="228">
        <v>-11.8</v>
      </c>
      <c r="X138" s="229">
        <v>-8.6E-3</v>
      </c>
      <c r="Y138" s="228">
        <v>5</v>
      </c>
      <c r="Z138" s="228">
        <v>2</v>
      </c>
      <c r="AA138" s="228">
        <v>3</v>
      </c>
      <c r="AB138" s="229">
        <v>3.7000000000000002E-3</v>
      </c>
      <c r="AC138" s="228">
        <v>5</v>
      </c>
      <c r="AD138" s="228">
        <v>2</v>
      </c>
      <c r="AE138" s="228">
        <v>3</v>
      </c>
      <c r="AF138" s="229">
        <v>3.7000000000000002E-3</v>
      </c>
      <c r="AG138" s="228">
        <v>12.6</v>
      </c>
      <c r="AH138" s="228">
        <v>11.4</v>
      </c>
      <c r="AI138" s="228">
        <v>1.2</v>
      </c>
      <c r="AJ138" s="229">
        <v>9.4000000000000004E-3</v>
      </c>
      <c r="AK138" s="228">
        <v>20</v>
      </c>
      <c r="AL138" s="228">
        <v>23.1</v>
      </c>
      <c r="AM138" s="228">
        <v>-3.1</v>
      </c>
      <c r="AN138" s="229">
        <v>1.49E-2</v>
      </c>
      <c r="AO138" s="231">
        <v>1350.85</v>
      </c>
      <c r="AP138" s="231">
        <v>1357.31</v>
      </c>
      <c r="AQ138" s="228">
        <v>0</v>
      </c>
      <c r="AR138" s="230">
        <v>689625</v>
      </c>
      <c r="AS138" s="230">
        <v>796125</v>
      </c>
      <c r="AT138" s="230">
        <v>-106500</v>
      </c>
      <c r="AU138" s="229">
        <v>-0.1338</v>
      </c>
      <c r="AV138" s="230">
        <v>522375</v>
      </c>
      <c r="AW138" s="230">
        <v>692625</v>
      </c>
      <c r="AX138" s="230">
        <v>-170250</v>
      </c>
      <c r="AY138" s="229">
        <v>-0.24579999999999999</v>
      </c>
      <c r="AZ138" s="230">
        <v>163500</v>
      </c>
      <c r="BA138" s="230">
        <v>92625</v>
      </c>
      <c r="BB138" s="230">
        <v>70875</v>
      </c>
      <c r="BC138" s="229">
        <v>0.76519999999999999</v>
      </c>
      <c r="BD138" s="230">
        <v>3750</v>
      </c>
      <c r="BE138" s="230">
        <v>10875</v>
      </c>
      <c r="BF138" s="230">
        <v>-7125</v>
      </c>
      <c r="BG138" s="229">
        <v>-0.6552</v>
      </c>
      <c r="BH138" s="230">
        <v>1844625</v>
      </c>
      <c r="BI138" s="230">
        <v>1522875</v>
      </c>
      <c r="BJ138" s="230">
        <v>321750</v>
      </c>
      <c r="BK138" s="229">
        <v>0.21129999999999999</v>
      </c>
      <c r="BL138" s="230">
        <v>568875</v>
      </c>
      <c r="BM138" s="230">
        <v>760500</v>
      </c>
      <c r="BN138" s="230">
        <v>-191625</v>
      </c>
      <c r="BO138" s="229">
        <v>-0.252</v>
      </c>
      <c r="BP138" s="230">
        <v>3103125</v>
      </c>
      <c r="BQ138" s="230">
        <v>3079500</v>
      </c>
      <c r="BR138" s="230">
        <v>23625</v>
      </c>
      <c r="BS138" s="229">
        <v>7.7000000000000002E-3</v>
      </c>
      <c r="BT138" s="230">
        <v>397391</v>
      </c>
      <c r="BU138" s="230">
        <v>785636</v>
      </c>
      <c r="BV138" s="230">
        <v>-388245</v>
      </c>
      <c r="BW138" s="229">
        <v>-0.49419999999999997</v>
      </c>
      <c r="BX138" s="230">
        <v>8501250</v>
      </c>
      <c r="BY138" s="230">
        <v>8393250</v>
      </c>
      <c r="BZ138" s="230">
        <v>108000</v>
      </c>
      <c r="CA138" s="229">
        <v>1.29E-2</v>
      </c>
      <c r="CB138" s="230">
        <v>7893750</v>
      </c>
      <c r="CC138" s="230">
        <v>7889250</v>
      </c>
      <c r="CD138" s="230">
        <v>4500</v>
      </c>
      <c r="CE138" s="229">
        <v>5.9999999999999995E-4</v>
      </c>
      <c r="CF138" s="230">
        <v>573000</v>
      </c>
      <c r="CG138" s="230">
        <v>471000</v>
      </c>
      <c r="CH138" s="230">
        <v>102000</v>
      </c>
      <c r="CI138" s="229">
        <v>0.21659999999999999</v>
      </c>
      <c r="CJ138" s="230">
        <v>34500</v>
      </c>
      <c r="CK138" s="230">
        <v>33000</v>
      </c>
      <c r="CL138" s="230">
        <v>1500</v>
      </c>
      <c r="CM138" s="229">
        <v>4.5499999999999999E-2</v>
      </c>
      <c r="CN138" s="230">
        <v>2775750</v>
      </c>
      <c r="CO138" s="230">
        <v>2715750</v>
      </c>
      <c r="CP138" s="230">
        <v>60000</v>
      </c>
      <c r="CQ138" s="229">
        <v>2.2100000000000002E-2</v>
      </c>
      <c r="CR138" s="230">
        <v>2322000</v>
      </c>
      <c r="CS138" s="230">
        <v>2314875</v>
      </c>
      <c r="CT138" s="230">
        <v>7125</v>
      </c>
      <c r="CU138" s="229">
        <v>3.0999999999999999E-3</v>
      </c>
      <c r="CV138" s="230">
        <v>13599000</v>
      </c>
      <c r="CW138" s="230">
        <v>13423875</v>
      </c>
      <c r="CX138" s="230">
        <v>175125</v>
      </c>
      <c r="CY138" s="229">
        <v>1.2999999999999999E-2</v>
      </c>
      <c r="CZ138" s="228">
        <v>26.16</v>
      </c>
      <c r="DA138" s="228">
        <v>26.11</v>
      </c>
      <c r="DB138" s="228">
        <v>0.05</v>
      </c>
      <c r="DC138" s="228">
        <v>0.05</v>
      </c>
      <c r="DD138" s="228">
        <v>36.450000000000003</v>
      </c>
      <c r="DE138" s="228">
        <v>36.53</v>
      </c>
      <c r="DF138" s="228">
        <v>-10.29</v>
      </c>
      <c r="DG138" s="228">
        <v>-0.08</v>
      </c>
      <c r="DH138" s="228">
        <v>26.04</v>
      </c>
      <c r="DI138" s="228">
        <v>26.12</v>
      </c>
      <c r="DJ138" s="228">
        <v>-0.08</v>
      </c>
      <c r="DK138" s="228">
        <v>-0.08</v>
      </c>
      <c r="DL138" s="228">
        <v>26.56</v>
      </c>
      <c r="DM138" s="228">
        <v>26.08</v>
      </c>
      <c r="DN138" s="228">
        <v>0.48</v>
      </c>
      <c r="DO138" s="228">
        <v>0.48</v>
      </c>
      <c r="DP138" s="228">
        <v>0.84</v>
      </c>
      <c r="DQ138" s="228">
        <v>0.85</v>
      </c>
      <c r="DR138" s="228">
        <v>-0.01</v>
      </c>
      <c r="DS138" s="229">
        <v>-1.18E-2</v>
      </c>
      <c r="DT138" s="231">
        <v>1400</v>
      </c>
      <c r="DU138" s="231">
        <v>1280</v>
      </c>
      <c r="DV138" s="228">
        <v>0.31</v>
      </c>
      <c r="DW138" s="228">
        <v>0.5</v>
      </c>
      <c r="DX138" s="228">
        <v>-0.19</v>
      </c>
      <c r="DY138" s="229">
        <v>-0.38</v>
      </c>
      <c r="DZ138" s="229">
        <v>7.1499999999999994E-2</v>
      </c>
      <c r="EA138" s="230">
        <v>504000</v>
      </c>
      <c r="EB138" s="229">
        <v>5.7000000000000002E-3</v>
      </c>
      <c r="EC138" s="229">
        <v>7.1499999999999994E-2</v>
      </c>
      <c r="ED138" s="228">
        <v>6.46</v>
      </c>
      <c r="EE138" s="229">
        <v>4.7999999999999996E-3</v>
      </c>
      <c r="EF138" s="230">
        <v>249381</v>
      </c>
      <c r="EG138" s="230">
        <v>554517</v>
      </c>
      <c r="EH138" s="229">
        <v>-0.55030000000000001</v>
      </c>
      <c r="EI138" s="229">
        <v>0.62749999999999995</v>
      </c>
      <c r="EJ138" s="231">
        <v>25980.48</v>
      </c>
      <c r="EK138" s="231">
        <v>7460.82</v>
      </c>
      <c r="EL138" s="231">
        <v>9326.9500000000007</v>
      </c>
      <c r="EM138" s="231">
        <v>2313</v>
      </c>
      <c r="EN138" s="231">
        <v>42768.25</v>
      </c>
      <c r="EO138" s="231">
        <v>42494.879999999997</v>
      </c>
      <c r="EP138" s="228">
        <v>273.37</v>
      </c>
      <c r="EQ138" s="229">
        <v>6.4000000000000003E-3</v>
      </c>
      <c r="ER138" s="231">
        <v>39366</v>
      </c>
      <c r="ES138" s="231">
        <v>30231</v>
      </c>
      <c r="ET138" s="231">
        <v>114238</v>
      </c>
      <c r="EU138" s="231">
        <v>60530911</v>
      </c>
      <c r="EV138" s="231">
        <v>183835</v>
      </c>
      <c r="EW138" s="231">
        <v>182006</v>
      </c>
      <c r="EX138" s="231">
        <v>1829</v>
      </c>
      <c r="EY138" s="229">
        <v>0.01</v>
      </c>
      <c r="EZ138" s="229">
        <v>0.22470000000000001</v>
      </c>
      <c r="FA138" s="227" t="s">
        <v>567</v>
      </c>
      <c r="FB138" s="161">
        <f t="shared" si="2"/>
        <v>607500</v>
      </c>
    </row>
    <row r="139" spans="1:158" ht="17.25" hidden="1" thickBot="1" x14ac:dyDescent="0.3">
      <c r="A139" s="226">
        <v>46008</v>
      </c>
      <c r="B139" s="227" t="s">
        <v>206</v>
      </c>
      <c r="C139" s="227" t="s">
        <v>550</v>
      </c>
      <c r="D139" s="228">
        <v>6500</v>
      </c>
      <c r="E139" s="228">
        <v>109.71</v>
      </c>
      <c r="F139" s="228">
        <v>111.76</v>
      </c>
      <c r="G139" s="228">
        <v>-2.0499999999999998</v>
      </c>
      <c r="H139" s="229">
        <v>-1.83E-2</v>
      </c>
      <c r="I139" s="228">
        <v>109.56</v>
      </c>
      <c r="J139" s="228">
        <v>111.68</v>
      </c>
      <c r="K139" s="228">
        <v>-2.12</v>
      </c>
      <c r="L139" s="229">
        <v>-1.9E-2</v>
      </c>
      <c r="M139" s="228">
        <v>109.71</v>
      </c>
      <c r="N139" s="228">
        <v>111.76</v>
      </c>
      <c r="O139" s="228">
        <v>-2.0499999999999998</v>
      </c>
      <c r="P139" s="229">
        <v>-1.83E-2</v>
      </c>
      <c r="Q139" s="228">
        <v>110.37</v>
      </c>
      <c r="R139" s="228">
        <v>112.46</v>
      </c>
      <c r="S139" s="228">
        <v>-2.09</v>
      </c>
      <c r="T139" s="229">
        <v>-1.8599999999999998E-2</v>
      </c>
      <c r="U139" s="228">
        <v>110.58</v>
      </c>
      <c r="V139" s="228">
        <v>113.3</v>
      </c>
      <c r="W139" s="228">
        <v>-2.72</v>
      </c>
      <c r="X139" s="229">
        <v>-2.4E-2</v>
      </c>
      <c r="Y139" s="228">
        <v>0.15</v>
      </c>
      <c r="Z139" s="228">
        <v>0.08</v>
      </c>
      <c r="AA139" s="228">
        <v>7.0000000000000007E-2</v>
      </c>
      <c r="AB139" s="229">
        <v>1.4E-3</v>
      </c>
      <c r="AC139" s="228">
        <v>0.15</v>
      </c>
      <c r="AD139" s="228">
        <v>0.08</v>
      </c>
      <c r="AE139" s="228">
        <v>7.0000000000000007E-2</v>
      </c>
      <c r="AF139" s="229">
        <v>1.4E-3</v>
      </c>
      <c r="AG139" s="228">
        <v>0.81</v>
      </c>
      <c r="AH139" s="228">
        <v>0.78</v>
      </c>
      <c r="AI139" s="228">
        <v>0.03</v>
      </c>
      <c r="AJ139" s="229">
        <v>7.4000000000000003E-3</v>
      </c>
      <c r="AK139" s="228">
        <v>1.02</v>
      </c>
      <c r="AL139" s="228">
        <v>1.62</v>
      </c>
      <c r="AM139" s="228">
        <v>-0.6</v>
      </c>
      <c r="AN139" s="229">
        <v>9.2999999999999992E-3</v>
      </c>
      <c r="AO139" s="228">
        <v>110.73</v>
      </c>
      <c r="AP139" s="228">
        <v>111.44</v>
      </c>
      <c r="AQ139" s="228">
        <v>0</v>
      </c>
      <c r="AR139" s="230">
        <v>15652000</v>
      </c>
      <c r="AS139" s="230">
        <v>19292000</v>
      </c>
      <c r="AT139" s="230">
        <v>-3640000</v>
      </c>
      <c r="AU139" s="229">
        <v>-0.18870000000000001</v>
      </c>
      <c r="AV139" s="230">
        <v>13247000</v>
      </c>
      <c r="AW139" s="230">
        <v>16139500</v>
      </c>
      <c r="AX139" s="230">
        <v>-2892500</v>
      </c>
      <c r="AY139" s="229">
        <v>-0.1792</v>
      </c>
      <c r="AZ139" s="230">
        <v>2307500</v>
      </c>
      <c r="BA139" s="230">
        <v>3055000</v>
      </c>
      <c r="BB139" s="230">
        <v>-747500</v>
      </c>
      <c r="BC139" s="229">
        <v>-0.2447</v>
      </c>
      <c r="BD139" s="230">
        <v>97500</v>
      </c>
      <c r="BE139" s="230">
        <v>97500</v>
      </c>
      <c r="BF139" s="228">
        <v>0</v>
      </c>
      <c r="BG139" s="229">
        <v>0</v>
      </c>
      <c r="BH139" s="230">
        <v>49705500</v>
      </c>
      <c r="BI139" s="230">
        <v>54190500</v>
      </c>
      <c r="BJ139" s="230">
        <v>-4485000</v>
      </c>
      <c r="BK139" s="229">
        <v>-8.2799999999999999E-2</v>
      </c>
      <c r="BL139" s="230">
        <v>13962000</v>
      </c>
      <c r="BM139" s="230">
        <v>34112000</v>
      </c>
      <c r="BN139" s="230">
        <v>-20150000</v>
      </c>
      <c r="BO139" s="229">
        <v>-0.5907</v>
      </c>
      <c r="BP139" s="230">
        <v>79319500</v>
      </c>
      <c r="BQ139" s="230">
        <v>107594500</v>
      </c>
      <c r="BR139" s="230">
        <v>-28275000</v>
      </c>
      <c r="BS139" s="229">
        <v>-0.26279999999999998</v>
      </c>
      <c r="BT139" s="230">
        <v>13170799</v>
      </c>
      <c r="BU139" s="230">
        <v>10255004</v>
      </c>
      <c r="BV139" s="230">
        <v>2915795</v>
      </c>
      <c r="BW139" s="229">
        <v>0.2843</v>
      </c>
      <c r="BX139" s="230">
        <v>88036000</v>
      </c>
      <c r="BY139" s="230">
        <v>85995000</v>
      </c>
      <c r="BZ139" s="230">
        <v>2041000</v>
      </c>
      <c r="CA139" s="229">
        <v>2.3699999999999999E-2</v>
      </c>
      <c r="CB139" s="230">
        <v>82504500</v>
      </c>
      <c r="CC139" s="230">
        <v>81367000</v>
      </c>
      <c r="CD139" s="230">
        <v>1137500</v>
      </c>
      <c r="CE139" s="229">
        <v>1.4E-2</v>
      </c>
      <c r="CF139" s="230">
        <v>5076500</v>
      </c>
      <c r="CG139" s="230">
        <v>4205500</v>
      </c>
      <c r="CH139" s="230">
        <v>871000</v>
      </c>
      <c r="CI139" s="229">
        <v>0.20710000000000001</v>
      </c>
      <c r="CJ139" s="230">
        <v>455000</v>
      </c>
      <c r="CK139" s="230">
        <v>422500</v>
      </c>
      <c r="CL139" s="230">
        <v>32500</v>
      </c>
      <c r="CM139" s="229">
        <v>7.6899999999999996E-2</v>
      </c>
      <c r="CN139" s="230">
        <v>57752500</v>
      </c>
      <c r="CO139" s="230">
        <v>47801000</v>
      </c>
      <c r="CP139" s="230">
        <v>9951500</v>
      </c>
      <c r="CQ139" s="229">
        <v>0.2082</v>
      </c>
      <c r="CR139" s="230">
        <v>23309000</v>
      </c>
      <c r="CS139" s="230">
        <v>22327500</v>
      </c>
      <c r="CT139" s="230">
        <v>981500</v>
      </c>
      <c r="CU139" s="229">
        <v>4.3999999999999997E-2</v>
      </c>
      <c r="CV139" s="230">
        <v>169097500</v>
      </c>
      <c r="CW139" s="230">
        <v>156123500</v>
      </c>
      <c r="CX139" s="230">
        <v>12974000</v>
      </c>
      <c r="CY139" s="229">
        <v>8.3099999999999993E-2</v>
      </c>
      <c r="CZ139" s="228">
        <v>32.85</v>
      </c>
      <c r="DA139" s="228">
        <v>31.54</v>
      </c>
      <c r="DB139" s="228">
        <v>1.31</v>
      </c>
      <c r="DC139" s="228">
        <v>1.31</v>
      </c>
      <c r="DD139" s="228">
        <v>51.07</v>
      </c>
      <c r="DE139" s="228">
        <v>51.14</v>
      </c>
      <c r="DF139" s="228">
        <v>-18.22</v>
      </c>
      <c r="DG139" s="228">
        <v>-7.0000000000000007E-2</v>
      </c>
      <c r="DH139" s="228">
        <v>33.76</v>
      </c>
      <c r="DI139" s="228">
        <v>32.79</v>
      </c>
      <c r="DJ139" s="228">
        <v>0.97</v>
      </c>
      <c r="DK139" s="228">
        <v>0.97</v>
      </c>
      <c r="DL139" s="228">
        <v>29.63</v>
      </c>
      <c r="DM139" s="228">
        <v>29.56</v>
      </c>
      <c r="DN139" s="228">
        <v>7.0000000000000007E-2</v>
      </c>
      <c r="DO139" s="228">
        <v>7.0000000000000007E-2</v>
      </c>
      <c r="DP139" s="228">
        <v>0.4</v>
      </c>
      <c r="DQ139" s="228">
        <v>0.47</v>
      </c>
      <c r="DR139" s="228">
        <v>-7.0000000000000007E-2</v>
      </c>
      <c r="DS139" s="229">
        <v>-0.1489</v>
      </c>
      <c r="DT139" s="228">
        <v>120</v>
      </c>
      <c r="DU139" s="228">
        <v>110</v>
      </c>
      <c r="DV139" s="228">
        <v>0.28000000000000003</v>
      </c>
      <c r="DW139" s="228">
        <v>0.63</v>
      </c>
      <c r="DX139" s="228">
        <v>-0.35</v>
      </c>
      <c r="DY139" s="229">
        <v>-0.55559999999999998</v>
      </c>
      <c r="DZ139" s="229">
        <v>6.2799999999999995E-2</v>
      </c>
      <c r="EA139" s="230">
        <v>4628000</v>
      </c>
      <c r="EB139" s="229">
        <v>6.0000000000000001E-3</v>
      </c>
      <c r="EC139" s="229">
        <v>6.2799999999999995E-2</v>
      </c>
      <c r="ED139" s="228">
        <v>0.71</v>
      </c>
      <c r="EE139" s="229">
        <v>6.4000000000000003E-3</v>
      </c>
      <c r="EF139" s="230">
        <v>4084607</v>
      </c>
      <c r="EG139" s="230">
        <v>3142140</v>
      </c>
      <c r="EH139" s="229">
        <v>0.2999</v>
      </c>
      <c r="EI139" s="229">
        <v>0.31009999999999999</v>
      </c>
      <c r="EJ139" s="231">
        <v>58522.25</v>
      </c>
      <c r="EK139" s="231">
        <v>15567.74</v>
      </c>
      <c r="EL139" s="231">
        <v>17348.36</v>
      </c>
      <c r="EM139" s="231">
        <v>3195</v>
      </c>
      <c r="EN139" s="231">
        <v>91438.35</v>
      </c>
      <c r="EO139" s="231">
        <v>125374.3</v>
      </c>
      <c r="EP139" s="231">
        <v>-33935.949999999997</v>
      </c>
      <c r="EQ139" s="229">
        <v>-0.2707</v>
      </c>
      <c r="ER139" s="231">
        <v>68354</v>
      </c>
      <c r="ES139" s="231">
        <v>25507</v>
      </c>
      <c r="ET139" s="231">
        <v>96622</v>
      </c>
      <c r="EU139" s="231">
        <v>154894704</v>
      </c>
      <c r="EV139" s="231">
        <v>190483</v>
      </c>
      <c r="EW139" s="231">
        <v>177440</v>
      </c>
      <c r="EX139" s="231">
        <v>13043</v>
      </c>
      <c r="EY139" s="229">
        <v>7.3499999999999996E-2</v>
      </c>
      <c r="EZ139" s="229">
        <v>1.0916999999999999</v>
      </c>
      <c r="FA139" s="227" t="s">
        <v>567</v>
      </c>
      <c r="FB139" s="161">
        <f>BX139-CB139</f>
        <v>5531500</v>
      </c>
    </row>
    <row r="140" spans="1:158" ht="17.25" hidden="1" thickBot="1" x14ac:dyDescent="0.3">
      <c r="A140" s="226">
        <v>46008</v>
      </c>
      <c r="B140" s="227" t="s">
        <v>215</v>
      </c>
      <c r="C140" s="227" t="s">
        <v>591</v>
      </c>
      <c r="D140" s="228">
        <v>2700</v>
      </c>
      <c r="E140" s="228">
        <v>155.97</v>
      </c>
      <c r="F140" s="228">
        <v>157.91999999999999</v>
      </c>
      <c r="G140" s="228">
        <v>-1.95</v>
      </c>
      <c r="H140" s="229">
        <v>-1.23E-2</v>
      </c>
      <c r="I140" s="228">
        <v>155.32</v>
      </c>
      <c r="J140" s="228">
        <v>157.85</v>
      </c>
      <c r="K140" s="228">
        <v>-2.5299999999999998</v>
      </c>
      <c r="L140" s="229">
        <v>-1.6E-2</v>
      </c>
      <c r="M140" s="228">
        <v>155.97</v>
      </c>
      <c r="N140" s="228">
        <v>157.91999999999999</v>
      </c>
      <c r="O140" s="228">
        <v>-1.95</v>
      </c>
      <c r="P140" s="229">
        <v>-1.23E-2</v>
      </c>
      <c r="Q140" s="228">
        <v>0</v>
      </c>
      <c r="R140" s="228">
        <v>0</v>
      </c>
      <c r="S140" s="228">
        <v>0</v>
      </c>
      <c r="T140" s="229">
        <v>0</v>
      </c>
      <c r="U140" s="228">
        <v>0</v>
      </c>
      <c r="V140" s="228">
        <v>0</v>
      </c>
      <c r="W140" s="228">
        <v>0</v>
      </c>
      <c r="X140" s="229">
        <v>0</v>
      </c>
      <c r="Y140" s="228">
        <v>0.65</v>
      </c>
      <c r="Z140" s="228">
        <v>7.0000000000000007E-2</v>
      </c>
      <c r="AA140" s="228">
        <v>0.57999999999999996</v>
      </c>
      <c r="AB140" s="229">
        <v>4.1999999999999997E-3</v>
      </c>
      <c r="AC140" s="228">
        <v>0.65</v>
      </c>
      <c r="AD140" s="228">
        <v>7.0000000000000007E-2</v>
      </c>
      <c r="AE140" s="228">
        <v>0.57999999999999996</v>
      </c>
      <c r="AF140" s="229">
        <v>4.1999999999999997E-3</v>
      </c>
      <c r="AG140" s="228">
        <v>0</v>
      </c>
      <c r="AH140" s="228">
        <v>0</v>
      </c>
      <c r="AI140" s="228">
        <v>0</v>
      </c>
      <c r="AJ140" s="229">
        <v>0</v>
      </c>
      <c r="AK140" s="228">
        <v>0</v>
      </c>
      <c r="AL140" s="228">
        <v>0</v>
      </c>
      <c r="AM140" s="228">
        <v>0</v>
      </c>
      <c r="AN140" s="229">
        <v>0</v>
      </c>
      <c r="AO140" s="228">
        <v>156.63999999999999</v>
      </c>
      <c r="AP140" s="228">
        <v>0</v>
      </c>
      <c r="AQ140" s="228">
        <v>0</v>
      </c>
      <c r="AR140" s="230">
        <v>3213000</v>
      </c>
      <c r="AS140" s="230">
        <v>3750300</v>
      </c>
      <c r="AT140" s="230">
        <v>-537300</v>
      </c>
      <c r="AU140" s="229">
        <v>-0.14330000000000001</v>
      </c>
      <c r="AV140" s="230">
        <v>3213000</v>
      </c>
      <c r="AW140" s="230">
        <v>3750300</v>
      </c>
      <c r="AX140" s="230">
        <v>-537300</v>
      </c>
      <c r="AY140" s="229">
        <v>-0.14330000000000001</v>
      </c>
      <c r="AZ140" s="228">
        <v>0</v>
      </c>
      <c r="BA140" s="228">
        <v>0</v>
      </c>
      <c r="BB140" s="228">
        <v>0</v>
      </c>
      <c r="BC140" s="229">
        <v>0</v>
      </c>
      <c r="BD140" s="228">
        <v>0</v>
      </c>
      <c r="BE140" s="228">
        <v>0</v>
      </c>
      <c r="BF140" s="228">
        <v>0</v>
      </c>
      <c r="BG140" s="229">
        <v>0</v>
      </c>
      <c r="BH140" s="230">
        <v>11720700</v>
      </c>
      <c r="BI140" s="230">
        <v>11132100</v>
      </c>
      <c r="BJ140" s="230">
        <v>588600</v>
      </c>
      <c r="BK140" s="229">
        <v>5.2900000000000003E-2</v>
      </c>
      <c r="BL140" s="230">
        <v>5227200</v>
      </c>
      <c r="BM140" s="230">
        <v>4519800</v>
      </c>
      <c r="BN140" s="230">
        <v>707400</v>
      </c>
      <c r="BO140" s="229">
        <v>0.1565</v>
      </c>
      <c r="BP140" s="230">
        <v>20160900</v>
      </c>
      <c r="BQ140" s="230">
        <v>19402200</v>
      </c>
      <c r="BR140" s="230">
        <v>758700</v>
      </c>
      <c r="BS140" s="229">
        <v>3.9100000000000003E-2</v>
      </c>
      <c r="BT140" s="230">
        <v>3741337</v>
      </c>
      <c r="BU140" s="230">
        <v>3417774</v>
      </c>
      <c r="BV140" s="230">
        <v>323563</v>
      </c>
      <c r="BW140" s="229">
        <v>9.4700000000000006E-2</v>
      </c>
      <c r="BX140" s="230">
        <v>22361400</v>
      </c>
      <c r="BY140" s="230">
        <v>22204800</v>
      </c>
      <c r="BZ140" s="230">
        <v>156600</v>
      </c>
      <c r="CA140" s="229">
        <v>7.1000000000000004E-3</v>
      </c>
      <c r="CB140" s="230">
        <v>22361400</v>
      </c>
      <c r="CC140" s="230">
        <v>22204800</v>
      </c>
      <c r="CD140" s="230">
        <v>156600</v>
      </c>
      <c r="CE140" s="229">
        <v>7.1000000000000004E-3</v>
      </c>
      <c r="CF140" s="228">
        <v>0</v>
      </c>
      <c r="CG140" s="228">
        <v>0</v>
      </c>
      <c r="CH140" s="228">
        <v>0</v>
      </c>
      <c r="CI140" s="229">
        <v>0</v>
      </c>
      <c r="CJ140" s="228">
        <v>0</v>
      </c>
      <c r="CK140" s="228">
        <v>0</v>
      </c>
      <c r="CL140" s="228">
        <v>0</v>
      </c>
      <c r="CM140" s="229">
        <v>0</v>
      </c>
      <c r="CN140" s="230">
        <v>23689800</v>
      </c>
      <c r="CO140" s="230">
        <v>24451200</v>
      </c>
      <c r="CP140" s="230">
        <v>-761400</v>
      </c>
      <c r="CQ140" s="229">
        <v>-3.1099999999999999E-2</v>
      </c>
      <c r="CR140" s="230">
        <v>9944100</v>
      </c>
      <c r="CS140" s="230">
        <v>10241100</v>
      </c>
      <c r="CT140" s="230">
        <v>-297000</v>
      </c>
      <c r="CU140" s="229">
        <v>-2.9000000000000001E-2</v>
      </c>
      <c r="CV140" s="230">
        <v>55995300</v>
      </c>
      <c r="CW140" s="230">
        <v>56897100</v>
      </c>
      <c r="CX140" s="230">
        <v>-901800</v>
      </c>
      <c r="CY140" s="229">
        <v>-1.5800000000000002E-2</v>
      </c>
      <c r="CZ140" s="228">
        <v>31.9</v>
      </c>
      <c r="DA140" s="228">
        <v>32.24</v>
      </c>
      <c r="DB140" s="228">
        <v>-0.34</v>
      </c>
      <c r="DC140" s="228">
        <v>-0.34</v>
      </c>
      <c r="DD140" s="228">
        <v>45.03</v>
      </c>
      <c r="DE140" s="228">
        <v>45.11</v>
      </c>
      <c r="DF140" s="228">
        <v>-13.13</v>
      </c>
      <c r="DG140" s="228">
        <v>-0.08</v>
      </c>
      <c r="DH140" s="228">
        <v>33.26</v>
      </c>
      <c r="DI140" s="228">
        <v>32.869999999999997</v>
      </c>
      <c r="DJ140" s="228">
        <v>0.39</v>
      </c>
      <c r="DK140" s="228">
        <v>0.39</v>
      </c>
      <c r="DL140" s="228">
        <v>28.85</v>
      </c>
      <c r="DM140" s="228">
        <v>30.68</v>
      </c>
      <c r="DN140" s="228">
        <v>-1.83</v>
      </c>
      <c r="DO140" s="228">
        <v>-1.83</v>
      </c>
      <c r="DP140" s="228">
        <v>0.42</v>
      </c>
      <c r="DQ140" s="228">
        <v>0.42</v>
      </c>
      <c r="DR140" s="228">
        <v>0</v>
      </c>
      <c r="DS140" s="229">
        <v>0</v>
      </c>
      <c r="DT140" s="228">
        <v>180</v>
      </c>
      <c r="DU140" s="228">
        <v>160</v>
      </c>
      <c r="DV140" s="228">
        <v>0.45</v>
      </c>
      <c r="DW140" s="228">
        <v>0.41</v>
      </c>
      <c r="DX140" s="228">
        <v>0.04</v>
      </c>
      <c r="DY140" s="229">
        <v>9.7600000000000006E-2</v>
      </c>
      <c r="DZ140" s="229">
        <v>0</v>
      </c>
      <c r="EA140" s="228">
        <v>0</v>
      </c>
      <c r="EB140" s="229">
        <v>0</v>
      </c>
      <c r="EC140" s="229">
        <v>0</v>
      </c>
      <c r="ED140" s="228">
        <v>0</v>
      </c>
      <c r="EE140" s="229">
        <v>0</v>
      </c>
      <c r="EF140" s="230">
        <v>1386358</v>
      </c>
      <c r="EG140" s="230">
        <v>1624908</v>
      </c>
      <c r="EH140" s="229">
        <v>-0.14680000000000001</v>
      </c>
      <c r="EI140" s="229">
        <v>0.37059999999999998</v>
      </c>
      <c r="EJ140" s="231">
        <v>20018</v>
      </c>
      <c r="EK140" s="231">
        <v>8196.4699999999993</v>
      </c>
      <c r="EL140" s="231">
        <v>5032.8599999999997</v>
      </c>
      <c r="EM140" s="231">
        <v>1088</v>
      </c>
      <c r="EN140" s="231">
        <v>33247.33</v>
      </c>
      <c r="EO140" s="231">
        <v>32327.32</v>
      </c>
      <c r="EP140" s="228">
        <v>920.01</v>
      </c>
      <c r="EQ140" s="229">
        <v>2.8500000000000001E-2</v>
      </c>
      <c r="ER140" s="231">
        <v>42388</v>
      </c>
      <c r="ES140" s="231">
        <v>16434</v>
      </c>
      <c r="ET140" s="231">
        <v>34877</v>
      </c>
      <c r="EU140" s="231">
        <v>72342848</v>
      </c>
      <c r="EV140" s="231">
        <v>93699</v>
      </c>
      <c r="EW140" s="231">
        <v>95945</v>
      </c>
      <c r="EX140" s="231">
        <v>-2246</v>
      </c>
      <c r="EY140" s="229">
        <v>-2.3400000000000001E-2</v>
      </c>
      <c r="EZ140" s="229">
        <v>0.77400000000000002</v>
      </c>
      <c r="FA140" s="227" t="s">
        <v>567</v>
      </c>
      <c r="FB140" s="161">
        <f>BX140-CB140</f>
        <v>0</v>
      </c>
    </row>
    <row r="141" spans="1:158" ht="17.25" hidden="1" thickBot="1" x14ac:dyDescent="0.3">
      <c r="A141" s="226">
        <v>46008</v>
      </c>
      <c r="B141" s="227" t="s">
        <v>168</v>
      </c>
      <c r="C141" s="227" t="s">
        <v>265</v>
      </c>
      <c r="D141" s="228">
        <v>500</v>
      </c>
      <c r="E141" s="231">
        <v>1235.9000000000001</v>
      </c>
      <c r="F141" s="231">
        <v>1244.4000000000001</v>
      </c>
      <c r="G141" s="228">
        <v>-8.5</v>
      </c>
      <c r="H141" s="229">
        <v>-6.7999999999999996E-3</v>
      </c>
      <c r="I141" s="231">
        <v>1234.5999999999999</v>
      </c>
      <c r="J141" s="231">
        <v>1240.5999999999999</v>
      </c>
      <c r="K141" s="228">
        <v>-6</v>
      </c>
      <c r="L141" s="229">
        <v>-4.7999999999999996E-3</v>
      </c>
      <c r="M141" s="231">
        <v>1235.9000000000001</v>
      </c>
      <c r="N141" s="231">
        <v>1244.4000000000001</v>
      </c>
      <c r="O141" s="228">
        <v>-8.5</v>
      </c>
      <c r="P141" s="229">
        <v>-6.7999999999999996E-3</v>
      </c>
      <c r="Q141" s="231">
        <v>1243.5</v>
      </c>
      <c r="R141" s="231">
        <v>1251.4000000000001</v>
      </c>
      <c r="S141" s="228">
        <v>-7.9</v>
      </c>
      <c r="T141" s="229">
        <v>-6.3E-3</v>
      </c>
      <c r="U141" s="231">
        <v>1245.7</v>
      </c>
      <c r="V141" s="231">
        <v>1254.7</v>
      </c>
      <c r="W141" s="228">
        <v>-9</v>
      </c>
      <c r="X141" s="229">
        <v>-7.1999999999999998E-3</v>
      </c>
      <c r="Y141" s="228">
        <v>1.3</v>
      </c>
      <c r="Z141" s="228">
        <v>3.8</v>
      </c>
      <c r="AA141" s="228">
        <v>-2.5</v>
      </c>
      <c r="AB141" s="229">
        <v>1.1000000000000001E-3</v>
      </c>
      <c r="AC141" s="228">
        <v>1.3</v>
      </c>
      <c r="AD141" s="228">
        <v>3.8</v>
      </c>
      <c r="AE141" s="228">
        <v>-2.5</v>
      </c>
      <c r="AF141" s="229">
        <v>1.1000000000000001E-3</v>
      </c>
      <c r="AG141" s="228">
        <v>8.9</v>
      </c>
      <c r="AH141" s="228">
        <v>10.8</v>
      </c>
      <c r="AI141" s="228">
        <v>-1.9</v>
      </c>
      <c r="AJ141" s="229">
        <v>7.1999999999999998E-3</v>
      </c>
      <c r="AK141" s="228">
        <v>11.1</v>
      </c>
      <c r="AL141" s="228">
        <v>14.1</v>
      </c>
      <c r="AM141" s="228">
        <v>-3</v>
      </c>
      <c r="AN141" s="229">
        <v>8.9999999999999993E-3</v>
      </c>
      <c r="AO141" s="231">
        <v>1236.6400000000001</v>
      </c>
      <c r="AP141" s="231">
        <v>1244.77</v>
      </c>
      <c r="AQ141" s="228">
        <v>0</v>
      </c>
      <c r="AR141" s="230">
        <v>2635500</v>
      </c>
      <c r="AS141" s="230">
        <v>1943500</v>
      </c>
      <c r="AT141" s="230">
        <v>692000</v>
      </c>
      <c r="AU141" s="229">
        <v>0.35610000000000003</v>
      </c>
      <c r="AV141" s="230">
        <v>1723000</v>
      </c>
      <c r="AW141" s="230">
        <v>1607000</v>
      </c>
      <c r="AX141" s="230">
        <v>116000</v>
      </c>
      <c r="AY141" s="229">
        <v>7.22E-2</v>
      </c>
      <c r="AZ141" s="230">
        <v>904500</v>
      </c>
      <c r="BA141" s="230">
        <v>325000</v>
      </c>
      <c r="BB141" s="230">
        <v>579500</v>
      </c>
      <c r="BC141" s="229">
        <v>1.7830999999999999</v>
      </c>
      <c r="BD141" s="230">
        <v>8000</v>
      </c>
      <c r="BE141" s="230">
        <v>11500</v>
      </c>
      <c r="BF141" s="230">
        <v>-3500</v>
      </c>
      <c r="BG141" s="229">
        <v>-0.30430000000000001</v>
      </c>
      <c r="BH141" s="230">
        <v>4279500</v>
      </c>
      <c r="BI141" s="230">
        <v>10472000</v>
      </c>
      <c r="BJ141" s="230">
        <v>-6192500</v>
      </c>
      <c r="BK141" s="229">
        <v>-0.59130000000000005</v>
      </c>
      <c r="BL141" s="230">
        <v>1553000</v>
      </c>
      <c r="BM141" s="230">
        <v>2348500</v>
      </c>
      <c r="BN141" s="230">
        <v>-795500</v>
      </c>
      <c r="BO141" s="229">
        <v>-0.3387</v>
      </c>
      <c r="BP141" s="230">
        <v>8468000</v>
      </c>
      <c r="BQ141" s="230">
        <v>14764000</v>
      </c>
      <c r="BR141" s="230">
        <v>-6296000</v>
      </c>
      <c r="BS141" s="229">
        <v>-0.4264</v>
      </c>
      <c r="BT141" s="230">
        <v>538361</v>
      </c>
      <c r="BU141" s="230">
        <v>1123287</v>
      </c>
      <c r="BV141" s="230">
        <v>-584926</v>
      </c>
      <c r="BW141" s="229">
        <v>-0.52070000000000005</v>
      </c>
      <c r="BX141" s="230">
        <v>16494000</v>
      </c>
      <c r="BY141" s="230">
        <v>16294000</v>
      </c>
      <c r="BZ141" s="230">
        <v>200000</v>
      </c>
      <c r="CA141" s="229">
        <v>1.23E-2</v>
      </c>
      <c r="CB141" s="230">
        <v>14547500</v>
      </c>
      <c r="CC141" s="230">
        <v>15170500</v>
      </c>
      <c r="CD141" s="230">
        <v>-623000</v>
      </c>
      <c r="CE141" s="229">
        <v>-4.1099999999999998E-2</v>
      </c>
      <c r="CF141" s="230">
        <v>1866000</v>
      </c>
      <c r="CG141" s="230">
        <v>1046000</v>
      </c>
      <c r="CH141" s="230">
        <v>820000</v>
      </c>
      <c r="CI141" s="229">
        <v>0.78390000000000004</v>
      </c>
      <c r="CJ141" s="230">
        <v>80500</v>
      </c>
      <c r="CK141" s="230">
        <v>77500</v>
      </c>
      <c r="CL141" s="230">
        <v>3000</v>
      </c>
      <c r="CM141" s="229">
        <v>3.8699999999999998E-2</v>
      </c>
      <c r="CN141" s="230">
        <v>7283000</v>
      </c>
      <c r="CO141" s="230">
        <v>7082000</v>
      </c>
      <c r="CP141" s="230">
        <v>201000</v>
      </c>
      <c r="CQ141" s="229">
        <v>2.8400000000000002E-2</v>
      </c>
      <c r="CR141" s="230">
        <v>2293000</v>
      </c>
      <c r="CS141" s="230">
        <v>2305500</v>
      </c>
      <c r="CT141" s="230">
        <v>-12500</v>
      </c>
      <c r="CU141" s="229">
        <v>-5.4000000000000003E-3</v>
      </c>
      <c r="CV141" s="230">
        <v>26070000</v>
      </c>
      <c r="CW141" s="230">
        <v>25681500</v>
      </c>
      <c r="CX141" s="230">
        <v>388500</v>
      </c>
      <c r="CY141" s="229">
        <v>1.5100000000000001E-2</v>
      </c>
      <c r="CZ141" s="228">
        <v>18.63</v>
      </c>
      <c r="DA141" s="228">
        <v>18.71</v>
      </c>
      <c r="DB141" s="228">
        <v>-0.08</v>
      </c>
      <c r="DC141" s="228">
        <v>-0.08</v>
      </c>
      <c r="DD141" s="228">
        <v>22.99</v>
      </c>
      <c r="DE141" s="228">
        <v>23.04</v>
      </c>
      <c r="DF141" s="228">
        <v>-4.3600000000000003</v>
      </c>
      <c r="DG141" s="228">
        <v>-0.05</v>
      </c>
      <c r="DH141" s="228">
        <v>19.09</v>
      </c>
      <c r="DI141" s="228">
        <v>19.02</v>
      </c>
      <c r="DJ141" s="228">
        <v>7.0000000000000007E-2</v>
      </c>
      <c r="DK141" s="228">
        <v>7.0000000000000007E-2</v>
      </c>
      <c r="DL141" s="228">
        <v>17.350000000000001</v>
      </c>
      <c r="DM141" s="228">
        <v>17.34</v>
      </c>
      <c r="DN141" s="228">
        <v>0.01</v>
      </c>
      <c r="DO141" s="228">
        <v>0.01</v>
      </c>
      <c r="DP141" s="228">
        <v>0.31</v>
      </c>
      <c r="DQ141" s="228">
        <v>0.33</v>
      </c>
      <c r="DR141" s="228">
        <v>-0.02</v>
      </c>
      <c r="DS141" s="229">
        <v>-6.0600000000000001E-2</v>
      </c>
      <c r="DT141" s="231">
        <v>1320</v>
      </c>
      <c r="DU141" s="231">
        <v>1180</v>
      </c>
      <c r="DV141" s="228">
        <v>0.36</v>
      </c>
      <c r="DW141" s="228">
        <v>0.22</v>
      </c>
      <c r="DX141" s="228">
        <v>0.14000000000000001</v>
      </c>
      <c r="DY141" s="229">
        <v>0.63639999999999997</v>
      </c>
      <c r="DZ141" s="229">
        <v>0.11799999999999999</v>
      </c>
      <c r="EA141" s="230">
        <v>1123500</v>
      </c>
      <c r="EB141" s="229">
        <v>6.1000000000000004E-3</v>
      </c>
      <c r="EC141" s="229">
        <v>0.11799999999999999</v>
      </c>
      <c r="ED141" s="228">
        <v>8.1300000000000008</v>
      </c>
      <c r="EE141" s="229">
        <v>6.6E-3</v>
      </c>
      <c r="EF141" s="230">
        <v>294244</v>
      </c>
      <c r="EG141" s="230">
        <v>576258</v>
      </c>
      <c r="EH141" s="229">
        <v>-0.4894</v>
      </c>
      <c r="EI141" s="229">
        <v>0.54659999999999997</v>
      </c>
      <c r="EJ141" s="231">
        <v>54965.919999999998</v>
      </c>
      <c r="EK141" s="231">
        <v>19126.18</v>
      </c>
      <c r="EL141" s="231">
        <v>32665.83</v>
      </c>
      <c r="EM141" s="231">
        <v>2634</v>
      </c>
      <c r="EN141" s="231">
        <v>106757.93</v>
      </c>
      <c r="EO141" s="231">
        <v>188472.34</v>
      </c>
      <c r="EP141" s="231">
        <v>-81714.41</v>
      </c>
      <c r="EQ141" s="229">
        <v>-0.43359999999999999</v>
      </c>
      <c r="ER141" s="231">
        <v>94970</v>
      </c>
      <c r="ES141" s="231">
        <v>27866</v>
      </c>
      <c r="ET141" s="231">
        <v>203999</v>
      </c>
      <c r="EU141" s="231">
        <v>71801274</v>
      </c>
      <c r="EV141" s="231">
        <v>326835</v>
      </c>
      <c r="EW141" s="231">
        <v>323177</v>
      </c>
      <c r="EX141" s="231">
        <v>3658</v>
      </c>
      <c r="EY141" s="229">
        <v>1.1299999999999999E-2</v>
      </c>
      <c r="EZ141" s="229">
        <v>0.36309999999999998</v>
      </c>
      <c r="FA141" s="227" t="s">
        <v>567</v>
      </c>
      <c r="FB141" s="161">
        <f>BX215-CB215</f>
        <v>741600</v>
      </c>
    </row>
    <row r="142" spans="1:158" ht="17.25" hidden="1" thickBot="1" x14ac:dyDescent="0.3">
      <c r="A142" s="226">
        <v>46008</v>
      </c>
      <c r="B142" s="227" t="s">
        <v>161</v>
      </c>
      <c r="C142" s="227" t="s">
        <v>585</v>
      </c>
      <c r="D142" s="228">
        <v>6400</v>
      </c>
      <c r="E142" s="228">
        <v>75.569999999999993</v>
      </c>
      <c r="F142" s="228">
        <v>75.97</v>
      </c>
      <c r="G142" s="228">
        <v>-0.4</v>
      </c>
      <c r="H142" s="229">
        <v>-5.3E-3</v>
      </c>
      <c r="I142" s="228">
        <v>75.39</v>
      </c>
      <c r="J142" s="228">
        <v>76.010000000000005</v>
      </c>
      <c r="K142" s="228">
        <v>-0.62</v>
      </c>
      <c r="L142" s="229">
        <v>-8.2000000000000007E-3</v>
      </c>
      <c r="M142" s="228">
        <v>75.569999999999993</v>
      </c>
      <c r="N142" s="228">
        <v>75.97</v>
      </c>
      <c r="O142" s="228">
        <v>-0.4</v>
      </c>
      <c r="P142" s="229">
        <v>-5.3E-3</v>
      </c>
      <c r="Q142" s="228">
        <v>76.03</v>
      </c>
      <c r="R142" s="228">
        <v>76.42</v>
      </c>
      <c r="S142" s="228">
        <v>-0.39</v>
      </c>
      <c r="T142" s="229">
        <v>-5.1000000000000004E-3</v>
      </c>
      <c r="U142" s="228">
        <v>75.760000000000005</v>
      </c>
      <c r="V142" s="228">
        <v>76.08</v>
      </c>
      <c r="W142" s="228">
        <v>-0.32</v>
      </c>
      <c r="X142" s="229">
        <v>-4.1999999999999997E-3</v>
      </c>
      <c r="Y142" s="228">
        <v>0.18</v>
      </c>
      <c r="Z142" s="228">
        <v>-0.04</v>
      </c>
      <c r="AA142" s="228">
        <v>0.22</v>
      </c>
      <c r="AB142" s="229">
        <v>2.3999999999999998E-3</v>
      </c>
      <c r="AC142" s="228">
        <v>0.18</v>
      </c>
      <c r="AD142" s="228">
        <v>-0.04</v>
      </c>
      <c r="AE142" s="228">
        <v>0.22</v>
      </c>
      <c r="AF142" s="229">
        <v>2.3999999999999998E-3</v>
      </c>
      <c r="AG142" s="228">
        <v>0.64</v>
      </c>
      <c r="AH142" s="228">
        <v>0.41</v>
      </c>
      <c r="AI142" s="228">
        <v>0.23</v>
      </c>
      <c r="AJ142" s="229">
        <v>8.5000000000000006E-3</v>
      </c>
      <c r="AK142" s="228">
        <v>0.37</v>
      </c>
      <c r="AL142" s="228">
        <v>7.0000000000000007E-2</v>
      </c>
      <c r="AM142" s="228">
        <v>0.3</v>
      </c>
      <c r="AN142" s="229">
        <v>4.8999999999999998E-3</v>
      </c>
      <c r="AO142" s="228">
        <v>75.599999999999994</v>
      </c>
      <c r="AP142" s="228">
        <v>76.13</v>
      </c>
      <c r="AQ142" s="228">
        <v>0</v>
      </c>
      <c r="AR142" s="230">
        <v>10048000</v>
      </c>
      <c r="AS142" s="230">
        <v>7731200</v>
      </c>
      <c r="AT142" s="230">
        <v>2316800</v>
      </c>
      <c r="AU142" s="229">
        <v>0.29970000000000002</v>
      </c>
      <c r="AV142" s="230">
        <v>7596800</v>
      </c>
      <c r="AW142" s="230">
        <v>5753600</v>
      </c>
      <c r="AX142" s="230">
        <v>1843200</v>
      </c>
      <c r="AY142" s="229">
        <v>0.32040000000000002</v>
      </c>
      <c r="AZ142" s="230">
        <v>1926400</v>
      </c>
      <c r="BA142" s="230">
        <v>1689600</v>
      </c>
      <c r="BB142" s="230">
        <v>236800</v>
      </c>
      <c r="BC142" s="229">
        <v>0.14019999999999999</v>
      </c>
      <c r="BD142" s="230">
        <v>524800</v>
      </c>
      <c r="BE142" s="230">
        <v>288000</v>
      </c>
      <c r="BF142" s="230">
        <v>236800</v>
      </c>
      <c r="BG142" s="229">
        <v>0.82220000000000004</v>
      </c>
      <c r="BH142" s="230">
        <v>21760000</v>
      </c>
      <c r="BI142" s="230">
        <v>19750400</v>
      </c>
      <c r="BJ142" s="230">
        <v>2009600</v>
      </c>
      <c r="BK142" s="229">
        <v>0.1017</v>
      </c>
      <c r="BL142" s="230">
        <v>6521600</v>
      </c>
      <c r="BM142" s="230">
        <v>4166400</v>
      </c>
      <c r="BN142" s="230">
        <v>2355200</v>
      </c>
      <c r="BO142" s="229">
        <v>0.56530000000000002</v>
      </c>
      <c r="BP142" s="230">
        <v>38329600</v>
      </c>
      <c r="BQ142" s="230">
        <v>31648000</v>
      </c>
      <c r="BR142" s="230">
        <v>6681600</v>
      </c>
      <c r="BS142" s="229">
        <v>0.21110000000000001</v>
      </c>
      <c r="BT142" s="230">
        <v>5980681</v>
      </c>
      <c r="BU142" s="230">
        <v>6412788</v>
      </c>
      <c r="BV142" s="230">
        <v>-432107</v>
      </c>
      <c r="BW142" s="229">
        <v>-6.7400000000000002E-2</v>
      </c>
      <c r="BX142" s="230">
        <v>74137600</v>
      </c>
      <c r="BY142" s="230">
        <v>74329600</v>
      </c>
      <c r="BZ142" s="230">
        <v>-192000</v>
      </c>
      <c r="CA142" s="229">
        <v>-2.5999999999999999E-3</v>
      </c>
      <c r="CB142" s="230">
        <v>66508800</v>
      </c>
      <c r="CC142" s="230">
        <v>67360000</v>
      </c>
      <c r="CD142" s="230">
        <v>-851200</v>
      </c>
      <c r="CE142" s="229">
        <v>-1.26E-2</v>
      </c>
      <c r="CF142" s="230">
        <v>5932800</v>
      </c>
      <c r="CG142" s="230">
        <v>5440000</v>
      </c>
      <c r="CH142" s="230">
        <v>492800</v>
      </c>
      <c r="CI142" s="229">
        <v>9.06E-2</v>
      </c>
      <c r="CJ142" s="230">
        <v>1696000</v>
      </c>
      <c r="CK142" s="230">
        <v>1529600</v>
      </c>
      <c r="CL142" s="230">
        <v>166400</v>
      </c>
      <c r="CM142" s="229">
        <v>0.10879999999999999</v>
      </c>
      <c r="CN142" s="230">
        <v>46912000</v>
      </c>
      <c r="CO142" s="230">
        <v>46803200</v>
      </c>
      <c r="CP142" s="230">
        <v>108800</v>
      </c>
      <c r="CQ142" s="229">
        <v>2.3E-3</v>
      </c>
      <c r="CR142" s="230">
        <v>20883200</v>
      </c>
      <c r="CS142" s="230">
        <v>21068800</v>
      </c>
      <c r="CT142" s="230">
        <v>-185600</v>
      </c>
      <c r="CU142" s="229">
        <v>-8.8000000000000005E-3</v>
      </c>
      <c r="CV142" s="230">
        <v>141932800</v>
      </c>
      <c r="CW142" s="230">
        <v>142201600</v>
      </c>
      <c r="CX142" s="230">
        <v>-268800</v>
      </c>
      <c r="CY142" s="229">
        <v>-1.9E-3</v>
      </c>
      <c r="CZ142" s="228">
        <v>24.71</v>
      </c>
      <c r="DA142" s="228">
        <v>25.85</v>
      </c>
      <c r="DB142" s="228">
        <v>-1.1399999999999999</v>
      </c>
      <c r="DC142" s="228">
        <v>-1.1399999999999999</v>
      </c>
      <c r="DD142" s="228">
        <v>36.72</v>
      </c>
      <c r="DE142" s="228">
        <v>36.799999999999997</v>
      </c>
      <c r="DF142" s="228">
        <v>-12.01</v>
      </c>
      <c r="DG142" s="228">
        <v>-0.08</v>
      </c>
      <c r="DH142" s="228">
        <v>25.2</v>
      </c>
      <c r="DI142" s="228">
        <v>26.32</v>
      </c>
      <c r="DJ142" s="228">
        <v>-1.1200000000000001</v>
      </c>
      <c r="DK142" s="228">
        <v>-1.1200000000000001</v>
      </c>
      <c r="DL142" s="228">
        <v>23.06</v>
      </c>
      <c r="DM142" s="228">
        <v>23.6</v>
      </c>
      <c r="DN142" s="228">
        <v>-0.54</v>
      </c>
      <c r="DO142" s="228">
        <v>-0.54</v>
      </c>
      <c r="DP142" s="228">
        <v>0.45</v>
      </c>
      <c r="DQ142" s="228">
        <v>0.45</v>
      </c>
      <c r="DR142" s="228">
        <v>0</v>
      </c>
      <c r="DS142" s="229">
        <v>0</v>
      </c>
      <c r="DT142" s="228">
        <v>80</v>
      </c>
      <c r="DU142" s="228">
        <v>72</v>
      </c>
      <c r="DV142" s="228">
        <v>0.3</v>
      </c>
      <c r="DW142" s="228">
        <v>0.21</v>
      </c>
      <c r="DX142" s="228">
        <v>0.09</v>
      </c>
      <c r="DY142" s="229">
        <v>0.42859999999999998</v>
      </c>
      <c r="DZ142" s="229">
        <v>0.10290000000000001</v>
      </c>
      <c r="EA142" s="230">
        <v>6969600</v>
      </c>
      <c r="EB142" s="229">
        <v>6.1000000000000004E-3</v>
      </c>
      <c r="EC142" s="229">
        <v>0.10290000000000001</v>
      </c>
      <c r="ED142" s="228">
        <v>0.53</v>
      </c>
      <c r="EE142" s="229">
        <v>7.0000000000000001E-3</v>
      </c>
      <c r="EF142" s="230">
        <v>2290076</v>
      </c>
      <c r="EG142" s="230">
        <v>4112566</v>
      </c>
      <c r="EH142" s="229">
        <v>-0.44319999999999998</v>
      </c>
      <c r="EI142" s="229">
        <v>0.38290000000000002</v>
      </c>
      <c r="EJ142" s="231">
        <v>17333.39</v>
      </c>
      <c r="EK142" s="231">
        <v>4931.16</v>
      </c>
      <c r="EL142" s="231">
        <v>7607.33</v>
      </c>
      <c r="EM142" s="231">
        <v>1484</v>
      </c>
      <c r="EN142" s="231">
        <v>29871.88</v>
      </c>
      <c r="EO142" s="231">
        <v>24990.49</v>
      </c>
      <c r="EP142" s="231">
        <v>4881.3900000000003</v>
      </c>
      <c r="EQ142" s="229">
        <v>0.1953</v>
      </c>
      <c r="ER142" s="231">
        <v>38123</v>
      </c>
      <c r="ES142" s="231">
        <v>15807</v>
      </c>
      <c r="ET142" s="231">
        <v>56056</v>
      </c>
      <c r="EU142" s="231">
        <v>398201603</v>
      </c>
      <c r="EV142" s="231">
        <v>109987</v>
      </c>
      <c r="EW142" s="231">
        <v>110554</v>
      </c>
      <c r="EX142" s="228">
        <v>-567</v>
      </c>
      <c r="EY142" s="229">
        <v>-5.1000000000000004E-3</v>
      </c>
      <c r="EZ142" s="229">
        <v>0.35639999999999999</v>
      </c>
      <c r="FA142" s="227" t="s">
        <v>568</v>
      </c>
      <c r="FB142" s="161">
        <f t="shared" ref="FB142:FB161" si="3">BX216-CB216</f>
        <v>0</v>
      </c>
    </row>
    <row r="143" spans="1:158" ht="17.25" hidden="1" thickBot="1" x14ac:dyDescent="0.3">
      <c r="A143" s="226">
        <v>46008</v>
      </c>
      <c r="B143" s="227" t="s">
        <v>181</v>
      </c>
      <c r="C143" s="227" t="s">
        <v>266</v>
      </c>
      <c r="D143" s="228">
        <v>75</v>
      </c>
      <c r="E143" s="231">
        <v>25897.8</v>
      </c>
      <c r="F143" s="231">
        <v>25940.7</v>
      </c>
      <c r="G143" s="228">
        <v>-42.9</v>
      </c>
      <c r="H143" s="229">
        <v>-1.6999999999999999E-3</v>
      </c>
      <c r="I143" s="231">
        <v>25818.55</v>
      </c>
      <c r="J143" s="231">
        <v>25860.1</v>
      </c>
      <c r="K143" s="228">
        <v>-41.55</v>
      </c>
      <c r="L143" s="229">
        <v>-1.6000000000000001E-3</v>
      </c>
      <c r="M143" s="231">
        <v>25897.8</v>
      </c>
      <c r="N143" s="231">
        <v>25940.7</v>
      </c>
      <c r="O143" s="228">
        <v>-42.9</v>
      </c>
      <c r="P143" s="229">
        <v>-1.6999999999999999E-3</v>
      </c>
      <c r="Q143" s="231">
        <v>26061.8</v>
      </c>
      <c r="R143" s="231">
        <v>26112.9</v>
      </c>
      <c r="S143" s="228">
        <v>-51.1</v>
      </c>
      <c r="T143" s="229">
        <v>-2E-3</v>
      </c>
      <c r="U143" s="231">
        <v>26212.400000000001</v>
      </c>
      <c r="V143" s="231">
        <v>26257.4</v>
      </c>
      <c r="W143" s="228">
        <v>-45</v>
      </c>
      <c r="X143" s="229">
        <v>-1.6999999999999999E-3</v>
      </c>
      <c r="Y143" s="228">
        <v>79.25</v>
      </c>
      <c r="Z143" s="228">
        <v>80.599999999999994</v>
      </c>
      <c r="AA143" s="228">
        <v>-1.35</v>
      </c>
      <c r="AB143" s="229">
        <v>3.0999999999999999E-3</v>
      </c>
      <c r="AC143" s="228">
        <v>79.25</v>
      </c>
      <c r="AD143" s="228">
        <v>80.599999999999994</v>
      </c>
      <c r="AE143" s="228">
        <v>-1.35</v>
      </c>
      <c r="AF143" s="229">
        <v>3.0999999999999999E-3</v>
      </c>
      <c r="AG143" s="228">
        <v>243.25</v>
      </c>
      <c r="AH143" s="228">
        <v>252.8</v>
      </c>
      <c r="AI143" s="228">
        <v>-9.5500000000000007</v>
      </c>
      <c r="AJ143" s="229">
        <v>9.4000000000000004E-3</v>
      </c>
      <c r="AK143" s="228">
        <v>393.85</v>
      </c>
      <c r="AL143" s="228">
        <v>397.3</v>
      </c>
      <c r="AM143" s="228">
        <v>-3.45</v>
      </c>
      <c r="AN143" s="229">
        <v>1.5299999999999999E-2</v>
      </c>
      <c r="AO143" s="231">
        <v>25912.74</v>
      </c>
      <c r="AP143" s="231">
        <v>26073.18</v>
      </c>
      <c r="AQ143" s="228">
        <v>0</v>
      </c>
      <c r="AR143" s="230">
        <v>4114275</v>
      </c>
      <c r="AS143" s="230">
        <v>5451450</v>
      </c>
      <c r="AT143" s="230">
        <v>-1337175</v>
      </c>
      <c r="AU143" s="229">
        <v>-0.24529999999999999</v>
      </c>
      <c r="AV143" s="230">
        <v>3609300</v>
      </c>
      <c r="AW143" s="230">
        <v>4859250</v>
      </c>
      <c r="AX143" s="230">
        <v>-1249950</v>
      </c>
      <c r="AY143" s="229">
        <v>-0.25719999999999998</v>
      </c>
      <c r="AZ143" s="230">
        <v>381225</v>
      </c>
      <c r="BA143" s="230">
        <v>455850</v>
      </c>
      <c r="BB143" s="230">
        <v>-74625</v>
      </c>
      <c r="BC143" s="229">
        <v>-0.16370000000000001</v>
      </c>
      <c r="BD143" s="230">
        <v>123750</v>
      </c>
      <c r="BE143" s="230">
        <v>136350</v>
      </c>
      <c r="BF143" s="230">
        <v>-12600</v>
      </c>
      <c r="BG143" s="229">
        <v>-9.2399999999999996E-2</v>
      </c>
      <c r="BH143" s="230">
        <v>1784614800</v>
      </c>
      <c r="BI143" s="230">
        <v>9796774350</v>
      </c>
      <c r="BJ143" s="230">
        <v>-8012159550</v>
      </c>
      <c r="BK143" s="229">
        <v>-0.81779999999999997</v>
      </c>
      <c r="BL143" s="230">
        <v>1754993550</v>
      </c>
      <c r="BM143" s="230">
        <v>10074849000</v>
      </c>
      <c r="BN143" s="230">
        <v>-8319855450</v>
      </c>
      <c r="BO143" s="229">
        <v>-0.82579999999999998</v>
      </c>
      <c r="BP143" s="230">
        <v>3543722625</v>
      </c>
      <c r="BQ143" s="230">
        <v>19877074800</v>
      </c>
      <c r="BR143" s="230">
        <v>-16333352175</v>
      </c>
      <c r="BS143" s="229">
        <v>-0.82169999999999999</v>
      </c>
      <c r="BT143" s="228">
        <v>0</v>
      </c>
      <c r="BU143" s="228">
        <v>0</v>
      </c>
      <c r="BV143" s="228">
        <v>0</v>
      </c>
      <c r="BW143" s="229">
        <v>0</v>
      </c>
      <c r="BX143" s="230">
        <v>18569085</v>
      </c>
      <c r="BY143" s="230">
        <v>18188685</v>
      </c>
      <c r="BZ143" s="230">
        <v>380400</v>
      </c>
      <c r="CA143" s="229">
        <v>2.0899999999999998E-2</v>
      </c>
      <c r="CB143" s="230">
        <v>16414725</v>
      </c>
      <c r="CC143" s="230">
        <v>16142550</v>
      </c>
      <c r="CD143" s="230">
        <v>272175</v>
      </c>
      <c r="CE143" s="229">
        <v>1.6899999999999998E-2</v>
      </c>
      <c r="CF143" s="230">
        <v>1585935</v>
      </c>
      <c r="CG143" s="230">
        <v>1501825</v>
      </c>
      <c r="CH143" s="230">
        <v>84110</v>
      </c>
      <c r="CI143" s="229">
        <v>5.6000000000000001E-2</v>
      </c>
      <c r="CJ143" s="230">
        <v>568425</v>
      </c>
      <c r="CK143" s="230">
        <v>544310</v>
      </c>
      <c r="CL143" s="230">
        <v>24115</v>
      </c>
      <c r="CM143" s="229">
        <v>4.4299999999999999E-2</v>
      </c>
      <c r="CN143" s="230">
        <v>245713765</v>
      </c>
      <c r="CO143" s="230">
        <v>172316660</v>
      </c>
      <c r="CP143" s="230">
        <v>73397105</v>
      </c>
      <c r="CQ143" s="229">
        <v>0.4259</v>
      </c>
      <c r="CR143" s="230">
        <v>188770280</v>
      </c>
      <c r="CS143" s="230">
        <v>155159315</v>
      </c>
      <c r="CT143" s="230">
        <v>33610965</v>
      </c>
      <c r="CU143" s="229">
        <v>0.21659999999999999</v>
      </c>
      <c r="CV143" s="230">
        <v>453053130</v>
      </c>
      <c r="CW143" s="230">
        <v>645404035</v>
      </c>
      <c r="CX143" s="230">
        <v>-192350905</v>
      </c>
      <c r="CY143" s="229">
        <v>-0.29799999999999999</v>
      </c>
      <c r="CZ143" s="228">
        <v>9.8000000000000007</v>
      </c>
      <c r="DA143" s="228">
        <v>10.42</v>
      </c>
      <c r="DB143" s="228">
        <v>-0.62</v>
      </c>
      <c r="DC143" s="228">
        <v>-0.62</v>
      </c>
      <c r="DD143" s="228">
        <v>14.13</v>
      </c>
      <c r="DE143" s="228">
        <v>14.17</v>
      </c>
      <c r="DF143" s="228">
        <v>-4.33</v>
      </c>
      <c r="DG143" s="228">
        <v>-0.04</v>
      </c>
      <c r="DH143" s="228">
        <v>9.86</v>
      </c>
      <c r="DI143" s="228">
        <v>10.36</v>
      </c>
      <c r="DJ143" s="228">
        <v>-0.5</v>
      </c>
      <c r="DK143" s="228">
        <v>-0.5</v>
      </c>
      <c r="DL143" s="228">
        <v>9.74</v>
      </c>
      <c r="DM143" s="228">
        <v>10.5</v>
      </c>
      <c r="DN143" s="228">
        <v>-0.76</v>
      </c>
      <c r="DO143" s="228">
        <v>-0.76</v>
      </c>
      <c r="DP143" s="228">
        <v>0.77</v>
      </c>
      <c r="DQ143" s="228">
        <v>0.9</v>
      </c>
      <c r="DR143" s="228">
        <v>-0.13</v>
      </c>
      <c r="DS143" s="229">
        <v>-0.1444</v>
      </c>
      <c r="DT143" s="231">
        <v>26000</v>
      </c>
      <c r="DU143" s="231">
        <v>26000</v>
      </c>
      <c r="DV143" s="228">
        <v>0.98</v>
      </c>
      <c r="DW143" s="228">
        <v>1.03</v>
      </c>
      <c r="DX143" s="228">
        <v>-0.05</v>
      </c>
      <c r="DY143" s="229">
        <v>-4.8500000000000001E-2</v>
      </c>
      <c r="DZ143" s="229">
        <v>0.11600000000000001</v>
      </c>
      <c r="EA143" s="230">
        <v>2046135</v>
      </c>
      <c r="EB143" s="229">
        <v>6.3E-3</v>
      </c>
      <c r="EC143" s="229">
        <v>0.11600000000000001</v>
      </c>
      <c r="ED143" s="228">
        <v>160.44</v>
      </c>
      <c r="EE143" s="229">
        <v>6.1999999999999998E-3</v>
      </c>
      <c r="EF143" s="228">
        <v>0</v>
      </c>
      <c r="EG143" s="228">
        <v>0</v>
      </c>
      <c r="EH143" s="229">
        <v>0</v>
      </c>
      <c r="EI143" s="229">
        <v>0</v>
      </c>
      <c r="EJ143" s="231">
        <v>468158257.88999999</v>
      </c>
      <c r="EK143" s="231">
        <v>450766242.23000002</v>
      </c>
      <c r="EL143" s="231">
        <v>1049531.47</v>
      </c>
      <c r="EM143" s="231">
        <v>73232</v>
      </c>
      <c r="EN143" s="231">
        <v>919974031.59000003</v>
      </c>
      <c r="EO143" s="231">
        <v>5156996688.9799995</v>
      </c>
      <c r="EP143" s="231">
        <v>-4237022657.3899999</v>
      </c>
      <c r="EQ143" s="229">
        <v>-0.8216</v>
      </c>
      <c r="ER143" s="231">
        <v>65116393</v>
      </c>
      <c r="ES143" s="231">
        <v>47625182</v>
      </c>
      <c r="ET143" s="231">
        <v>4813374</v>
      </c>
      <c r="EU143" s="228">
        <v>0</v>
      </c>
      <c r="EV143" s="231">
        <v>117554949</v>
      </c>
      <c r="EW143" s="231">
        <v>89590745</v>
      </c>
      <c r="EX143" s="231">
        <v>27964204</v>
      </c>
      <c r="EY143" s="229">
        <v>0.31209999999999999</v>
      </c>
      <c r="EZ143" s="229">
        <v>0</v>
      </c>
      <c r="FA143" s="227" t="s">
        <v>567</v>
      </c>
      <c r="FB143" s="161">
        <f t="shared" si="3"/>
        <v>0</v>
      </c>
    </row>
    <row r="144" spans="1:158" ht="17.25" hidden="1" thickBot="1" x14ac:dyDescent="0.3">
      <c r="A144" s="226">
        <v>46008</v>
      </c>
      <c r="B144" s="227" t="s">
        <v>181</v>
      </c>
      <c r="C144" s="227" t="s">
        <v>566</v>
      </c>
      <c r="D144" s="228">
        <v>25</v>
      </c>
      <c r="E144" s="231">
        <v>68220</v>
      </c>
      <c r="F144" s="231">
        <v>68492</v>
      </c>
      <c r="G144" s="228">
        <v>-272</v>
      </c>
      <c r="H144" s="229">
        <v>-4.0000000000000001E-3</v>
      </c>
      <c r="I144" s="231">
        <v>68076.850000000006</v>
      </c>
      <c r="J144" s="231">
        <v>68337.2</v>
      </c>
      <c r="K144" s="228">
        <v>-260.35000000000002</v>
      </c>
      <c r="L144" s="229">
        <v>-3.8E-3</v>
      </c>
      <c r="M144" s="231">
        <v>68220</v>
      </c>
      <c r="N144" s="231">
        <v>68492</v>
      </c>
      <c r="O144" s="228">
        <v>-272</v>
      </c>
      <c r="P144" s="229">
        <v>-4.0000000000000001E-3</v>
      </c>
      <c r="Q144" s="231">
        <v>68597</v>
      </c>
      <c r="R144" s="231">
        <v>68929.399999999994</v>
      </c>
      <c r="S144" s="228">
        <v>-332.4</v>
      </c>
      <c r="T144" s="229">
        <v>-4.7999999999999996E-3</v>
      </c>
      <c r="U144" s="228">
        <v>0</v>
      </c>
      <c r="V144" s="228">
        <v>0</v>
      </c>
      <c r="W144" s="228">
        <v>0</v>
      </c>
      <c r="X144" s="229">
        <v>0</v>
      </c>
      <c r="Y144" s="228">
        <v>143.15</v>
      </c>
      <c r="Z144" s="228">
        <v>154.80000000000001</v>
      </c>
      <c r="AA144" s="228">
        <v>-11.65</v>
      </c>
      <c r="AB144" s="229">
        <v>2.0999999999999999E-3</v>
      </c>
      <c r="AC144" s="228">
        <v>143.15</v>
      </c>
      <c r="AD144" s="228">
        <v>154.80000000000001</v>
      </c>
      <c r="AE144" s="228">
        <v>-11.65</v>
      </c>
      <c r="AF144" s="229">
        <v>2.0999999999999999E-3</v>
      </c>
      <c r="AG144" s="228">
        <v>520.15</v>
      </c>
      <c r="AH144" s="228">
        <v>592.20000000000005</v>
      </c>
      <c r="AI144" s="228">
        <v>-72.05</v>
      </c>
      <c r="AJ144" s="229">
        <v>7.6E-3</v>
      </c>
      <c r="AK144" s="228">
        <v>0</v>
      </c>
      <c r="AL144" s="228">
        <v>0</v>
      </c>
      <c r="AM144" s="228">
        <v>0</v>
      </c>
      <c r="AN144" s="229">
        <v>0</v>
      </c>
      <c r="AO144" s="231">
        <v>68366.05</v>
      </c>
      <c r="AP144" s="231">
        <v>68757.84</v>
      </c>
      <c r="AQ144" s="228">
        <v>0</v>
      </c>
      <c r="AR144" s="230">
        <v>5550</v>
      </c>
      <c r="AS144" s="230">
        <v>4625</v>
      </c>
      <c r="AT144" s="228">
        <v>925</v>
      </c>
      <c r="AU144" s="229">
        <v>0.2</v>
      </c>
      <c r="AV144" s="230">
        <v>4625</v>
      </c>
      <c r="AW144" s="230">
        <v>4075</v>
      </c>
      <c r="AX144" s="228">
        <v>550</v>
      </c>
      <c r="AY144" s="229">
        <v>0.13500000000000001</v>
      </c>
      <c r="AZ144" s="228">
        <v>925</v>
      </c>
      <c r="BA144" s="228">
        <v>550</v>
      </c>
      <c r="BB144" s="228">
        <v>375</v>
      </c>
      <c r="BC144" s="229">
        <v>0.68179999999999996</v>
      </c>
      <c r="BD144" s="228">
        <v>0</v>
      </c>
      <c r="BE144" s="228">
        <v>0</v>
      </c>
      <c r="BF144" s="228">
        <v>0</v>
      </c>
      <c r="BG144" s="229">
        <v>0</v>
      </c>
      <c r="BH144" s="230">
        <v>9000</v>
      </c>
      <c r="BI144" s="230">
        <v>9050</v>
      </c>
      <c r="BJ144" s="228">
        <v>-50</v>
      </c>
      <c r="BK144" s="229">
        <v>-5.4999999999999997E-3</v>
      </c>
      <c r="BL144" s="230">
        <v>12225</v>
      </c>
      <c r="BM144" s="230">
        <v>6125</v>
      </c>
      <c r="BN144" s="230">
        <v>6100</v>
      </c>
      <c r="BO144" s="229">
        <v>0.99590000000000001</v>
      </c>
      <c r="BP144" s="230">
        <v>26775</v>
      </c>
      <c r="BQ144" s="230">
        <v>19800</v>
      </c>
      <c r="BR144" s="230">
        <v>6975</v>
      </c>
      <c r="BS144" s="229">
        <v>0.3523</v>
      </c>
      <c r="BT144" s="228">
        <v>0</v>
      </c>
      <c r="BU144" s="228">
        <v>0</v>
      </c>
      <c r="BV144" s="228">
        <v>0</v>
      </c>
      <c r="BW144" s="229">
        <v>0</v>
      </c>
      <c r="BX144" s="230">
        <v>29600</v>
      </c>
      <c r="BY144" s="230">
        <v>29425</v>
      </c>
      <c r="BZ144" s="228">
        <v>175</v>
      </c>
      <c r="CA144" s="229">
        <v>5.8999999999999999E-3</v>
      </c>
      <c r="CB144" s="230">
        <v>26250</v>
      </c>
      <c r="CC144" s="230">
        <v>26250</v>
      </c>
      <c r="CD144" s="228">
        <v>0</v>
      </c>
      <c r="CE144" s="229">
        <v>0</v>
      </c>
      <c r="CF144" s="230">
        <v>3350</v>
      </c>
      <c r="CG144" s="230">
        <v>3175</v>
      </c>
      <c r="CH144" s="228">
        <v>175</v>
      </c>
      <c r="CI144" s="229">
        <v>5.5100000000000003E-2</v>
      </c>
      <c r="CJ144" s="228">
        <v>0</v>
      </c>
      <c r="CK144" s="228">
        <v>0</v>
      </c>
      <c r="CL144" s="228">
        <v>0</v>
      </c>
      <c r="CM144" s="229">
        <v>0</v>
      </c>
      <c r="CN144" s="230">
        <v>16150</v>
      </c>
      <c r="CO144" s="230">
        <v>14750</v>
      </c>
      <c r="CP144" s="230">
        <v>1400</v>
      </c>
      <c r="CQ144" s="229">
        <v>9.4899999999999998E-2</v>
      </c>
      <c r="CR144" s="230">
        <v>14950</v>
      </c>
      <c r="CS144" s="230">
        <v>14100</v>
      </c>
      <c r="CT144" s="228">
        <v>850</v>
      </c>
      <c r="CU144" s="229">
        <v>6.0299999999999999E-2</v>
      </c>
      <c r="CV144" s="230">
        <v>60700</v>
      </c>
      <c r="CW144" s="230">
        <v>58275</v>
      </c>
      <c r="CX144" s="230">
        <v>2425</v>
      </c>
      <c r="CY144" s="229">
        <v>4.1599999999999998E-2</v>
      </c>
      <c r="CZ144" s="228">
        <v>14.41</v>
      </c>
      <c r="DA144" s="228">
        <v>14.11</v>
      </c>
      <c r="DB144" s="228">
        <v>0.3</v>
      </c>
      <c r="DC144" s="228">
        <v>0.3</v>
      </c>
      <c r="DD144" s="228">
        <v>19.940000000000001</v>
      </c>
      <c r="DE144" s="228">
        <v>19.98</v>
      </c>
      <c r="DF144" s="228">
        <v>-5.53</v>
      </c>
      <c r="DG144" s="228">
        <v>-0.04</v>
      </c>
      <c r="DH144" s="228">
        <v>13.51</v>
      </c>
      <c r="DI144" s="228">
        <v>13.14</v>
      </c>
      <c r="DJ144" s="228">
        <v>0.37</v>
      </c>
      <c r="DK144" s="228">
        <v>0.37</v>
      </c>
      <c r="DL144" s="228">
        <v>15.06</v>
      </c>
      <c r="DM144" s="228">
        <v>15.53</v>
      </c>
      <c r="DN144" s="228">
        <v>-0.47</v>
      </c>
      <c r="DO144" s="228">
        <v>-0.47</v>
      </c>
      <c r="DP144" s="228">
        <v>0.93</v>
      </c>
      <c r="DQ144" s="228">
        <v>0.96</v>
      </c>
      <c r="DR144" s="228">
        <v>-0.03</v>
      </c>
      <c r="DS144" s="229">
        <v>-3.1199999999999999E-2</v>
      </c>
      <c r="DT144" s="231">
        <v>70500</v>
      </c>
      <c r="DU144" s="231">
        <v>66000</v>
      </c>
      <c r="DV144" s="228">
        <v>1.36</v>
      </c>
      <c r="DW144" s="228">
        <v>0.68</v>
      </c>
      <c r="DX144" s="228">
        <v>0.68</v>
      </c>
      <c r="DY144" s="229">
        <v>1</v>
      </c>
      <c r="DZ144" s="229">
        <v>0.1132</v>
      </c>
      <c r="EA144" s="230">
        <v>3175</v>
      </c>
      <c r="EB144" s="229">
        <v>5.4999999999999997E-3</v>
      </c>
      <c r="EC144" s="229">
        <v>0.1132</v>
      </c>
      <c r="ED144" s="228">
        <v>391.79</v>
      </c>
      <c r="EE144" s="229">
        <v>5.7000000000000002E-3</v>
      </c>
      <c r="EF144" s="228">
        <v>0</v>
      </c>
      <c r="EG144" s="228">
        <v>0</v>
      </c>
      <c r="EH144" s="229">
        <v>0</v>
      </c>
      <c r="EI144" s="229">
        <v>0</v>
      </c>
      <c r="EJ144" s="231">
        <v>6274.39</v>
      </c>
      <c r="EK144" s="231">
        <v>8304.41</v>
      </c>
      <c r="EL144" s="231">
        <v>3797.94</v>
      </c>
      <c r="EM144" s="228">
        <v>0</v>
      </c>
      <c r="EN144" s="231">
        <v>18376.740000000002</v>
      </c>
      <c r="EO144" s="231">
        <v>13590.16</v>
      </c>
      <c r="EP144" s="231">
        <v>4786.58</v>
      </c>
      <c r="EQ144" s="229">
        <v>0.35220000000000001</v>
      </c>
      <c r="ER144" s="231">
        <v>11190</v>
      </c>
      <c r="ES144" s="231">
        <v>10012</v>
      </c>
      <c r="ET144" s="231">
        <v>20206</v>
      </c>
      <c r="EU144" s="228">
        <v>0</v>
      </c>
      <c r="EV144" s="231">
        <v>41408</v>
      </c>
      <c r="EW144" s="231">
        <v>39835</v>
      </c>
      <c r="EX144" s="231">
        <v>1573</v>
      </c>
      <c r="EY144" s="229">
        <v>3.95E-2</v>
      </c>
      <c r="EZ144" s="229">
        <v>0</v>
      </c>
      <c r="FA144" s="227" t="s">
        <v>567</v>
      </c>
      <c r="FB144" s="161">
        <f t="shared" si="3"/>
        <v>0</v>
      </c>
    </row>
    <row r="145" spans="1:158" ht="17.25" hidden="1" thickBot="1" x14ac:dyDescent="0.3">
      <c r="A145" s="226">
        <v>46008</v>
      </c>
      <c r="B145" s="227" t="s">
        <v>227</v>
      </c>
      <c r="C145" s="227" t="s">
        <v>267</v>
      </c>
      <c r="D145" s="228">
        <v>6750</v>
      </c>
      <c r="E145" s="228">
        <v>77.349999999999994</v>
      </c>
      <c r="F145" s="228">
        <v>77.31</v>
      </c>
      <c r="G145" s="228">
        <v>0.04</v>
      </c>
      <c r="H145" s="229">
        <v>5.0000000000000001E-4</v>
      </c>
      <c r="I145" s="228">
        <v>77.28</v>
      </c>
      <c r="J145" s="228">
        <v>77.150000000000006</v>
      </c>
      <c r="K145" s="228">
        <v>0.13</v>
      </c>
      <c r="L145" s="229">
        <v>1.6999999999999999E-3</v>
      </c>
      <c r="M145" s="228">
        <v>77.349999999999994</v>
      </c>
      <c r="N145" s="228">
        <v>77.31</v>
      </c>
      <c r="O145" s="228">
        <v>0.04</v>
      </c>
      <c r="P145" s="229">
        <v>5.0000000000000001E-4</v>
      </c>
      <c r="Q145" s="228">
        <v>77.66</v>
      </c>
      <c r="R145" s="228">
        <v>77.61</v>
      </c>
      <c r="S145" s="228">
        <v>0.05</v>
      </c>
      <c r="T145" s="229">
        <v>5.9999999999999995E-4</v>
      </c>
      <c r="U145" s="228">
        <v>78.06</v>
      </c>
      <c r="V145" s="228">
        <v>77.77</v>
      </c>
      <c r="W145" s="228">
        <v>0.28999999999999998</v>
      </c>
      <c r="X145" s="229">
        <v>3.7000000000000002E-3</v>
      </c>
      <c r="Y145" s="228">
        <v>7.0000000000000007E-2</v>
      </c>
      <c r="Z145" s="228">
        <v>0.16</v>
      </c>
      <c r="AA145" s="228">
        <v>-0.09</v>
      </c>
      <c r="AB145" s="229">
        <v>8.9999999999999998E-4</v>
      </c>
      <c r="AC145" s="228">
        <v>7.0000000000000007E-2</v>
      </c>
      <c r="AD145" s="228">
        <v>0.16</v>
      </c>
      <c r="AE145" s="228">
        <v>-0.09</v>
      </c>
      <c r="AF145" s="229">
        <v>8.9999999999999998E-4</v>
      </c>
      <c r="AG145" s="228">
        <v>0.38</v>
      </c>
      <c r="AH145" s="228">
        <v>0.46</v>
      </c>
      <c r="AI145" s="228">
        <v>-0.08</v>
      </c>
      <c r="AJ145" s="229">
        <v>4.8999999999999998E-3</v>
      </c>
      <c r="AK145" s="228">
        <v>0.78</v>
      </c>
      <c r="AL145" s="228">
        <v>0.62</v>
      </c>
      <c r="AM145" s="228">
        <v>0.16</v>
      </c>
      <c r="AN145" s="229">
        <v>1.01E-2</v>
      </c>
      <c r="AO145" s="228">
        <v>77.52</v>
      </c>
      <c r="AP145" s="228">
        <v>77.84</v>
      </c>
      <c r="AQ145" s="228">
        <v>0</v>
      </c>
      <c r="AR145" s="230">
        <v>28930500</v>
      </c>
      <c r="AS145" s="230">
        <v>30692250</v>
      </c>
      <c r="AT145" s="230">
        <v>-1761750</v>
      </c>
      <c r="AU145" s="229">
        <v>-5.74E-2</v>
      </c>
      <c r="AV145" s="230">
        <v>22227750</v>
      </c>
      <c r="AW145" s="230">
        <v>24995250</v>
      </c>
      <c r="AX145" s="230">
        <v>-2767500</v>
      </c>
      <c r="AY145" s="229">
        <v>-0.11070000000000001</v>
      </c>
      <c r="AZ145" s="230">
        <v>6102000</v>
      </c>
      <c r="BA145" s="230">
        <v>5130000</v>
      </c>
      <c r="BB145" s="230">
        <v>972000</v>
      </c>
      <c r="BC145" s="229">
        <v>0.1895</v>
      </c>
      <c r="BD145" s="230">
        <v>600750</v>
      </c>
      <c r="BE145" s="230">
        <v>567000</v>
      </c>
      <c r="BF145" s="230">
        <v>33750</v>
      </c>
      <c r="BG145" s="229">
        <v>5.9499999999999997E-2</v>
      </c>
      <c r="BH145" s="230">
        <v>70895250</v>
      </c>
      <c r="BI145" s="230">
        <v>72326250</v>
      </c>
      <c r="BJ145" s="230">
        <v>-1431000</v>
      </c>
      <c r="BK145" s="229">
        <v>-1.9800000000000002E-2</v>
      </c>
      <c r="BL145" s="230">
        <v>22862250</v>
      </c>
      <c r="BM145" s="230">
        <v>34911000</v>
      </c>
      <c r="BN145" s="230">
        <v>-12048750</v>
      </c>
      <c r="BO145" s="229">
        <v>-0.34510000000000002</v>
      </c>
      <c r="BP145" s="230">
        <v>122688000</v>
      </c>
      <c r="BQ145" s="230">
        <v>137929500</v>
      </c>
      <c r="BR145" s="230">
        <v>-15241500</v>
      </c>
      <c r="BS145" s="229">
        <v>-0.1105</v>
      </c>
      <c r="BT145" s="230">
        <v>8935807</v>
      </c>
      <c r="BU145" s="230">
        <v>11974534</v>
      </c>
      <c r="BV145" s="230">
        <v>-3038727</v>
      </c>
      <c r="BW145" s="229">
        <v>-0.25380000000000003</v>
      </c>
      <c r="BX145" s="230">
        <v>338917500</v>
      </c>
      <c r="BY145" s="230">
        <v>333767250</v>
      </c>
      <c r="BZ145" s="230">
        <v>5150250</v>
      </c>
      <c r="CA145" s="229">
        <v>1.54E-2</v>
      </c>
      <c r="CB145" s="230">
        <v>322515000</v>
      </c>
      <c r="CC145" s="230">
        <v>319869000</v>
      </c>
      <c r="CD145" s="230">
        <v>2646000</v>
      </c>
      <c r="CE145" s="229">
        <v>8.3000000000000001E-3</v>
      </c>
      <c r="CF145" s="230">
        <v>14897250</v>
      </c>
      <c r="CG145" s="230">
        <v>12622500</v>
      </c>
      <c r="CH145" s="230">
        <v>2274750</v>
      </c>
      <c r="CI145" s="229">
        <v>0.1802</v>
      </c>
      <c r="CJ145" s="230">
        <v>1505250</v>
      </c>
      <c r="CK145" s="230">
        <v>1275750</v>
      </c>
      <c r="CL145" s="230">
        <v>229500</v>
      </c>
      <c r="CM145" s="229">
        <v>0.1799</v>
      </c>
      <c r="CN145" s="230">
        <v>106582500</v>
      </c>
      <c r="CO145" s="230">
        <v>101965500</v>
      </c>
      <c r="CP145" s="230">
        <v>4617000</v>
      </c>
      <c r="CQ145" s="229">
        <v>4.53E-2</v>
      </c>
      <c r="CR145" s="230">
        <v>72380250</v>
      </c>
      <c r="CS145" s="230">
        <v>70564500</v>
      </c>
      <c r="CT145" s="230">
        <v>1815750</v>
      </c>
      <c r="CU145" s="229">
        <v>2.5700000000000001E-2</v>
      </c>
      <c r="CV145" s="230">
        <v>517880250</v>
      </c>
      <c r="CW145" s="230">
        <v>506297250</v>
      </c>
      <c r="CX145" s="230">
        <v>11583000</v>
      </c>
      <c r="CY145" s="229">
        <v>2.29E-2</v>
      </c>
      <c r="CZ145" s="228">
        <v>23.65</v>
      </c>
      <c r="DA145" s="228">
        <v>24.38</v>
      </c>
      <c r="DB145" s="228">
        <v>-0.73</v>
      </c>
      <c r="DC145" s="228">
        <v>-0.73</v>
      </c>
      <c r="DD145" s="228">
        <v>37.229999999999997</v>
      </c>
      <c r="DE145" s="228">
        <v>37.32</v>
      </c>
      <c r="DF145" s="228">
        <v>-13.58</v>
      </c>
      <c r="DG145" s="228">
        <v>-0.09</v>
      </c>
      <c r="DH145" s="228">
        <v>23.55</v>
      </c>
      <c r="DI145" s="228">
        <v>24.62</v>
      </c>
      <c r="DJ145" s="228">
        <v>-1.07</v>
      </c>
      <c r="DK145" s="228">
        <v>-1.07</v>
      </c>
      <c r="DL145" s="228">
        <v>23.98</v>
      </c>
      <c r="DM145" s="228">
        <v>23.89</v>
      </c>
      <c r="DN145" s="228">
        <v>0.09</v>
      </c>
      <c r="DO145" s="228">
        <v>0.09</v>
      </c>
      <c r="DP145" s="228">
        <v>0.68</v>
      </c>
      <c r="DQ145" s="228">
        <v>0.69</v>
      </c>
      <c r="DR145" s="228">
        <v>-0.01</v>
      </c>
      <c r="DS145" s="229">
        <v>-1.4500000000000001E-2</v>
      </c>
      <c r="DT145" s="228">
        <v>80</v>
      </c>
      <c r="DU145" s="228">
        <v>85</v>
      </c>
      <c r="DV145" s="228">
        <v>0.32</v>
      </c>
      <c r="DW145" s="228">
        <v>0.48</v>
      </c>
      <c r="DX145" s="228">
        <v>-0.16</v>
      </c>
      <c r="DY145" s="229">
        <v>-0.33329999999999999</v>
      </c>
      <c r="DZ145" s="229">
        <v>4.8399999999999999E-2</v>
      </c>
      <c r="EA145" s="230">
        <v>13898250</v>
      </c>
      <c r="EB145" s="229">
        <v>4.0000000000000001E-3</v>
      </c>
      <c r="EC145" s="229">
        <v>4.8399999999999999E-2</v>
      </c>
      <c r="ED145" s="228">
        <v>0.32</v>
      </c>
      <c r="EE145" s="229">
        <v>4.1000000000000003E-3</v>
      </c>
      <c r="EF145" s="230">
        <v>3938182</v>
      </c>
      <c r="EG145" s="230">
        <v>5367914</v>
      </c>
      <c r="EH145" s="229">
        <v>-0.26629999999999998</v>
      </c>
      <c r="EI145" s="229">
        <v>0.44069999999999998</v>
      </c>
      <c r="EJ145" s="231">
        <v>56648.87</v>
      </c>
      <c r="EK145" s="231">
        <v>17449.34</v>
      </c>
      <c r="EL145" s="231">
        <v>22449.51</v>
      </c>
      <c r="EM145" s="231">
        <v>4595</v>
      </c>
      <c r="EN145" s="231">
        <v>96547.72</v>
      </c>
      <c r="EO145" s="231">
        <v>108516.56</v>
      </c>
      <c r="EP145" s="231">
        <v>-11968.84</v>
      </c>
      <c r="EQ145" s="229">
        <v>-0.1103</v>
      </c>
      <c r="ER145" s="231">
        <v>84648</v>
      </c>
      <c r="ES145" s="231">
        <v>53734</v>
      </c>
      <c r="ET145" s="231">
        <v>262210</v>
      </c>
      <c r="EU145" s="231">
        <v>517037525</v>
      </c>
      <c r="EV145" s="231">
        <v>400592</v>
      </c>
      <c r="EW145" s="231">
        <v>391342</v>
      </c>
      <c r="EX145" s="231">
        <v>9250</v>
      </c>
      <c r="EY145" s="229">
        <v>2.3599999999999999E-2</v>
      </c>
      <c r="EZ145" s="229">
        <v>1.0016</v>
      </c>
      <c r="FA145" s="227" t="s">
        <v>555</v>
      </c>
      <c r="FB145" s="161">
        <f t="shared" si="3"/>
        <v>0</v>
      </c>
    </row>
    <row r="146" spans="1:158" ht="17.25" hidden="1" thickBot="1" x14ac:dyDescent="0.3">
      <c r="A146" s="226">
        <v>46008</v>
      </c>
      <c r="B146" s="227" t="s">
        <v>161</v>
      </c>
      <c r="C146" s="227" t="s">
        <v>268</v>
      </c>
      <c r="D146" s="228">
        <v>1500</v>
      </c>
      <c r="E146" s="228">
        <v>321.5</v>
      </c>
      <c r="F146" s="228">
        <v>321.3</v>
      </c>
      <c r="G146" s="228">
        <v>0.2</v>
      </c>
      <c r="H146" s="229">
        <v>5.9999999999999995E-4</v>
      </c>
      <c r="I146" s="228">
        <v>321.25</v>
      </c>
      <c r="J146" s="228">
        <v>321</v>
      </c>
      <c r="K146" s="228">
        <v>0.25</v>
      </c>
      <c r="L146" s="229">
        <v>8.0000000000000004E-4</v>
      </c>
      <c r="M146" s="228">
        <v>321.5</v>
      </c>
      <c r="N146" s="228">
        <v>321.3</v>
      </c>
      <c r="O146" s="228">
        <v>0.2</v>
      </c>
      <c r="P146" s="229">
        <v>5.9999999999999995E-4</v>
      </c>
      <c r="Q146" s="228">
        <v>323.5</v>
      </c>
      <c r="R146" s="228">
        <v>323.25</v>
      </c>
      <c r="S146" s="228">
        <v>0.25</v>
      </c>
      <c r="T146" s="229">
        <v>8.0000000000000004E-4</v>
      </c>
      <c r="U146" s="228">
        <v>323</v>
      </c>
      <c r="V146" s="228">
        <v>323.10000000000002</v>
      </c>
      <c r="W146" s="228">
        <v>-0.1</v>
      </c>
      <c r="X146" s="229">
        <v>-2.9999999999999997E-4</v>
      </c>
      <c r="Y146" s="228">
        <v>0.25</v>
      </c>
      <c r="Z146" s="228">
        <v>0.3</v>
      </c>
      <c r="AA146" s="228">
        <v>-0.05</v>
      </c>
      <c r="AB146" s="229">
        <v>8.0000000000000004E-4</v>
      </c>
      <c r="AC146" s="228">
        <v>0.25</v>
      </c>
      <c r="AD146" s="228">
        <v>0.3</v>
      </c>
      <c r="AE146" s="228">
        <v>-0.05</v>
      </c>
      <c r="AF146" s="229">
        <v>8.0000000000000004E-4</v>
      </c>
      <c r="AG146" s="228">
        <v>2.25</v>
      </c>
      <c r="AH146" s="228">
        <v>2.25</v>
      </c>
      <c r="AI146" s="228">
        <v>0</v>
      </c>
      <c r="AJ146" s="229">
        <v>7.0000000000000001E-3</v>
      </c>
      <c r="AK146" s="228">
        <v>1.75</v>
      </c>
      <c r="AL146" s="228">
        <v>2.1</v>
      </c>
      <c r="AM146" s="228">
        <v>-0.35</v>
      </c>
      <c r="AN146" s="229">
        <v>5.4000000000000003E-3</v>
      </c>
      <c r="AO146" s="228">
        <v>321.58</v>
      </c>
      <c r="AP146" s="228">
        <v>323.52999999999997</v>
      </c>
      <c r="AQ146" s="228">
        <v>0</v>
      </c>
      <c r="AR146" s="230">
        <v>5532000</v>
      </c>
      <c r="AS146" s="230">
        <v>7221000</v>
      </c>
      <c r="AT146" s="230">
        <v>-1689000</v>
      </c>
      <c r="AU146" s="229">
        <v>-0.2339</v>
      </c>
      <c r="AV146" s="230">
        <v>4840500</v>
      </c>
      <c r="AW146" s="230">
        <v>6345000</v>
      </c>
      <c r="AX146" s="230">
        <v>-1504500</v>
      </c>
      <c r="AY146" s="229">
        <v>-0.23710000000000001</v>
      </c>
      <c r="AZ146" s="230">
        <v>636000</v>
      </c>
      <c r="BA146" s="230">
        <v>784500</v>
      </c>
      <c r="BB146" s="230">
        <v>-148500</v>
      </c>
      <c r="BC146" s="229">
        <v>-0.1893</v>
      </c>
      <c r="BD146" s="230">
        <v>55500</v>
      </c>
      <c r="BE146" s="230">
        <v>91500</v>
      </c>
      <c r="BF146" s="230">
        <v>-36000</v>
      </c>
      <c r="BG146" s="229">
        <v>-0.39340000000000003</v>
      </c>
      <c r="BH146" s="230">
        <v>14524500</v>
      </c>
      <c r="BI146" s="230">
        <v>20041500</v>
      </c>
      <c r="BJ146" s="230">
        <v>-5517000</v>
      </c>
      <c r="BK146" s="229">
        <v>-0.27529999999999999</v>
      </c>
      <c r="BL146" s="230">
        <v>7482000</v>
      </c>
      <c r="BM146" s="230">
        <v>10600500</v>
      </c>
      <c r="BN146" s="230">
        <v>-3118500</v>
      </c>
      <c r="BO146" s="229">
        <v>-0.29420000000000002</v>
      </c>
      <c r="BP146" s="230">
        <v>27538500</v>
      </c>
      <c r="BQ146" s="230">
        <v>37863000</v>
      </c>
      <c r="BR146" s="230">
        <v>-10324500</v>
      </c>
      <c r="BS146" s="229">
        <v>-0.2727</v>
      </c>
      <c r="BT146" s="230">
        <v>5153393</v>
      </c>
      <c r="BU146" s="230">
        <v>6195217</v>
      </c>
      <c r="BV146" s="230">
        <v>-1041824</v>
      </c>
      <c r="BW146" s="229">
        <v>-0.16819999999999999</v>
      </c>
      <c r="BX146" s="230">
        <v>91497000</v>
      </c>
      <c r="BY146" s="230">
        <v>91939500</v>
      </c>
      <c r="BZ146" s="230">
        <v>-442500</v>
      </c>
      <c r="CA146" s="229">
        <v>-4.7999999999999996E-3</v>
      </c>
      <c r="CB146" s="230">
        <v>83490000</v>
      </c>
      <c r="CC146" s="230">
        <v>84357000</v>
      </c>
      <c r="CD146" s="230">
        <v>-867000</v>
      </c>
      <c r="CE146" s="229">
        <v>-1.03E-2</v>
      </c>
      <c r="CF146" s="230">
        <v>7416000</v>
      </c>
      <c r="CG146" s="230">
        <v>7011000</v>
      </c>
      <c r="CH146" s="230">
        <v>405000</v>
      </c>
      <c r="CI146" s="229">
        <v>5.7799999999999997E-2</v>
      </c>
      <c r="CJ146" s="230">
        <v>591000</v>
      </c>
      <c r="CK146" s="230">
        <v>571500</v>
      </c>
      <c r="CL146" s="230">
        <v>19500</v>
      </c>
      <c r="CM146" s="229">
        <v>3.4099999999999998E-2</v>
      </c>
      <c r="CN146" s="230">
        <v>35214000</v>
      </c>
      <c r="CO146" s="230">
        <v>35566500</v>
      </c>
      <c r="CP146" s="230">
        <v>-352500</v>
      </c>
      <c r="CQ146" s="229">
        <v>-9.9000000000000008E-3</v>
      </c>
      <c r="CR146" s="230">
        <v>21766500</v>
      </c>
      <c r="CS146" s="230">
        <v>21342000</v>
      </c>
      <c r="CT146" s="230">
        <v>424500</v>
      </c>
      <c r="CU146" s="229">
        <v>1.9900000000000001E-2</v>
      </c>
      <c r="CV146" s="230">
        <v>148477500</v>
      </c>
      <c r="CW146" s="230">
        <v>148848000</v>
      </c>
      <c r="CX146" s="230">
        <v>-370500</v>
      </c>
      <c r="CY146" s="229">
        <v>-2.5000000000000001E-3</v>
      </c>
      <c r="CZ146" s="228">
        <v>14.38</v>
      </c>
      <c r="DA146" s="228">
        <v>14.69</v>
      </c>
      <c r="DB146" s="228">
        <v>-0.31</v>
      </c>
      <c r="DC146" s="228">
        <v>-0.31</v>
      </c>
      <c r="DD146" s="228">
        <v>26.7</v>
      </c>
      <c r="DE146" s="228">
        <v>26.76</v>
      </c>
      <c r="DF146" s="228">
        <v>-12.32</v>
      </c>
      <c r="DG146" s="228">
        <v>-0.06</v>
      </c>
      <c r="DH146" s="228">
        <v>14.53</v>
      </c>
      <c r="DI146" s="228">
        <v>14.72</v>
      </c>
      <c r="DJ146" s="228">
        <v>-0.19</v>
      </c>
      <c r="DK146" s="228">
        <v>-0.19</v>
      </c>
      <c r="DL146" s="228">
        <v>14.1</v>
      </c>
      <c r="DM146" s="228">
        <v>14.62</v>
      </c>
      <c r="DN146" s="228">
        <v>-0.52</v>
      </c>
      <c r="DO146" s="228">
        <v>-0.52</v>
      </c>
      <c r="DP146" s="228">
        <v>0.62</v>
      </c>
      <c r="DQ146" s="228">
        <v>0.6</v>
      </c>
      <c r="DR146" s="228">
        <v>0.02</v>
      </c>
      <c r="DS146" s="229">
        <v>3.3300000000000003E-2</v>
      </c>
      <c r="DT146" s="228">
        <v>325</v>
      </c>
      <c r="DU146" s="228">
        <v>300</v>
      </c>
      <c r="DV146" s="228">
        <v>0.52</v>
      </c>
      <c r="DW146" s="228">
        <v>0.53</v>
      </c>
      <c r="DX146" s="228">
        <v>-0.01</v>
      </c>
      <c r="DY146" s="229">
        <v>-1.89E-2</v>
      </c>
      <c r="DZ146" s="229">
        <v>8.7499999999999994E-2</v>
      </c>
      <c r="EA146" s="230">
        <v>7582500</v>
      </c>
      <c r="EB146" s="229">
        <v>6.1999999999999998E-3</v>
      </c>
      <c r="EC146" s="229">
        <v>8.7499999999999994E-2</v>
      </c>
      <c r="ED146" s="228">
        <v>1.95</v>
      </c>
      <c r="EE146" s="229">
        <v>6.1000000000000004E-3</v>
      </c>
      <c r="EF146" s="230">
        <v>3813774</v>
      </c>
      <c r="EG146" s="230">
        <v>4392902</v>
      </c>
      <c r="EH146" s="229">
        <v>-0.1318</v>
      </c>
      <c r="EI146" s="229">
        <v>0.74009999999999998</v>
      </c>
      <c r="EJ146" s="231">
        <v>47751.75</v>
      </c>
      <c r="EK146" s="231">
        <v>24109.27</v>
      </c>
      <c r="EL146" s="231">
        <v>17803.04</v>
      </c>
      <c r="EM146" s="231">
        <v>4294</v>
      </c>
      <c r="EN146" s="231">
        <v>89664.06</v>
      </c>
      <c r="EO146" s="231">
        <v>123442.28</v>
      </c>
      <c r="EP146" s="231">
        <v>-33778.22</v>
      </c>
      <c r="EQ146" s="229">
        <v>-0.27360000000000001</v>
      </c>
      <c r="ER146" s="231">
        <v>118079</v>
      </c>
      <c r="ES146" s="231">
        <v>70298</v>
      </c>
      <c r="ET146" s="231">
        <v>294320</v>
      </c>
      <c r="EU146" s="231">
        <v>572782298</v>
      </c>
      <c r="EV146" s="231">
        <v>482696</v>
      </c>
      <c r="EW146" s="231">
        <v>483765</v>
      </c>
      <c r="EX146" s="231">
        <v>-1069</v>
      </c>
      <c r="EY146" s="229">
        <v>-2.2000000000000001E-3</v>
      </c>
      <c r="EZ146" s="229">
        <v>0.25919999999999999</v>
      </c>
      <c r="FA146" s="227" t="s">
        <v>556</v>
      </c>
      <c r="FB146" s="161">
        <f t="shared" si="3"/>
        <v>0</v>
      </c>
    </row>
    <row r="147" spans="1:158" ht="17.25" hidden="1" thickBot="1" x14ac:dyDescent="0.3">
      <c r="A147" s="226">
        <v>46008</v>
      </c>
      <c r="B147" s="227" t="s">
        <v>175</v>
      </c>
      <c r="C147" s="227" t="s">
        <v>686</v>
      </c>
      <c r="D147" s="228">
        <v>75</v>
      </c>
      <c r="E147" s="231">
        <v>7201.5</v>
      </c>
      <c r="F147" s="231">
        <v>7214</v>
      </c>
      <c r="G147" s="228">
        <v>-12.5</v>
      </c>
      <c r="H147" s="229">
        <v>-1.6999999999999999E-3</v>
      </c>
      <c r="I147" s="231">
        <v>7171</v>
      </c>
      <c r="J147" s="231">
        <v>7190</v>
      </c>
      <c r="K147" s="228">
        <v>-19</v>
      </c>
      <c r="L147" s="229">
        <v>-2.5999999999999999E-3</v>
      </c>
      <c r="M147" s="231">
        <v>7201.5</v>
      </c>
      <c r="N147" s="231">
        <v>7214</v>
      </c>
      <c r="O147" s="228">
        <v>-12.5</v>
      </c>
      <c r="P147" s="229">
        <v>-1.6999999999999999E-3</v>
      </c>
      <c r="Q147" s="231">
        <v>7239.5</v>
      </c>
      <c r="R147" s="231">
        <v>7264</v>
      </c>
      <c r="S147" s="228">
        <v>-24.5</v>
      </c>
      <c r="T147" s="229">
        <v>-3.3999999999999998E-3</v>
      </c>
      <c r="U147" s="231">
        <v>7252</v>
      </c>
      <c r="V147" s="231">
        <v>7252</v>
      </c>
      <c r="W147" s="228">
        <v>0</v>
      </c>
      <c r="X147" s="229">
        <v>0</v>
      </c>
      <c r="Y147" s="228">
        <v>30.5</v>
      </c>
      <c r="Z147" s="228">
        <v>24</v>
      </c>
      <c r="AA147" s="228">
        <v>6.5</v>
      </c>
      <c r="AB147" s="229">
        <v>4.3E-3</v>
      </c>
      <c r="AC147" s="228">
        <v>30.5</v>
      </c>
      <c r="AD147" s="228">
        <v>24</v>
      </c>
      <c r="AE147" s="228">
        <v>6.5</v>
      </c>
      <c r="AF147" s="229">
        <v>4.3E-3</v>
      </c>
      <c r="AG147" s="228">
        <v>68.5</v>
      </c>
      <c r="AH147" s="228">
        <v>74</v>
      </c>
      <c r="AI147" s="228">
        <v>-5.5</v>
      </c>
      <c r="AJ147" s="229">
        <v>9.5999999999999992E-3</v>
      </c>
      <c r="AK147" s="228">
        <v>81</v>
      </c>
      <c r="AL147" s="228">
        <v>62</v>
      </c>
      <c r="AM147" s="228">
        <v>19</v>
      </c>
      <c r="AN147" s="229">
        <v>1.1299999999999999E-2</v>
      </c>
      <c r="AO147" s="231">
        <v>7241.37</v>
      </c>
      <c r="AP147" s="231">
        <v>7271.36</v>
      </c>
      <c r="AQ147" s="228">
        <v>0</v>
      </c>
      <c r="AR147" s="230">
        <v>74925</v>
      </c>
      <c r="AS147" s="230">
        <v>75150</v>
      </c>
      <c r="AT147" s="228">
        <v>-225</v>
      </c>
      <c r="AU147" s="229">
        <v>-3.0000000000000001E-3</v>
      </c>
      <c r="AV147" s="230">
        <v>65025</v>
      </c>
      <c r="AW147" s="230">
        <v>65925</v>
      </c>
      <c r="AX147" s="228">
        <v>-900</v>
      </c>
      <c r="AY147" s="229">
        <v>-1.37E-2</v>
      </c>
      <c r="AZ147" s="230">
        <v>9900</v>
      </c>
      <c r="BA147" s="230">
        <v>9150</v>
      </c>
      <c r="BB147" s="228">
        <v>750</v>
      </c>
      <c r="BC147" s="229">
        <v>8.2000000000000003E-2</v>
      </c>
      <c r="BD147" s="228">
        <v>0</v>
      </c>
      <c r="BE147" s="228">
        <v>75</v>
      </c>
      <c r="BF147" s="228">
        <v>-75</v>
      </c>
      <c r="BG147" s="229">
        <v>-1</v>
      </c>
      <c r="BH147" s="230">
        <v>247725</v>
      </c>
      <c r="BI147" s="230">
        <v>178200</v>
      </c>
      <c r="BJ147" s="230">
        <v>69525</v>
      </c>
      <c r="BK147" s="229">
        <v>0.39019999999999999</v>
      </c>
      <c r="BL147" s="230">
        <v>231075</v>
      </c>
      <c r="BM147" s="230">
        <v>192750</v>
      </c>
      <c r="BN147" s="230">
        <v>38325</v>
      </c>
      <c r="BO147" s="229">
        <v>0.1988</v>
      </c>
      <c r="BP147" s="230">
        <v>553725</v>
      </c>
      <c r="BQ147" s="230">
        <v>446100</v>
      </c>
      <c r="BR147" s="230">
        <v>107625</v>
      </c>
      <c r="BS147" s="229">
        <v>0.24129999999999999</v>
      </c>
      <c r="BT147" s="230">
        <v>42147</v>
      </c>
      <c r="BU147" s="230">
        <v>55086</v>
      </c>
      <c r="BV147" s="230">
        <v>-12939</v>
      </c>
      <c r="BW147" s="229">
        <v>-0.2349</v>
      </c>
      <c r="BX147" s="230">
        <v>376900</v>
      </c>
      <c r="BY147" s="230">
        <v>363275</v>
      </c>
      <c r="BZ147" s="230">
        <v>13625</v>
      </c>
      <c r="CA147" s="229">
        <v>3.7499999999999999E-2</v>
      </c>
      <c r="CB147" s="230">
        <v>359100</v>
      </c>
      <c r="CC147" s="230">
        <v>350175</v>
      </c>
      <c r="CD147" s="230">
        <v>8925</v>
      </c>
      <c r="CE147" s="229">
        <v>2.5499999999999998E-2</v>
      </c>
      <c r="CF147" s="230">
        <v>16100</v>
      </c>
      <c r="CG147" s="230">
        <v>11400</v>
      </c>
      <c r="CH147" s="230">
        <v>4700</v>
      </c>
      <c r="CI147" s="229">
        <v>0.4123</v>
      </c>
      <c r="CJ147" s="230">
        <v>1700</v>
      </c>
      <c r="CK147" s="230">
        <v>1700</v>
      </c>
      <c r="CL147" s="228">
        <v>0</v>
      </c>
      <c r="CM147" s="229">
        <v>0</v>
      </c>
      <c r="CN147" s="230">
        <v>311275</v>
      </c>
      <c r="CO147" s="230">
        <v>313075</v>
      </c>
      <c r="CP147" s="230">
        <v>-1800</v>
      </c>
      <c r="CQ147" s="229">
        <v>-5.7000000000000002E-3</v>
      </c>
      <c r="CR147" s="230">
        <v>194400</v>
      </c>
      <c r="CS147" s="230">
        <v>166100</v>
      </c>
      <c r="CT147" s="230">
        <v>28300</v>
      </c>
      <c r="CU147" s="229">
        <v>0.1704</v>
      </c>
      <c r="CV147" s="230">
        <v>882575</v>
      </c>
      <c r="CW147" s="230">
        <v>842450</v>
      </c>
      <c r="CX147" s="230">
        <v>40125</v>
      </c>
      <c r="CY147" s="229">
        <v>4.7600000000000003E-2</v>
      </c>
      <c r="CZ147" s="228">
        <v>30.96</v>
      </c>
      <c r="DA147" s="228">
        <v>27.88</v>
      </c>
      <c r="DB147" s="228">
        <v>3.08</v>
      </c>
      <c r="DC147" s="228">
        <v>3.08</v>
      </c>
      <c r="DD147" s="228">
        <v>48.95</v>
      </c>
      <c r="DE147" s="228">
        <v>49.07</v>
      </c>
      <c r="DF147" s="228">
        <v>-17.989999999999998</v>
      </c>
      <c r="DG147" s="228">
        <v>-0.12</v>
      </c>
      <c r="DH147" s="228">
        <v>29.27</v>
      </c>
      <c r="DI147" s="228">
        <v>27.8</v>
      </c>
      <c r="DJ147" s="228">
        <v>1.47</v>
      </c>
      <c r="DK147" s="228">
        <v>1.47</v>
      </c>
      <c r="DL147" s="228">
        <v>32.76</v>
      </c>
      <c r="DM147" s="228">
        <v>27.96</v>
      </c>
      <c r="DN147" s="228">
        <v>4.8</v>
      </c>
      <c r="DO147" s="228">
        <v>4.8</v>
      </c>
      <c r="DP147" s="228">
        <v>0.62</v>
      </c>
      <c r="DQ147" s="228">
        <v>0.53</v>
      </c>
      <c r="DR147" s="228">
        <v>0.09</v>
      </c>
      <c r="DS147" s="229">
        <v>0.16980000000000001</v>
      </c>
      <c r="DT147" s="231">
        <v>7600</v>
      </c>
      <c r="DU147" s="231">
        <v>7000</v>
      </c>
      <c r="DV147" s="228">
        <v>0.93</v>
      </c>
      <c r="DW147" s="228">
        <v>1.08</v>
      </c>
      <c r="DX147" s="228">
        <v>-0.15</v>
      </c>
      <c r="DY147" s="229">
        <v>-0.1389</v>
      </c>
      <c r="DZ147" s="229">
        <v>4.7199999999999999E-2</v>
      </c>
      <c r="EA147" s="230">
        <v>13100</v>
      </c>
      <c r="EB147" s="229">
        <v>5.3E-3</v>
      </c>
      <c r="EC147" s="229">
        <v>4.7199999999999999E-2</v>
      </c>
      <c r="ED147" s="228">
        <v>29.99</v>
      </c>
      <c r="EE147" s="229">
        <v>4.1000000000000003E-3</v>
      </c>
      <c r="EF147" s="230">
        <v>17750</v>
      </c>
      <c r="EG147" s="230">
        <v>23018</v>
      </c>
      <c r="EH147" s="229">
        <v>-0.22889999999999999</v>
      </c>
      <c r="EI147" s="229">
        <v>0.42109999999999997</v>
      </c>
      <c r="EJ147" s="231">
        <v>18854.64</v>
      </c>
      <c r="EK147" s="231">
        <v>16385.14</v>
      </c>
      <c r="EL147" s="231">
        <v>5668.52</v>
      </c>
      <c r="EM147" s="231">
        <v>1280</v>
      </c>
      <c r="EN147" s="231">
        <v>40908.300000000003</v>
      </c>
      <c r="EO147" s="231">
        <v>33023.279999999999</v>
      </c>
      <c r="EP147" s="231">
        <v>7885.02</v>
      </c>
      <c r="EQ147" s="229">
        <v>0.23880000000000001</v>
      </c>
      <c r="ER147" s="231">
        <v>23549</v>
      </c>
      <c r="ES147" s="231">
        <v>13543</v>
      </c>
      <c r="ET147" s="231">
        <v>27149</v>
      </c>
      <c r="EU147" s="231">
        <v>2444664</v>
      </c>
      <c r="EV147" s="231">
        <v>64242</v>
      </c>
      <c r="EW147" s="231">
        <v>61439</v>
      </c>
      <c r="EX147" s="231">
        <v>2803</v>
      </c>
      <c r="EY147" s="229">
        <v>4.5600000000000002E-2</v>
      </c>
      <c r="EZ147" s="229">
        <v>0.36099999999999999</v>
      </c>
      <c r="FA147" s="227" t="s">
        <v>567</v>
      </c>
      <c r="FB147" s="161">
        <f t="shared" si="3"/>
        <v>0</v>
      </c>
    </row>
    <row r="148" spans="1:158" ht="17.25" hidden="1" thickBot="1" x14ac:dyDescent="0.3">
      <c r="A148" s="226">
        <v>46008</v>
      </c>
      <c r="B148" s="227" t="s">
        <v>615</v>
      </c>
      <c r="C148" s="227" t="s">
        <v>613</v>
      </c>
      <c r="D148" s="228">
        <v>3125</v>
      </c>
      <c r="E148" s="228">
        <v>246.05</v>
      </c>
      <c r="F148" s="228">
        <v>247.65</v>
      </c>
      <c r="G148" s="228">
        <v>-1.6</v>
      </c>
      <c r="H148" s="229">
        <v>-6.4999999999999997E-3</v>
      </c>
      <c r="I148" s="228">
        <v>245.1</v>
      </c>
      <c r="J148" s="228">
        <v>247.3</v>
      </c>
      <c r="K148" s="228">
        <v>-2.2000000000000002</v>
      </c>
      <c r="L148" s="229">
        <v>-8.8999999999999999E-3</v>
      </c>
      <c r="M148" s="228">
        <v>246.05</v>
      </c>
      <c r="N148" s="228">
        <v>247.65</v>
      </c>
      <c r="O148" s="228">
        <v>-1.6</v>
      </c>
      <c r="P148" s="229">
        <v>-6.4999999999999997E-3</v>
      </c>
      <c r="Q148" s="228">
        <v>246.2</v>
      </c>
      <c r="R148" s="228">
        <v>247.55</v>
      </c>
      <c r="S148" s="228">
        <v>-1.35</v>
      </c>
      <c r="T148" s="229">
        <v>-5.4999999999999997E-3</v>
      </c>
      <c r="U148" s="228">
        <v>244.8</v>
      </c>
      <c r="V148" s="228">
        <v>246.25</v>
      </c>
      <c r="W148" s="228">
        <v>-1.45</v>
      </c>
      <c r="X148" s="229">
        <v>-5.8999999999999999E-3</v>
      </c>
      <c r="Y148" s="228">
        <v>0.95</v>
      </c>
      <c r="Z148" s="228">
        <v>0.35</v>
      </c>
      <c r="AA148" s="228">
        <v>0.6</v>
      </c>
      <c r="AB148" s="229">
        <v>3.8999999999999998E-3</v>
      </c>
      <c r="AC148" s="228">
        <v>0.95</v>
      </c>
      <c r="AD148" s="228">
        <v>0.35</v>
      </c>
      <c r="AE148" s="228">
        <v>0.6</v>
      </c>
      <c r="AF148" s="229">
        <v>3.8999999999999998E-3</v>
      </c>
      <c r="AG148" s="228">
        <v>1.1000000000000001</v>
      </c>
      <c r="AH148" s="228">
        <v>0.25</v>
      </c>
      <c r="AI148" s="228">
        <v>0.85</v>
      </c>
      <c r="AJ148" s="229">
        <v>4.4999999999999997E-3</v>
      </c>
      <c r="AK148" s="228">
        <v>-0.3</v>
      </c>
      <c r="AL148" s="228">
        <v>-1.05</v>
      </c>
      <c r="AM148" s="228">
        <v>0.75</v>
      </c>
      <c r="AN148" s="229">
        <v>-1.1999999999999999E-3</v>
      </c>
      <c r="AO148" s="228">
        <v>246.03</v>
      </c>
      <c r="AP148" s="228">
        <v>246.08</v>
      </c>
      <c r="AQ148" s="228">
        <v>0</v>
      </c>
      <c r="AR148" s="230">
        <v>5112500</v>
      </c>
      <c r="AS148" s="230">
        <v>6756250</v>
      </c>
      <c r="AT148" s="230">
        <v>-1643750</v>
      </c>
      <c r="AU148" s="229">
        <v>-0.24329999999999999</v>
      </c>
      <c r="AV148" s="230">
        <v>4234375</v>
      </c>
      <c r="AW148" s="230">
        <v>6218750</v>
      </c>
      <c r="AX148" s="230">
        <v>-1984375</v>
      </c>
      <c r="AY148" s="229">
        <v>-0.31909999999999999</v>
      </c>
      <c r="AZ148" s="230">
        <v>806250</v>
      </c>
      <c r="BA148" s="230">
        <v>487500</v>
      </c>
      <c r="BB148" s="230">
        <v>318750</v>
      </c>
      <c r="BC148" s="229">
        <v>0.65380000000000005</v>
      </c>
      <c r="BD148" s="230">
        <v>71875</v>
      </c>
      <c r="BE148" s="230">
        <v>50000</v>
      </c>
      <c r="BF148" s="230">
        <v>21875</v>
      </c>
      <c r="BG148" s="229">
        <v>0.4375</v>
      </c>
      <c r="BH148" s="230">
        <v>10965625</v>
      </c>
      <c r="BI148" s="230">
        <v>18928125</v>
      </c>
      <c r="BJ148" s="230">
        <v>-7962500</v>
      </c>
      <c r="BK148" s="229">
        <v>-0.42070000000000002</v>
      </c>
      <c r="BL148" s="230">
        <v>5121875</v>
      </c>
      <c r="BM148" s="230">
        <v>4056250</v>
      </c>
      <c r="BN148" s="230">
        <v>1065625</v>
      </c>
      <c r="BO148" s="229">
        <v>0.26269999999999999</v>
      </c>
      <c r="BP148" s="230">
        <v>21200000</v>
      </c>
      <c r="BQ148" s="230">
        <v>29740625</v>
      </c>
      <c r="BR148" s="230">
        <v>-8540625</v>
      </c>
      <c r="BS148" s="229">
        <v>-0.28720000000000001</v>
      </c>
      <c r="BT148" s="230">
        <v>4219679</v>
      </c>
      <c r="BU148" s="230">
        <v>5749983</v>
      </c>
      <c r="BV148" s="230">
        <v>-1530304</v>
      </c>
      <c r="BW148" s="229">
        <v>-0.2661</v>
      </c>
      <c r="BX148" s="230">
        <v>56568750</v>
      </c>
      <c r="BY148" s="230">
        <v>57175000</v>
      </c>
      <c r="BZ148" s="230">
        <v>-606250</v>
      </c>
      <c r="CA148" s="229">
        <v>-1.06E-2</v>
      </c>
      <c r="CB148" s="230">
        <v>53940625</v>
      </c>
      <c r="CC148" s="230">
        <v>54746875</v>
      </c>
      <c r="CD148" s="230">
        <v>-806250</v>
      </c>
      <c r="CE148" s="229">
        <v>-1.47E-2</v>
      </c>
      <c r="CF148" s="230">
        <v>2503125</v>
      </c>
      <c r="CG148" s="230">
        <v>2284375</v>
      </c>
      <c r="CH148" s="230">
        <v>218750</v>
      </c>
      <c r="CI148" s="229">
        <v>9.5799999999999996E-2</v>
      </c>
      <c r="CJ148" s="230">
        <v>125000</v>
      </c>
      <c r="CK148" s="230">
        <v>143750</v>
      </c>
      <c r="CL148" s="230">
        <v>-18750</v>
      </c>
      <c r="CM148" s="229">
        <v>-0.13039999999999999</v>
      </c>
      <c r="CN148" s="230">
        <v>22337500</v>
      </c>
      <c r="CO148" s="230">
        <v>22371875</v>
      </c>
      <c r="CP148" s="230">
        <v>-34375</v>
      </c>
      <c r="CQ148" s="229">
        <v>-1.5E-3</v>
      </c>
      <c r="CR148" s="230">
        <v>9196875</v>
      </c>
      <c r="CS148" s="230">
        <v>8518750</v>
      </c>
      <c r="CT148" s="230">
        <v>678125</v>
      </c>
      <c r="CU148" s="229">
        <v>7.9600000000000004E-2</v>
      </c>
      <c r="CV148" s="230">
        <v>88103125</v>
      </c>
      <c r="CW148" s="230">
        <v>88065625</v>
      </c>
      <c r="CX148" s="230">
        <v>37500</v>
      </c>
      <c r="CY148" s="229">
        <v>4.0000000000000002E-4</v>
      </c>
      <c r="CZ148" s="228">
        <v>26.65</v>
      </c>
      <c r="DA148" s="228">
        <v>27.11</v>
      </c>
      <c r="DB148" s="228">
        <v>-0.46</v>
      </c>
      <c r="DC148" s="228">
        <v>-0.46</v>
      </c>
      <c r="DD148" s="228">
        <v>36.08</v>
      </c>
      <c r="DE148" s="228">
        <v>36.15</v>
      </c>
      <c r="DF148" s="228">
        <v>-9.43</v>
      </c>
      <c r="DG148" s="228">
        <v>-7.0000000000000007E-2</v>
      </c>
      <c r="DH148" s="228">
        <v>27.16</v>
      </c>
      <c r="DI148" s="228">
        <v>27.66</v>
      </c>
      <c r="DJ148" s="228">
        <v>-0.5</v>
      </c>
      <c r="DK148" s="228">
        <v>-0.5</v>
      </c>
      <c r="DL148" s="228">
        <v>25.55</v>
      </c>
      <c r="DM148" s="228">
        <v>24.53</v>
      </c>
      <c r="DN148" s="228">
        <v>1.02</v>
      </c>
      <c r="DO148" s="228">
        <v>1.02</v>
      </c>
      <c r="DP148" s="228">
        <v>0.41</v>
      </c>
      <c r="DQ148" s="228">
        <v>0.38</v>
      </c>
      <c r="DR148" s="228">
        <v>0.03</v>
      </c>
      <c r="DS148" s="229">
        <v>7.8899999999999998E-2</v>
      </c>
      <c r="DT148" s="228">
        <v>270</v>
      </c>
      <c r="DU148" s="228">
        <v>240</v>
      </c>
      <c r="DV148" s="228">
        <v>0.47</v>
      </c>
      <c r="DW148" s="228">
        <v>0.21</v>
      </c>
      <c r="DX148" s="228">
        <v>0.26</v>
      </c>
      <c r="DY148" s="229">
        <v>1.2381</v>
      </c>
      <c r="DZ148" s="229">
        <v>4.65E-2</v>
      </c>
      <c r="EA148" s="230">
        <v>2428125</v>
      </c>
      <c r="EB148" s="229">
        <v>5.9999999999999995E-4</v>
      </c>
      <c r="EC148" s="229">
        <v>4.65E-2</v>
      </c>
      <c r="ED148" s="228">
        <v>0.05</v>
      </c>
      <c r="EE148" s="229">
        <v>2.0000000000000001E-4</v>
      </c>
      <c r="EF148" s="230">
        <v>2536163</v>
      </c>
      <c r="EG148" s="230">
        <v>3912732</v>
      </c>
      <c r="EH148" s="229">
        <v>-0.3518</v>
      </c>
      <c r="EI148" s="229">
        <v>0.60099999999999998</v>
      </c>
      <c r="EJ148" s="231">
        <v>28568.46</v>
      </c>
      <c r="EK148" s="231">
        <v>12587.09</v>
      </c>
      <c r="EL148" s="231">
        <v>12578.43</v>
      </c>
      <c r="EM148" s="231">
        <v>2307</v>
      </c>
      <c r="EN148" s="231">
        <v>53733.98</v>
      </c>
      <c r="EO148" s="231">
        <v>76762.070000000007</v>
      </c>
      <c r="EP148" s="231">
        <v>-23028.09</v>
      </c>
      <c r="EQ148" s="229">
        <v>-0.3</v>
      </c>
      <c r="ER148" s="231">
        <v>60399</v>
      </c>
      <c r="ES148" s="231">
        <v>22901</v>
      </c>
      <c r="ET148" s="231">
        <v>139190</v>
      </c>
      <c r="EU148" s="231">
        <v>205324177</v>
      </c>
      <c r="EV148" s="231">
        <v>222490</v>
      </c>
      <c r="EW148" s="231">
        <v>223522</v>
      </c>
      <c r="EX148" s="231">
        <v>-1032</v>
      </c>
      <c r="EY148" s="229">
        <v>-4.5999999999999999E-3</v>
      </c>
      <c r="EZ148" s="229">
        <v>0.42909999999999998</v>
      </c>
      <c r="FA148" s="227" t="s">
        <v>568</v>
      </c>
      <c r="FB148" s="161">
        <f t="shared" si="3"/>
        <v>0</v>
      </c>
    </row>
    <row r="149" spans="1:158" ht="17.25" hidden="1" thickBot="1" x14ac:dyDescent="0.3">
      <c r="A149" s="226">
        <v>46008</v>
      </c>
      <c r="B149" s="227" t="s">
        <v>206</v>
      </c>
      <c r="C149" s="227" t="s">
        <v>528</v>
      </c>
      <c r="D149" s="228">
        <v>350</v>
      </c>
      <c r="E149" s="231">
        <v>1609.6</v>
      </c>
      <c r="F149" s="231">
        <v>1628.3</v>
      </c>
      <c r="G149" s="228">
        <v>-18.7</v>
      </c>
      <c r="H149" s="229">
        <v>-1.15E-2</v>
      </c>
      <c r="I149" s="231">
        <v>1609.9</v>
      </c>
      <c r="J149" s="231">
        <v>1626.8</v>
      </c>
      <c r="K149" s="228">
        <v>-16.899999999999999</v>
      </c>
      <c r="L149" s="229">
        <v>-1.04E-2</v>
      </c>
      <c r="M149" s="231">
        <v>1609.6</v>
      </c>
      <c r="N149" s="231">
        <v>1628.3</v>
      </c>
      <c r="O149" s="228">
        <v>-18.7</v>
      </c>
      <c r="P149" s="229">
        <v>-1.15E-2</v>
      </c>
      <c r="Q149" s="231">
        <v>1602.4</v>
      </c>
      <c r="R149" s="231">
        <v>1620.2</v>
      </c>
      <c r="S149" s="228">
        <v>-17.8</v>
      </c>
      <c r="T149" s="229">
        <v>-1.0999999999999999E-2</v>
      </c>
      <c r="U149" s="231">
        <v>1595</v>
      </c>
      <c r="V149" s="231">
        <v>1615.1</v>
      </c>
      <c r="W149" s="228">
        <v>-20.100000000000001</v>
      </c>
      <c r="X149" s="229">
        <v>-1.24E-2</v>
      </c>
      <c r="Y149" s="228">
        <v>-0.3</v>
      </c>
      <c r="Z149" s="228">
        <v>1.5</v>
      </c>
      <c r="AA149" s="228">
        <v>-1.8</v>
      </c>
      <c r="AB149" s="229">
        <v>-2.0000000000000001E-4</v>
      </c>
      <c r="AC149" s="228">
        <v>-0.3</v>
      </c>
      <c r="AD149" s="228">
        <v>1.5</v>
      </c>
      <c r="AE149" s="228">
        <v>-1.8</v>
      </c>
      <c r="AF149" s="229">
        <v>-2.0000000000000001E-4</v>
      </c>
      <c r="AG149" s="228">
        <v>-7.5</v>
      </c>
      <c r="AH149" s="228">
        <v>-6.6</v>
      </c>
      <c r="AI149" s="228">
        <v>-0.9</v>
      </c>
      <c r="AJ149" s="229">
        <v>-4.7000000000000002E-3</v>
      </c>
      <c r="AK149" s="228">
        <v>-14.9</v>
      </c>
      <c r="AL149" s="228">
        <v>-11.7</v>
      </c>
      <c r="AM149" s="228">
        <v>-3.2</v>
      </c>
      <c r="AN149" s="229">
        <v>-9.2999999999999992E-3</v>
      </c>
      <c r="AO149" s="231">
        <v>1619.07</v>
      </c>
      <c r="AP149" s="231">
        <v>1613.36</v>
      </c>
      <c r="AQ149" s="228">
        <v>0</v>
      </c>
      <c r="AR149" s="230">
        <v>512750</v>
      </c>
      <c r="AS149" s="230">
        <v>559300</v>
      </c>
      <c r="AT149" s="230">
        <v>-46550</v>
      </c>
      <c r="AU149" s="229">
        <v>-8.3199999999999996E-2</v>
      </c>
      <c r="AV149" s="230">
        <v>453950</v>
      </c>
      <c r="AW149" s="230">
        <v>505750</v>
      </c>
      <c r="AX149" s="230">
        <v>-51800</v>
      </c>
      <c r="AY149" s="229">
        <v>-0.1024</v>
      </c>
      <c r="AZ149" s="230">
        <v>58100</v>
      </c>
      <c r="BA149" s="230">
        <v>52150</v>
      </c>
      <c r="BB149" s="230">
        <v>5950</v>
      </c>
      <c r="BC149" s="229">
        <v>0.11409999999999999</v>
      </c>
      <c r="BD149" s="228">
        <v>700</v>
      </c>
      <c r="BE149" s="230">
        <v>1400</v>
      </c>
      <c r="BF149" s="228">
        <v>-700</v>
      </c>
      <c r="BG149" s="229">
        <v>-0.5</v>
      </c>
      <c r="BH149" s="230">
        <v>1153950</v>
      </c>
      <c r="BI149" s="230">
        <v>1115450</v>
      </c>
      <c r="BJ149" s="230">
        <v>38500</v>
      </c>
      <c r="BK149" s="229">
        <v>3.4500000000000003E-2</v>
      </c>
      <c r="BL149" s="230">
        <v>823900</v>
      </c>
      <c r="BM149" s="230">
        <v>386750</v>
      </c>
      <c r="BN149" s="230">
        <v>437150</v>
      </c>
      <c r="BO149" s="229">
        <v>1.1303000000000001</v>
      </c>
      <c r="BP149" s="230">
        <v>2490600</v>
      </c>
      <c r="BQ149" s="230">
        <v>2061500</v>
      </c>
      <c r="BR149" s="230">
        <v>429100</v>
      </c>
      <c r="BS149" s="229">
        <v>0.20810000000000001</v>
      </c>
      <c r="BT149" s="230">
        <v>360675</v>
      </c>
      <c r="BU149" s="230">
        <v>183371</v>
      </c>
      <c r="BV149" s="230">
        <v>177304</v>
      </c>
      <c r="BW149" s="229">
        <v>0.96689999999999998</v>
      </c>
      <c r="BX149" s="230">
        <v>4779600</v>
      </c>
      <c r="BY149" s="230">
        <v>4740400</v>
      </c>
      <c r="BZ149" s="230">
        <v>39200</v>
      </c>
      <c r="CA149" s="229">
        <v>8.3000000000000001E-3</v>
      </c>
      <c r="CB149" s="230">
        <v>4491900</v>
      </c>
      <c r="CC149" s="230">
        <v>4472300</v>
      </c>
      <c r="CD149" s="230">
        <v>19600</v>
      </c>
      <c r="CE149" s="229">
        <v>4.4000000000000003E-3</v>
      </c>
      <c r="CF149" s="230">
        <v>274750</v>
      </c>
      <c r="CG149" s="230">
        <v>255850</v>
      </c>
      <c r="CH149" s="230">
        <v>18900</v>
      </c>
      <c r="CI149" s="229">
        <v>7.3899999999999993E-2</v>
      </c>
      <c r="CJ149" s="230">
        <v>12950</v>
      </c>
      <c r="CK149" s="230">
        <v>12250</v>
      </c>
      <c r="CL149" s="228">
        <v>700</v>
      </c>
      <c r="CM149" s="229">
        <v>5.7099999999999998E-2</v>
      </c>
      <c r="CN149" s="230">
        <v>2117850</v>
      </c>
      <c r="CO149" s="230">
        <v>2093000</v>
      </c>
      <c r="CP149" s="230">
        <v>24850</v>
      </c>
      <c r="CQ149" s="229">
        <v>1.1900000000000001E-2</v>
      </c>
      <c r="CR149" s="230">
        <v>1309700</v>
      </c>
      <c r="CS149" s="230">
        <v>1278550</v>
      </c>
      <c r="CT149" s="230">
        <v>31150</v>
      </c>
      <c r="CU149" s="229">
        <v>2.4400000000000002E-2</v>
      </c>
      <c r="CV149" s="230">
        <v>8207150</v>
      </c>
      <c r="CW149" s="230">
        <v>8111950</v>
      </c>
      <c r="CX149" s="230">
        <v>95200</v>
      </c>
      <c r="CY149" s="229">
        <v>1.17E-2</v>
      </c>
      <c r="CZ149" s="228">
        <v>24.35</v>
      </c>
      <c r="DA149" s="228">
        <v>23.87</v>
      </c>
      <c r="DB149" s="228">
        <v>0.48</v>
      </c>
      <c r="DC149" s="228">
        <v>0.48</v>
      </c>
      <c r="DD149" s="228">
        <v>36.799999999999997</v>
      </c>
      <c r="DE149" s="228">
        <v>36.86</v>
      </c>
      <c r="DF149" s="228">
        <v>-12.45</v>
      </c>
      <c r="DG149" s="228">
        <v>-0.06</v>
      </c>
      <c r="DH149" s="228">
        <v>24.67</v>
      </c>
      <c r="DI149" s="228">
        <v>24.09</v>
      </c>
      <c r="DJ149" s="228">
        <v>0.57999999999999996</v>
      </c>
      <c r="DK149" s="228">
        <v>0.57999999999999996</v>
      </c>
      <c r="DL149" s="228">
        <v>23.9</v>
      </c>
      <c r="DM149" s="228">
        <v>23.26</v>
      </c>
      <c r="DN149" s="228">
        <v>0.64</v>
      </c>
      <c r="DO149" s="228">
        <v>0.64</v>
      </c>
      <c r="DP149" s="228">
        <v>0.62</v>
      </c>
      <c r="DQ149" s="228">
        <v>0.61</v>
      </c>
      <c r="DR149" s="228">
        <v>0.01</v>
      </c>
      <c r="DS149" s="229">
        <v>1.6400000000000001E-2</v>
      </c>
      <c r="DT149" s="231">
        <v>1700</v>
      </c>
      <c r="DU149" s="231">
        <v>1700</v>
      </c>
      <c r="DV149" s="228">
        <v>0.71</v>
      </c>
      <c r="DW149" s="228">
        <v>0.35</v>
      </c>
      <c r="DX149" s="228">
        <v>0.36</v>
      </c>
      <c r="DY149" s="229">
        <v>1.0286</v>
      </c>
      <c r="DZ149" s="229">
        <v>6.0199999999999997E-2</v>
      </c>
      <c r="EA149" s="230">
        <v>268100</v>
      </c>
      <c r="EB149" s="229">
        <v>-4.4999999999999997E-3</v>
      </c>
      <c r="EC149" s="229">
        <v>6.0199999999999997E-2</v>
      </c>
      <c r="ED149" s="228">
        <v>-5.71</v>
      </c>
      <c r="EE149" s="229">
        <v>-3.5000000000000001E-3</v>
      </c>
      <c r="EF149" s="230">
        <v>223347</v>
      </c>
      <c r="EG149" s="230">
        <v>94765</v>
      </c>
      <c r="EH149" s="229">
        <v>1.3569</v>
      </c>
      <c r="EI149" s="229">
        <v>0.61919999999999997</v>
      </c>
      <c r="EJ149" s="231">
        <v>19534.75</v>
      </c>
      <c r="EK149" s="231">
        <v>13195.57</v>
      </c>
      <c r="EL149" s="231">
        <v>8298.3700000000008</v>
      </c>
      <c r="EM149" s="231">
        <v>2264</v>
      </c>
      <c r="EN149" s="231">
        <v>41028.69</v>
      </c>
      <c r="EO149" s="231">
        <v>34375.71</v>
      </c>
      <c r="EP149" s="231">
        <v>6652.98</v>
      </c>
      <c r="EQ149" s="229">
        <v>0.19350000000000001</v>
      </c>
      <c r="ER149" s="231">
        <v>36201</v>
      </c>
      <c r="ES149" s="231">
        <v>20918</v>
      </c>
      <c r="ET149" s="231">
        <v>76911</v>
      </c>
      <c r="EU149" s="231">
        <v>17614093</v>
      </c>
      <c r="EV149" s="231">
        <v>134030</v>
      </c>
      <c r="EW149" s="231">
        <v>133471</v>
      </c>
      <c r="EX149" s="228">
        <v>559</v>
      </c>
      <c r="EY149" s="229">
        <v>4.1999999999999997E-3</v>
      </c>
      <c r="EZ149" s="229">
        <v>0.46589999999999998</v>
      </c>
      <c r="FA149" s="227" t="s">
        <v>567</v>
      </c>
      <c r="FB149" s="161">
        <f t="shared" si="3"/>
        <v>0</v>
      </c>
    </row>
    <row r="150" spans="1:158" ht="17.25" thickBot="1" x14ac:dyDescent="0.3">
      <c r="A150" s="226">
        <v>46008</v>
      </c>
      <c r="B150" s="227" t="s">
        <v>221</v>
      </c>
      <c r="C150" s="227" t="s">
        <v>518</v>
      </c>
      <c r="D150" s="228">
        <v>75</v>
      </c>
      <c r="E150" s="231">
        <v>7727.5</v>
      </c>
      <c r="F150" s="231">
        <v>7842.5</v>
      </c>
      <c r="G150" s="228">
        <v>-115</v>
      </c>
      <c r="H150" s="229">
        <v>-1.47E-2</v>
      </c>
      <c r="I150" s="231">
        <v>7712.5</v>
      </c>
      <c r="J150" s="231">
        <v>7828.5</v>
      </c>
      <c r="K150" s="228">
        <v>-116</v>
      </c>
      <c r="L150" s="229">
        <v>-1.4800000000000001E-2</v>
      </c>
      <c r="M150" s="231">
        <v>7727.5</v>
      </c>
      <c r="N150" s="231">
        <v>7842.5</v>
      </c>
      <c r="O150" s="228">
        <v>-115</v>
      </c>
      <c r="P150" s="229">
        <v>-1.47E-2</v>
      </c>
      <c r="Q150" s="231">
        <v>7762.5</v>
      </c>
      <c r="R150" s="231">
        <v>7875</v>
      </c>
      <c r="S150" s="228">
        <v>-112.5</v>
      </c>
      <c r="T150" s="229">
        <v>-1.43E-2</v>
      </c>
      <c r="U150" s="231">
        <v>7805</v>
      </c>
      <c r="V150" s="231">
        <v>7918</v>
      </c>
      <c r="W150" s="228">
        <v>-113</v>
      </c>
      <c r="X150" s="229">
        <v>-1.43E-2</v>
      </c>
      <c r="Y150" s="228">
        <v>15</v>
      </c>
      <c r="Z150" s="228">
        <v>14</v>
      </c>
      <c r="AA150" s="228">
        <v>1</v>
      </c>
      <c r="AB150" s="229">
        <v>1.9E-3</v>
      </c>
      <c r="AC150" s="228">
        <v>15</v>
      </c>
      <c r="AD150" s="228">
        <v>14</v>
      </c>
      <c r="AE150" s="228">
        <v>1</v>
      </c>
      <c r="AF150" s="229">
        <v>1.9E-3</v>
      </c>
      <c r="AG150" s="228">
        <v>50</v>
      </c>
      <c r="AH150" s="228">
        <v>46.5</v>
      </c>
      <c r="AI150" s="228">
        <v>3.5</v>
      </c>
      <c r="AJ150" s="229">
        <v>6.4999999999999997E-3</v>
      </c>
      <c r="AK150" s="228">
        <v>92.5</v>
      </c>
      <c r="AL150" s="228">
        <v>89.5</v>
      </c>
      <c r="AM150" s="228">
        <v>3</v>
      </c>
      <c r="AN150" s="229">
        <v>1.2E-2</v>
      </c>
      <c r="AO150" s="231">
        <v>7783.42</v>
      </c>
      <c r="AP150" s="231">
        <v>7809.68</v>
      </c>
      <c r="AQ150" s="228">
        <v>0</v>
      </c>
      <c r="AR150" s="230">
        <v>225600</v>
      </c>
      <c r="AS150" s="230">
        <v>216150</v>
      </c>
      <c r="AT150" s="230">
        <v>9450</v>
      </c>
      <c r="AU150" s="229">
        <v>4.3700000000000003E-2</v>
      </c>
      <c r="AV150" s="230">
        <v>179325</v>
      </c>
      <c r="AW150" s="230">
        <v>185025</v>
      </c>
      <c r="AX150" s="230">
        <v>-5700</v>
      </c>
      <c r="AY150" s="229">
        <v>-3.0800000000000001E-2</v>
      </c>
      <c r="AZ150" s="230">
        <v>42450</v>
      </c>
      <c r="BA150" s="230">
        <v>27975</v>
      </c>
      <c r="BB150" s="230">
        <v>14475</v>
      </c>
      <c r="BC150" s="229">
        <v>0.51739999999999997</v>
      </c>
      <c r="BD150" s="230">
        <v>3825</v>
      </c>
      <c r="BE150" s="230">
        <v>3150</v>
      </c>
      <c r="BF150" s="228">
        <v>675</v>
      </c>
      <c r="BG150" s="229">
        <v>0.21429999999999999</v>
      </c>
      <c r="BH150" s="230">
        <v>751275</v>
      </c>
      <c r="BI150" s="230">
        <v>642750</v>
      </c>
      <c r="BJ150" s="230">
        <v>108525</v>
      </c>
      <c r="BK150" s="229">
        <v>0.16880000000000001</v>
      </c>
      <c r="BL150" s="230">
        <v>421050</v>
      </c>
      <c r="BM150" s="230">
        <v>670950</v>
      </c>
      <c r="BN150" s="230">
        <v>-249900</v>
      </c>
      <c r="BO150" s="229">
        <v>-0.3725</v>
      </c>
      <c r="BP150" s="230">
        <v>1397925</v>
      </c>
      <c r="BQ150" s="230">
        <v>1529850</v>
      </c>
      <c r="BR150" s="230">
        <v>-131925</v>
      </c>
      <c r="BS150" s="229">
        <v>-8.6199999999999999E-2</v>
      </c>
      <c r="BT150" s="230">
        <v>84584</v>
      </c>
      <c r="BU150" s="230">
        <v>111921</v>
      </c>
      <c r="BV150" s="230">
        <v>-27337</v>
      </c>
      <c r="BW150" s="229">
        <v>-0.24429999999999999</v>
      </c>
      <c r="BX150" s="230">
        <v>1456500</v>
      </c>
      <c r="BY150" s="230">
        <v>1439025</v>
      </c>
      <c r="BZ150" s="230">
        <v>17475</v>
      </c>
      <c r="CA150" s="229">
        <v>1.21E-2</v>
      </c>
      <c r="CB150" s="230">
        <v>1362300</v>
      </c>
      <c r="CC150" s="230">
        <v>1365300</v>
      </c>
      <c r="CD150" s="230">
        <v>-3000</v>
      </c>
      <c r="CE150" s="229">
        <v>-2.2000000000000001E-3</v>
      </c>
      <c r="CF150" s="230">
        <v>86400</v>
      </c>
      <c r="CG150" s="230">
        <v>67275</v>
      </c>
      <c r="CH150" s="230">
        <v>19125</v>
      </c>
      <c r="CI150" s="229">
        <v>0.2843</v>
      </c>
      <c r="CJ150" s="230">
        <v>7800</v>
      </c>
      <c r="CK150" s="230">
        <v>6450</v>
      </c>
      <c r="CL150" s="230">
        <v>1350</v>
      </c>
      <c r="CM150" s="229">
        <v>0.20930000000000001</v>
      </c>
      <c r="CN150" s="230">
        <v>790500</v>
      </c>
      <c r="CO150" s="230">
        <v>721950</v>
      </c>
      <c r="CP150" s="230">
        <v>68550</v>
      </c>
      <c r="CQ150" s="229">
        <v>9.5000000000000001E-2</v>
      </c>
      <c r="CR150" s="230">
        <v>506925</v>
      </c>
      <c r="CS150" s="230">
        <v>549675</v>
      </c>
      <c r="CT150" s="230">
        <v>-42750</v>
      </c>
      <c r="CU150" s="229">
        <v>-7.7799999999999994E-2</v>
      </c>
      <c r="CV150" s="230">
        <v>2753925</v>
      </c>
      <c r="CW150" s="230">
        <v>2710650</v>
      </c>
      <c r="CX150" s="230">
        <v>43275</v>
      </c>
      <c r="CY150" s="229">
        <v>1.6E-2</v>
      </c>
      <c r="CZ150" s="228">
        <v>27.76</v>
      </c>
      <c r="DA150" s="228">
        <v>27.35</v>
      </c>
      <c r="DB150" s="228">
        <v>0.41</v>
      </c>
      <c r="DC150" s="228">
        <v>0.41</v>
      </c>
      <c r="DD150" s="228">
        <v>39.01</v>
      </c>
      <c r="DE150" s="228">
        <v>39.06</v>
      </c>
      <c r="DF150" s="228">
        <v>-11.25</v>
      </c>
      <c r="DG150" s="228">
        <v>-0.05</v>
      </c>
      <c r="DH150" s="228">
        <v>28.25</v>
      </c>
      <c r="DI150" s="228">
        <v>28.27</v>
      </c>
      <c r="DJ150" s="228">
        <v>-0.02</v>
      </c>
      <c r="DK150" s="228">
        <v>-0.02</v>
      </c>
      <c r="DL150" s="228">
        <v>26.89</v>
      </c>
      <c r="DM150" s="228">
        <v>26.47</v>
      </c>
      <c r="DN150" s="228">
        <v>0.42</v>
      </c>
      <c r="DO150" s="228">
        <v>0.42</v>
      </c>
      <c r="DP150" s="228">
        <v>0.64</v>
      </c>
      <c r="DQ150" s="228">
        <v>0.76</v>
      </c>
      <c r="DR150" s="228">
        <v>-0.12</v>
      </c>
      <c r="DS150" s="229">
        <v>-0.15790000000000001</v>
      </c>
      <c r="DT150" s="231">
        <v>8000</v>
      </c>
      <c r="DU150" s="231">
        <v>7500</v>
      </c>
      <c r="DV150" s="228">
        <v>0.56000000000000005</v>
      </c>
      <c r="DW150" s="228">
        <v>1.04</v>
      </c>
      <c r="DX150" s="228">
        <v>-0.48</v>
      </c>
      <c r="DY150" s="229">
        <v>-0.46150000000000002</v>
      </c>
      <c r="DZ150" s="229">
        <v>6.4699999999999994E-2</v>
      </c>
      <c r="EA150" s="230">
        <v>73725</v>
      </c>
      <c r="EB150" s="229">
        <v>4.4999999999999997E-3</v>
      </c>
      <c r="EC150" s="229">
        <v>6.4699999999999994E-2</v>
      </c>
      <c r="ED150" s="228">
        <v>26.26</v>
      </c>
      <c r="EE150" s="229">
        <v>3.3999999999999998E-3</v>
      </c>
      <c r="EF150" s="230">
        <v>32615</v>
      </c>
      <c r="EG150" s="230">
        <v>44297</v>
      </c>
      <c r="EH150" s="229">
        <v>-0.26369999999999999</v>
      </c>
      <c r="EI150" s="229">
        <v>0.3856</v>
      </c>
      <c r="EJ150" s="231">
        <v>61606.78</v>
      </c>
      <c r="EK150" s="231">
        <v>32022.84</v>
      </c>
      <c r="EL150" s="231">
        <v>17572.82</v>
      </c>
      <c r="EM150" s="231">
        <v>3607</v>
      </c>
      <c r="EN150" s="231">
        <v>111202.44</v>
      </c>
      <c r="EO150" s="231">
        <v>122686.95</v>
      </c>
      <c r="EP150" s="231">
        <v>-11484.51</v>
      </c>
      <c r="EQ150" s="229">
        <v>-9.3600000000000003E-2</v>
      </c>
      <c r="ER150" s="231">
        <v>65801</v>
      </c>
      <c r="ES150" s="231">
        <v>39305</v>
      </c>
      <c r="ET150" s="231">
        <v>112587</v>
      </c>
      <c r="EU150" s="231">
        <v>3401732</v>
      </c>
      <c r="EV150" s="231">
        <v>217694</v>
      </c>
      <c r="EW150" s="231">
        <v>215939</v>
      </c>
      <c r="EX150" s="231">
        <v>1755</v>
      </c>
      <c r="EY150" s="229">
        <v>8.0999999999999996E-3</v>
      </c>
      <c r="EZ150" s="229">
        <v>0.80959999999999999</v>
      </c>
      <c r="FA150" s="227" t="s">
        <v>567</v>
      </c>
      <c r="FB150" s="161">
        <f t="shared" si="3"/>
        <v>0</v>
      </c>
    </row>
    <row r="151" spans="1:158" ht="17.25" thickBot="1" x14ac:dyDescent="0.3">
      <c r="A151" s="226">
        <v>46008</v>
      </c>
      <c r="B151" s="227" t="s">
        <v>193</v>
      </c>
      <c r="C151" s="227" t="s">
        <v>587</v>
      </c>
      <c r="D151" s="228">
        <v>1400</v>
      </c>
      <c r="E151" s="228">
        <v>398.25</v>
      </c>
      <c r="F151" s="228">
        <v>402.05</v>
      </c>
      <c r="G151" s="228">
        <v>-3.8</v>
      </c>
      <c r="H151" s="229">
        <v>-9.4999999999999998E-3</v>
      </c>
      <c r="I151" s="228">
        <v>398.15</v>
      </c>
      <c r="J151" s="228">
        <v>401.7</v>
      </c>
      <c r="K151" s="228">
        <v>-3.55</v>
      </c>
      <c r="L151" s="229">
        <v>-8.8000000000000005E-3</v>
      </c>
      <c r="M151" s="228">
        <v>398.25</v>
      </c>
      <c r="N151" s="228">
        <v>402.05</v>
      </c>
      <c r="O151" s="228">
        <v>-3.8</v>
      </c>
      <c r="P151" s="229">
        <v>-9.4999999999999998E-3</v>
      </c>
      <c r="Q151" s="228">
        <v>400.05</v>
      </c>
      <c r="R151" s="228">
        <v>403.55</v>
      </c>
      <c r="S151" s="228">
        <v>-3.5</v>
      </c>
      <c r="T151" s="229">
        <v>-8.6999999999999994E-3</v>
      </c>
      <c r="U151" s="228">
        <v>399.5</v>
      </c>
      <c r="V151" s="228">
        <v>402.9</v>
      </c>
      <c r="W151" s="228">
        <v>-3.4</v>
      </c>
      <c r="X151" s="229">
        <v>-8.3999999999999995E-3</v>
      </c>
      <c r="Y151" s="228">
        <v>0.1</v>
      </c>
      <c r="Z151" s="228">
        <v>0.35</v>
      </c>
      <c r="AA151" s="228">
        <v>-0.25</v>
      </c>
      <c r="AB151" s="229">
        <v>2.9999999999999997E-4</v>
      </c>
      <c r="AC151" s="228">
        <v>0.1</v>
      </c>
      <c r="AD151" s="228">
        <v>0.35</v>
      </c>
      <c r="AE151" s="228">
        <v>-0.25</v>
      </c>
      <c r="AF151" s="229">
        <v>2.9999999999999997E-4</v>
      </c>
      <c r="AG151" s="228">
        <v>1.9</v>
      </c>
      <c r="AH151" s="228">
        <v>1.85</v>
      </c>
      <c r="AI151" s="228">
        <v>0.05</v>
      </c>
      <c r="AJ151" s="229">
        <v>4.7999999999999996E-3</v>
      </c>
      <c r="AK151" s="228">
        <v>1.35</v>
      </c>
      <c r="AL151" s="228">
        <v>1.2</v>
      </c>
      <c r="AM151" s="228">
        <v>0.15</v>
      </c>
      <c r="AN151" s="229">
        <v>3.3999999999999998E-3</v>
      </c>
      <c r="AO151" s="228">
        <v>400.27</v>
      </c>
      <c r="AP151" s="228">
        <v>402</v>
      </c>
      <c r="AQ151" s="228">
        <v>0</v>
      </c>
      <c r="AR151" s="230">
        <v>1068200</v>
      </c>
      <c r="AS151" s="230">
        <v>961800</v>
      </c>
      <c r="AT151" s="230">
        <v>106400</v>
      </c>
      <c r="AU151" s="229">
        <v>0.1106</v>
      </c>
      <c r="AV151" s="230">
        <v>939400</v>
      </c>
      <c r="AW151" s="230">
        <v>865200</v>
      </c>
      <c r="AX151" s="230">
        <v>74200</v>
      </c>
      <c r="AY151" s="229">
        <v>8.5800000000000001E-2</v>
      </c>
      <c r="AZ151" s="230">
        <v>109200</v>
      </c>
      <c r="BA151" s="230">
        <v>77000</v>
      </c>
      <c r="BB151" s="230">
        <v>32200</v>
      </c>
      <c r="BC151" s="229">
        <v>0.41820000000000002</v>
      </c>
      <c r="BD151" s="230">
        <v>19600</v>
      </c>
      <c r="BE151" s="230">
        <v>19600</v>
      </c>
      <c r="BF151" s="228">
        <v>0</v>
      </c>
      <c r="BG151" s="229">
        <v>0</v>
      </c>
      <c r="BH151" s="230">
        <v>3858400</v>
      </c>
      <c r="BI151" s="230">
        <v>2112600</v>
      </c>
      <c r="BJ151" s="230">
        <v>1745800</v>
      </c>
      <c r="BK151" s="229">
        <v>0.82640000000000002</v>
      </c>
      <c r="BL151" s="230">
        <v>1310400</v>
      </c>
      <c r="BM151" s="230">
        <v>858200</v>
      </c>
      <c r="BN151" s="230">
        <v>452200</v>
      </c>
      <c r="BO151" s="229">
        <v>0.52690000000000003</v>
      </c>
      <c r="BP151" s="230">
        <v>6237000</v>
      </c>
      <c r="BQ151" s="230">
        <v>3932600</v>
      </c>
      <c r="BR151" s="230">
        <v>2304400</v>
      </c>
      <c r="BS151" s="229">
        <v>0.58599999999999997</v>
      </c>
      <c r="BT151" s="230">
        <v>917406</v>
      </c>
      <c r="BU151" s="230">
        <v>616947</v>
      </c>
      <c r="BV151" s="230">
        <v>300459</v>
      </c>
      <c r="BW151" s="229">
        <v>0.48699999999999999</v>
      </c>
      <c r="BX151" s="230">
        <v>11229400</v>
      </c>
      <c r="BY151" s="230">
        <v>11162200</v>
      </c>
      <c r="BZ151" s="230">
        <v>67200</v>
      </c>
      <c r="CA151" s="229">
        <v>6.0000000000000001E-3</v>
      </c>
      <c r="CB151" s="230">
        <v>10574200</v>
      </c>
      <c r="CC151" s="230">
        <v>10564400</v>
      </c>
      <c r="CD151" s="230">
        <v>9800</v>
      </c>
      <c r="CE151" s="229">
        <v>8.9999999999999998E-4</v>
      </c>
      <c r="CF151" s="230">
        <v>495600</v>
      </c>
      <c r="CG151" s="230">
        <v>455000</v>
      </c>
      <c r="CH151" s="230">
        <v>40600</v>
      </c>
      <c r="CI151" s="229">
        <v>8.9200000000000002E-2</v>
      </c>
      <c r="CJ151" s="230">
        <v>159600</v>
      </c>
      <c r="CK151" s="230">
        <v>142800</v>
      </c>
      <c r="CL151" s="230">
        <v>16800</v>
      </c>
      <c r="CM151" s="229">
        <v>0.1176</v>
      </c>
      <c r="CN151" s="230">
        <v>7256200</v>
      </c>
      <c r="CO151" s="230">
        <v>6630400</v>
      </c>
      <c r="CP151" s="230">
        <v>625800</v>
      </c>
      <c r="CQ151" s="229">
        <v>9.4399999999999998E-2</v>
      </c>
      <c r="CR151" s="230">
        <v>3817800</v>
      </c>
      <c r="CS151" s="230">
        <v>3686200</v>
      </c>
      <c r="CT151" s="230">
        <v>131600</v>
      </c>
      <c r="CU151" s="229">
        <v>3.5700000000000003E-2</v>
      </c>
      <c r="CV151" s="230">
        <v>22303400</v>
      </c>
      <c r="CW151" s="230">
        <v>21478800</v>
      </c>
      <c r="CX151" s="230">
        <v>824600</v>
      </c>
      <c r="CY151" s="229">
        <v>3.8399999999999997E-2</v>
      </c>
      <c r="CZ151" s="228">
        <v>23.28</v>
      </c>
      <c r="DA151" s="228">
        <v>25.29</v>
      </c>
      <c r="DB151" s="228">
        <v>-2.0099999999999998</v>
      </c>
      <c r="DC151" s="228">
        <v>-2.0099999999999998</v>
      </c>
      <c r="DD151" s="228">
        <v>41.31</v>
      </c>
      <c r="DE151" s="228">
        <v>41.39</v>
      </c>
      <c r="DF151" s="228">
        <v>-18.03</v>
      </c>
      <c r="DG151" s="228">
        <v>-0.08</v>
      </c>
      <c r="DH151" s="228">
        <v>23.89</v>
      </c>
      <c r="DI151" s="228">
        <v>25.66</v>
      </c>
      <c r="DJ151" s="228">
        <v>-1.77</v>
      </c>
      <c r="DK151" s="228">
        <v>-1.77</v>
      </c>
      <c r="DL151" s="228">
        <v>21.48</v>
      </c>
      <c r="DM151" s="228">
        <v>24.37</v>
      </c>
      <c r="DN151" s="228">
        <v>-2.89</v>
      </c>
      <c r="DO151" s="228">
        <v>-2.89</v>
      </c>
      <c r="DP151" s="228">
        <v>0.53</v>
      </c>
      <c r="DQ151" s="228">
        <v>0.56000000000000005</v>
      </c>
      <c r="DR151" s="228">
        <v>-0.03</v>
      </c>
      <c r="DS151" s="229">
        <v>-5.3600000000000002E-2</v>
      </c>
      <c r="DT151" s="228">
        <v>450</v>
      </c>
      <c r="DU151" s="228">
        <v>400</v>
      </c>
      <c r="DV151" s="228">
        <v>0.34</v>
      </c>
      <c r="DW151" s="228">
        <v>0.41</v>
      </c>
      <c r="DX151" s="228">
        <v>-7.0000000000000007E-2</v>
      </c>
      <c r="DY151" s="229">
        <v>-0.17069999999999999</v>
      </c>
      <c r="DZ151" s="229">
        <v>5.8299999999999998E-2</v>
      </c>
      <c r="EA151" s="230">
        <v>597800</v>
      </c>
      <c r="EB151" s="229">
        <v>4.4999999999999997E-3</v>
      </c>
      <c r="EC151" s="229">
        <v>5.8299999999999998E-2</v>
      </c>
      <c r="ED151" s="228">
        <v>1.73</v>
      </c>
      <c r="EE151" s="229">
        <v>4.3E-3</v>
      </c>
      <c r="EF151" s="230">
        <v>422378</v>
      </c>
      <c r="EG151" s="230">
        <v>361450</v>
      </c>
      <c r="EH151" s="229">
        <v>0.1686</v>
      </c>
      <c r="EI151" s="229">
        <v>0.46039999999999998</v>
      </c>
      <c r="EJ151" s="231">
        <v>16247.19</v>
      </c>
      <c r="EK151" s="231">
        <v>5227.34</v>
      </c>
      <c r="EL151" s="231">
        <v>4277.8100000000004</v>
      </c>
      <c r="EM151" s="228">
        <v>893</v>
      </c>
      <c r="EN151" s="231">
        <v>25752.34</v>
      </c>
      <c r="EO151" s="231">
        <v>16395.37</v>
      </c>
      <c r="EP151" s="231">
        <v>9356.9699999999993</v>
      </c>
      <c r="EQ151" s="229">
        <v>0.57069999999999999</v>
      </c>
      <c r="ER151" s="231">
        <v>31303</v>
      </c>
      <c r="ES151" s="231">
        <v>15482</v>
      </c>
      <c r="ET151" s="231">
        <v>44732</v>
      </c>
      <c r="EU151" s="231">
        <v>94123587</v>
      </c>
      <c r="EV151" s="231">
        <v>91517</v>
      </c>
      <c r="EW151" s="231">
        <v>88531</v>
      </c>
      <c r="EX151" s="231">
        <v>2986</v>
      </c>
      <c r="EY151" s="229">
        <v>3.3700000000000001E-2</v>
      </c>
      <c r="EZ151" s="229">
        <v>0.23699999999999999</v>
      </c>
      <c r="FA151" s="227" t="s">
        <v>567</v>
      </c>
      <c r="FB151" s="161">
        <f t="shared" si="3"/>
        <v>0</v>
      </c>
    </row>
    <row r="152" spans="1:158" ht="17.25" thickBot="1" x14ac:dyDescent="0.3">
      <c r="A152" s="226">
        <v>46008</v>
      </c>
      <c r="B152" s="227" t="s">
        <v>193</v>
      </c>
      <c r="C152" s="227" t="s">
        <v>269</v>
      </c>
      <c r="D152" s="228">
        <v>2250</v>
      </c>
      <c r="E152" s="228">
        <v>233.14</v>
      </c>
      <c r="F152" s="228">
        <v>232.75</v>
      </c>
      <c r="G152" s="228">
        <v>0.39</v>
      </c>
      <c r="H152" s="229">
        <v>1.6999999999999999E-3</v>
      </c>
      <c r="I152" s="228">
        <v>232.91</v>
      </c>
      <c r="J152" s="228">
        <v>232.21</v>
      </c>
      <c r="K152" s="228">
        <v>0.7</v>
      </c>
      <c r="L152" s="229">
        <v>3.0000000000000001E-3</v>
      </c>
      <c r="M152" s="228">
        <v>233.14</v>
      </c>
      <c r="N152" s="228">
        <v>232.75</v>
      </c>
      <c r="O152" s="228">
        <v>0.39</v>
      </c>
      <c r="P152" s="229">
        <v>1.6999999999999999E-3</v>
      </c>
      <c r="Q152" s="228">
        <v>234.61</v>
      </c>
      <c r="R152" s="228">
        <v>234.09</v>
      </c>
      <c r="S152" s="228">
        <v>0.52</v>
      </c>
      <c r="T152" s="229">
        <v>2.2000000000000001E-3</v>
      </c>
      <c r="U152" s="228">
        <v>234.3</v>
      </c>
      <c r="V152" s="228">
        <v>233.7</v>
      </c>
      <c r="W152" s="228">
        <v>0.6</v>
      </c>
      <c r="X152" s="229">
        <v>2.5999999999999999E-3</v>
      </c>
      <c r="Y152" s="228">
        <v>0.23</v>
      </c>
      <c r="Z152" s="228">
        <v>0.54</v>
      </c>
      <c r="AA152" s="228">
        <v>-0.31</v>
      </c>
      <c r="AB152" s="229">
        <v>1E-3</v>
      </c>
      <c r="AC152" s="228">
        <v>0.23</v>
      </c>
      <c r="AD152" s="228">
        <v>0.54</v>
      </c>
      <c r="AE152" s="228">
        <v>-0.31</v>
      </c>
      <c r="AF152" s="229">
        <v>1E-3</v>
      </c>
      <c r="AG152" s="228">
        <v>1.7</v>
      </c>
      <c r="AH152" s="228">
        <v>1.88</v>
      </c>
      <c r="AI152" s="228">
        <v>-0.18</v>
      </c>
      <c r="AJ152" s="229">
        <v>7.3000000000000001E-3</v>
      </c>
      <c r="AK152" s="228">
        <v>1.39</v>
      </c>
      <c r="AL152" s="228">
        <v>1.49</v>
      </c>
      <c r="AM152" s="228">
        <v>-0.1</v>
      </c>
      <c r="AN152" s="229">
        <v>6.0000000000000001E-3</v>
      </c>
      <c r="AO152" s="228">
        <v>232.48</v>
      </c>
      <c r="AP152" s="228">
        <v>233.96</v>
      </c>
      <c r="AQ152" s="228">
        <v>0</v>
      </c>
      <c r="AR152" s="230">
        <v>10788750</v>
      </c>
      <c r="AS152" s="230">
        <v>10172250</v>
      </c>
      <c r="AT152" s="230">
        <v>616500</v>
      </c>
      <c r="AU152" s="229">
        <v>6.0600000000000001E-2</v>
      </c>
      <c r="AV152" s="230">
        <v>8871750</v>
      </c>
      <c r="AW152" s="230">
        <v>7852500</v>
      </c>
      <c r="AX152" s="230">
        <v>1019250</v>
      </c>
      <c r="AY152" s="229">
        <v>0.1298</v>
      </c>
      <c r="AZ152" s="230">
        <v>1797750</v>
      </c>
      <c r="BA152" s="230">
        <v>2130750</v>
      </c>
      <c r="BB152" s="230">
        <v>-333000</v>
      </c>
      <c r="BC152" s="229">
        <v>-0.15629999999999999</v>
      </c>
      <c r="BD152" s="230">
        <v>119250</v>
      </c>
      <c r="BE152" s="230">
        <v>189000</v>
      </c>
      <c r="BF152" s="230">
        <v>-69750</v>
      </c>
      <c r="BG152" s="229">
        <v>-0.36899999999999999</v>
      </c>
      <c r="BH152" s="230">
        <v>34805250</v>
      </c>
      <c r="BI152" s="230">
        <v>31983750</v>
      </c>
      <c r="BJ152" s="230">
        <v>2821500</v>
      </c>
      <c r="BK152" s="229">
        <v>8.8200000000000001E-2</v>
      </c>
      <c r="BL152" s="230">
        <v>23292000</v>
      </c>
      <c r="BM152" s="230">
        <v>20130750</v>
      </c>
      <c r="BN152" s="230">
        <v>3161250</v>
      </c>
      <c r="BO152" s="229">
        <v>0.157</v>
      </c>
      <c r="BP152" s="230">
        <v>68886000</v>
      </c>
      <c r="BQ152" s="230">
        <v>62286750</v>
      </c>
      <c r="BR152" s="230">
        <v>6599250</v>
      </c>
      <c r="BS152" s="229">
        <v>0.10589999999999999</v>
      </c>
      <c r="BT152" s="230">
        <v>6080475</v>
      </c>
      <c r="BU152" s="230">
        <v>7802227</v>
      </c>
      <c r="BV152" s="230">
        <v>-1721752</v>
      </c>
      <c r="BW152" s="229">
        <v>-0.22070000000000001</v>
      </c>
      <c r="BX152" s="230">
        <v>100584000</v>
      </c>
      <c r="BY152" s="230">
        <v>99299250</v>
      </c>
      <c r="BZ152" s="230">
        <v>1284750</v>
      </c>
      <c r="CA152" s="229">
        <v>1.29E-2</v>
      </c>
      <c r="CB152" s="230">
        <v>92794500</v>
      </c>
      <c r="CC152" s="230">
        <v>92054250</v>
      </c>
      <c r="CD152" s="230">
        <v>740250</v>
      </c>
      <c r="CE152" s="229">
        <v>8.0000000000000002E-3</v>
      </c>
      <c r="CF152" s="230">
        <v>6736500</v>
      </c>
      <c r="CG152" s="230">
        <v>6207750</v>
      </c>
      <c r="CH152" s="230">
        <v>528750</v>
      </c>
      <c r="CI152" s="229">
        <v>8.5199999999999998E-2</v>
      </c>
      <c r="CJ152" s="230">
        <v>1053000</v>
      </c>
      <c r="CK152" s="230">
        <v>1037250</v>
      </c>
      <c r="CL152" s="230">
        <v>15750</v>
      </c>
      <c r="CM152" s="229">
        <v>1.52E-2</v>
      </c>
      <c r="CN152" s="230">
        <v>64037250</v>
      </c>
      <c r="CO152" s="230">
        <v>61906500</v>
      </c>
      <c r="CP152" s="230">
        <v>2130750</v>
      </c>
      <c r="CQ152" s="229">
        <v>3.44E-2</v>
      </c>
      <c r="CR152" s="230">
        <v>26532000</v>
      </c>
      <c r="CS152" s="230">
        <v>25888500</v>
      </c>
      <c r="CT152" s="230">
        <v>643500</v>
      </c>
      <c r="CU152" s="229">
        <v>2.4899999999999999E-2</v>
      </c>
      <c r="CV152" s="230">
        <v>191153250</v>
      </c>
      <c r="CW152" s="230">
        <v>187094250</v>
      </c>
      <c r="CX152" s="230">
        <v>4059000</v>
      </c>
      <c r="CY152" s="229">
        <v>2.1700000000000001E-2</v>
      </c>
      <c r="CZ152" s="228">
        <v>17.78</v>
      </c>
      <c r="DA152" s="228">
        <v>18.73</v>
      </c>
      <c r="DB152" s="228">
        <v>-0.95</v>
      </c>
      <c r="DC152" s="228">
        <v>-0.95</v>
      </c>
      <c r="DD152" s="228">
        <v>30</v>
      </c>
      <c r="DE152" s="228">
        <v>30.07</v>
      </c>
      <c r="DF152" s="228">
        <v>-12.22</v>
      </c>
      <c r="DG152" s="228">
        <v>-7.0000000000000007E-2</v>
      </c>
      <c r="DH152" s="228">
        <v>17.18</v>
      </c>
      <c r="DI152" s="228">
        <v>18.72</v>
      </c>
      <c r="DJ152" s="228">
        <v>-1.54</v>
      </c>
      <c r="DK152" s="228">
        <v>-1.54</v>
      </c>
      <c r="DL152" s="228">
        <v>18.68</v>
      </c>
      <c r="DM152" s="228">
        <v>18.739999999999998</v>
      </c>
      <c r="DN152" s="228">
        <v>-0.06</v>
      </c>
      <c r="DO152" s="228">
        <v>-0.06</v>
      </c>
      <c r="DP152" s="228">
        <v>0.41</v>
      </c>
      <c r="DQ152" s="228">
        <v>0.42</v>
      </c>
      <c r="DR152" s="228">
        <v>-0.01</v>
      </c>
      <c r="DS152" s="229">
        <v>-2.3800000000000002E-2</v>
      </c>
      <c r="DT152" s="228">
        <v>250</v>
      </c>
      <c r="DU152" s="228">
        <v>230</v>
      </c>
      <c r="DV152" s="228">
        <v>0.67</v>
      </c>
      <c r="DW152" s="228">
        <v>0.63</v>
      </c>
      <c r="DX152" s="228">
        <v>0.04</v>
      </c>
      <c r="DY152" s="229">
        <v>6.3500000000000001E-2</v>
      </c>
      <c r="DZ152" s="229">
        <v>7.7399999999999997E-2</v>
      </c>
      <c r="EA152" s="230">
        <v>7245000</v>
      </c>
      <c r="EB152" s="229">
        <v>6.3E-3</v>
      </c>
      <c r="EC152" s="229">
        <v>7.7399999999999997E-2</v>
      </c>
      <c r="ED152" s="228">
        <v>1.48</v>
      </c>
      <c r="EE152" s="229">
        <v>6.4000000000000003E-3</v>
      </c>
      <c r="EF152" s="230">
        <v>3166644</v>
      </c>
      <c r="EG152" s="230">
        <v>4789307</v>
      </c>
      <c r="EH152" s="229">
        <v>-0.33879999999999999</v>
      </c>
      <c r="EI152" s="229">
        <v>0.52080000000000004</v>
      </c>
      <c r="EJ152" s="231">
        <v>83521.56</v>
      </c>
      <c r="EK152" s="231">
        <v>53661.599999999999</v>
      </c>
      <c r="EL152" s="231">
        <v>25109.27</v>
      </c>
      <c r="EM152" s="231">
        <v>4196</v>
      </c>
      <c r="EN152" s="231">
        <v>162292.43</v>
      </c>
      <c r="EO152" s="231">
        <v>147890.15</v>
      </c>
      <c r="EP152" s="231">
        <v>14402.28</v>
      </c>
      <c r="EQ152" s="229">
        <v>9.74E-2</v>
      </c>
      <c r="ER152" s="231">
        <v>157662</v>
      </c>
      <c r="ES152" s="231">
        <v>62509</v>
      </c>
      <c r="ET152" s="231">
        <v>234613</v>
      </c>
      <c r="EU152" s="231">
        <v>517141211</v>
      </c>
      <c r="EV152" s="231">
        <v>454783</v>
      </c>
      <c r="EW152" s="231">
        <v>445099</v>
      </c>
      <c r="EX152" s="231">
        <v>9684</v>
      </c>
      <c r="EY152" s="229">
        <v>2.18E-2</v>
      </c>
      <c r="EZ152" s="229">
        <v>0.36959999999999998</v>
      </c>
      <c r="FA152" s="227" t="s">
        <v>555</v>
      </c>
      <c r="FB152" s="161">
        <f t="shared" si="3"/>
        <v>0</v>
      </c>
    </row>
    <row r="153" spans="1:158" ht="17.25" thickBot="1" x14ac:dyDescent="0.3">
      <c r="A153" s="226">
        <v>46008</v>
      </c>
      <c r="B153" s="227" t="s">
        <v>197</v>
      </c>
      <c r="C153" s="227" t="s">
        <v>270</v>
      </c>
      <c r="D153" s="228">
        <v>15</v>
      </c>
      <c r="E153" s="231">
        <v>36085</v>
      </c>
      <c r="F153" s="231">
        <v>36495</v>
      </c>
      <c r="G153" s="228">
        <v>-410</v>
      </c>
      <c r="H153" s="229">
        <v>-1.12E-2</v>
      </c>
      <c r="I153" s="231">
        <v>36055</v>
      </c>
      <c r="J153" s="231">
        <v>36355</v>
      </c>
      <c r="K153" s="228">
        <v>-300</v>
      </c>
      <c r="L153" s="229">
        <v>-8.3000000000000001E-3</v>
      </c>
      <c r="M153" s="231">
        <v>36085</v>
      </c>
      <c r="N153" s="231">
        <v>36495</v>
      </c>
      <c r="O153" s="228">
        <v>-410</v>
      </c>
      <c r="P153" s="229">
        <v>-1.12E-2</v>
      </c>
      <c r="Q153" s="231">
        <v>36020</v>
      </c>
      <c r="R153" s="231">
        <v>36475</v>
      </c>
      <c r="S153" s="228">
        <v>-455</v>
      </c>
      <c r="T153" s="229">
        <v>-1.2500000000000001E-2</v>
      </c>
      <c r="U153" s="231">
        <v>36000</v>
      </c>
      <c r="V153" s="231">
        <v>36450</v>
      </c>
      <c r="W153" s="228">
        <v>-450</v>
      </c>
      <c r="X153" s="229">
        <v>-1.23E-2</v>
      </c>
      <c r="Y153" s="228">
        <v>30</v>
      </c>
      <c r="Z153" s="228">
        <v>140</v>
      </c>
      <c r="AA153" s="228">
        <v>-110</v>
      </c>
      <c r="AB153" s="229">
        <v>8.0000000000000004E-4</v>
      </c>
      <c r="AC153" s="228">
        <v>30</v>
      </c>
      <c r="AD153" s="228">
        <v>140</v>
      </c>
      <c r="AE153" s="228">
        <v>-110</v>
      </c>
      <c r="AF153" s="229">
        <v>8.0000000000000004E-4</v>
      </c>
      <c r="AG153" s="228">
        <v>-35</v>
      </c>
      <c r="AH153" s="228">
        <v>120</v>
      </c>
      <c r="AI153" s="228">
        <v>-155</v>
      </c>
      <c r="AJ153" s="229">
        <v>-1E-3</v>
      </c>
      <c r="AK153" s="228">
        <v>-55</v>
      </c>
      <c r="AL153" s="228">
        <v>95</v>
      </c>
      <c r="AM153" s="228">
        <v>-150</v>
      </c>
      <c r="AN153" s="229">
        <v>-1.5E-3</v>
      </c>
      <c r="AO153" s="231">
        <v>36256.870000000003</v>
      </c>
      <c r="AP153" s="231">
        <v>36166.67</v>
      </c>
      <c r="AQ153" s="228">
        <v>0</v>
      </c>
      <c r="AR153" s="230">
        <v>33195</v>
      </c>
      <c r="AS153" s="230">
        <v>20850</v>
      </c>
      <c r="AT153" s="230">
        <v>12345</v>
      </c>
      <c r="AU153" s="229">
        <v>0.59209999999999996</v>
      </c>
      <c r="AV153" s="230">
        <v>28275</v>
      </c>
      <c r="AW153" s="230">
        <v>18135</v>
      </c>
      <c r="AX153" s="230">
        <v>10140</v>
      </c>
      <c r="AY153" s="229">
        <v>0.55910000000000004</v>
      </c>
      <c r="AZ153" s="230">
        <v>4470</v>
      </c>
      <c r="BA153" s="230">
        <v>2370</v>
      </c>
      <c r="BB153" s="230">
        <v>2100</v>
      </c>
      <c r="BC153" s="229">
        <v>0.8861</v>
      </c>
      <c r="BD153" s="228">
        <v>450</v>
      </c>
      <c r="BE153" s="228">
        <v>345</v>
      </c>
      <c r="BF153" s="228">
        <v>105</v>
      </c>
      <c r="BG153" s="229">
        <v>0.30430000000000001</v>
      </c>
      <c r="BH153" s="230">
        <v>147465</v>
      </c>
      <c r="BI153" s="230">
        <v>102285</v>
      </c>
      <c r="BJ153" s="230">
        <v>45180</v>
      </c>
      <c r="BK153" s="229">
        <v>0.44169999999999998</v>
      </c>
      <c r="BL153" s="230">
        <v>35520</v>
      </c>
      <c r="BM153" s="230">
        <v>25635</v>
      </c>
      <c r="BN153" s="230">
        <v>9885</v>
      </c>
      <c r="BO153" s="229">
        <v>0.3856</v>
      </c>
      <c r="BP153" s="230">
        <v>216180</v>
      </c>
      <c r="BQ153" s="230">
        <v>148770</v>
      </c>
      <c r="BR153" s="230">
        <v>67410</v>
      </c>
      <c r="BS153" s="229">
        <v>0.4531</v>
      </c>
      <c r="BT153" s="230">
        <v>16548</v>
      </c>
      <c r="BU153" s="230">
        <v>26230</v>
      </c>
      <c r="BV153" s="230">
        <v>-9682</v>
      </c>
      <c r="BW153" s="229">
        <v>-0.36909999999999998</v>
      </c>
      <c r="BX153" s="230">
        <v>271800</v>
      </c>
      <c r="BY153" s="230">
        <v>265845</v>
      </c>
      <c r="BZ153" s="230">
        <v>5955</v>
      </c>
      <c r="CA153" s="229">
        <v>2.24E-2</v>
      </c>
      <c r="CB153" s="230">
        <v>253290</v>
      </c>
      <c r="CC153" s="230">
        <v>248940</v>
      </c>
      <c r="CD153" s="230">
        <v>4350</v>
      </c>
      <c r="CE153" s="229">
        <v>1.7500000000000002E-2</v>
      </c>
      <c r="CF153" s="230">
        <v>15360</v>
      </c>
      <c r="CG153" s="230">
        <v>13995</v>
      </c>
      <c r="CH153" s="230">
        <v>1365</v>
      </c>
      <c r="CI153" s="229">
        <v>9.7500000000000003E-2</v>
      </c>
      <c r="CJ153" s="230">
        <v>3150</v>
      </c>
      <c r="CK153" s="230">
        <v>2910</v>
      </c>
      <c r="CL153" s="228">
        <v>240</v>
      </c>
      <c r="CM153" s="229">
        <v>8.2500000000000004E-2</v>
      </c>
      <c r="CN153" s="230">
        <v>130095</v>
      </c>
      <c r="CO153" s="230">
        <v>119520</v>
      </c>
      <c r="CP153" s="230">
        <v>10575</v>
      </c>
      <c r="CQ153" s="229">
        <v>8.8499999999999995E-2</v>
      </c>
      <c r="CR153" s="230">
        <v>53520</v>
      </c>
      <c r="CS153" s="230">
        <v>51420</v>
      </c>
      <c r="CT153" s="230">
        <v>2100</v>
      </c>
      <c r="CU153" s="229">
        <v>4.0800000000000003E-2</v>
      </c>
      <c r="CV153" s="230">
        <v>455415</v>
      </c>
      <c r="CW153" s="230">
        <v>436785</v>
      </c>
      <c r="CX153" s="230">
        <v>18630</v>
      </c>
      <c r="CY153" s="229">
        <v>4.2700000000000002E-2</v>
      </c>
      <c r="CZ153" s="228">
        <v>25.1</v>
      </c>
      <c r="DA153" s="228">
        <v>24.88</v>
      </c>
      <c r="DB153" s="228">
        <v>0.22</v>
      </c>
      <c r="DC153" s="228">
        <v>0.22</v>
      </c>
      <c r="DD153" s="228">
        <v>27.84</v>
      </c>
      <c r="DE153" s="228">
        <v>27.88</v>
      </c>
      <c r="DF153" s="228">
        <v>-2.74</v>
      </c>
      <c r="DG153" s="228">
        <v>-0.04</v>
      </c>
      <c r="DH153" s="228">
        <v>26.14</v>
      </c>
      <c r="DI153" s="228">
        <v>26.06</v>
      </c>
      <c r="DJ153" s="228">
        <v>0.08</v>
      </c>
      <c r="DK153" s="228">
        <v>0.08</v>
      </c>
      <c r="DL153" s="228">
        <v>20.8</v>
      </c>
      <c r="DM153" s="228">
        <v>20.14</v>
      </c>
      <c r="DN153" s="228">
        <v>0.66</v>
      </c>
      <c r="DO153" s="228">
        <v>0.66</v>
      </c>
      <c r="DP153" s="228">
        <v>0.41</v>
      </c>
      <c r="DQ153" s="228">
        <v>0.43</v>
      </c>
      <c r="DR153" s="228">
        <v>-0.02</v>
      </c>
      <c r="DS153" s="229">
        <v>-4.65E-2</v>
      </c>
      <c r="DT153" s="231">
        <v>40000</v>
      </c>
      <c r="DU153" s="231">
        <v>37000</v>
      </c>
      <c r="DV153" s="228">
        <v>0.24</v>
      </c>
      <c r="DW153" s="228">
        <v>0.25</v>
      </c>
      <c r="DX153" s="228">
        <v>-0.01</v>
      </c>
      <c r="DY153" s="229">
        <v>-0.04</v>
      </c>
      <c r="DZ153" s="229">
        <v>6.8099999999999994E-2</v>
      </c>
      <c r="EA153" s="230">
        <v>16905</v>
      </c>
      <c r="EB153" s="229">
        <v>-1.8E-3</v>
      </c>
      <c r="EC153" s="229">
        <v>6.8099999999999994E-2</v>
      </c>
      <c r="ED153" s="228">
        <v>-90.2</v>
      </c>
      <c r="EE153" s="229">
        <v>-2.5000000000000001E-3</v>
      </c>
      <c r="EF153" s="230">
        <v>8522</v>
      </c>
      <c r="EG153" s="230">
        <v>16888</v>
      </c>
      <c r="EH153" s="229">
        <v>-0.49540000000000001</v>
      </c>
      <c r="EI153" s="229">
        <v>0.51500000000000001</v>
      </c>
      <c r="EJ153" s="231">
        <v>57272.26</v>
      </c>
      <c r="EK153" s="231">
        <v>12641.49</v>
      </c>
      <c r="EL153" s="231">
        <v>12030.81</v>
      </c>
      <c r="EM153" s="231">
        <v>1263</v>
      </c>
      <c r="EN153" s="231">
        <v>81944.56</v>
      </c>
      <c r="EO153" s="231">
        <v>57276.51</v>
      </c>
      <c r="EP153" s="231">
        <v>24668.05</v>
      </c>
      <c r="EQ153" s="229">
        <v>0.43070000000000003</v>
      </c>
      <c r="ER153" s="231">
        <v>51105</v>
      </c>
      <c r="ES153" s="231">
        <v>19663</v>
      </c>
      <c r="ET153" s="231">
        <v>98066</v>
      </c>
      <c r="EU153" s="231">
        <v>955549</v>
      </c>
      <c r="EV153" s="231">
        <v>168834</v>
      </c>
      <c r="EW153" s="231">
        <v>163183</v>
      </c>
      <c r="EX153" s="231">
        <v>5651</v>
      </c>
      <c r="EY153" s="229">
        <v>3.4599999999999999E-2</v>
      </c>
      <c r="EZ153" s="229">
        <v>0.47660000000000002</v>
      </c>
      <c r="FA153" s="227" t="s">
        <v>567</v>
      </c>
      <c r="FB153" s="161">
        <f>BX227-CB227</f>
        <v>0</v>
      </c>
    </row>
    <row r="154" spans="1:158" ht="17.25" thickBot="1" x14ac:dyDescent="0.3">
      <c r="A154" s="226">
        <v>46008</v>
      </c>
      <c r="B154" s="227" t="s">
        <v>168</v>
      </c>
      <c r="C154" s="227" t="s">
        <v>666</v>
      </c>
      <c r="D154" s="228">
        <v>900</v>
      </c>
      <c r="E154" s="228">
        <v>544.6</v>
      </c>
      <c r="F154" s="228">
        <v>539.5</v>
      </c>
      <c r="G154" s="228">
        <v>5.0999999999999996</v>
      </c>
      <c r="H154" s="229">
        <v>9.4999999999999998E-3</v>
      </c>
      <c r="I154" s="228">
        <v>543.9</v>
      </c>
      <c r="J154" s="228">
        <v>537.85</v>
      </c>
      <c r="K154" s="228">
        <v>6.05</v>
      </c>
      <c r="L154" s="229">
        <v>1.12E-2</v>
      </c>
      <c r="M154" s="228">
        <v>544.6</v>
      </c>
      <c r="N154" s="228">
        <v>539.5</v>
      </c>
      <c r="O154" s="228">
        <v>5.0999999999999996</v>
      </c>
      <c r="P154" s="229">
        <v>9.4999999999999998E-3</v>
      </c>
      <c r="Q154" s="228">
        <v>547.70000000000005</v>
      </c>
      <c r="R154" s="228">
        <v>542.5</v>
      </c>
      <c r="S154" s="228">
        <v>5.2</v>
      </c>
      <c r="T154" s="229">
        <v>9.5999999999999992E-3</v>
      </c>
      <c r="U154" s="228">
        <v>551.9</v>
      </c>
      <c r="V154" s="228">
        <v>545</v>
      </c>
      <c r="W154" s="228">
        <v>6.9</v>
      </c>
      <c r="X154" s="229">
        <v>1.2699999999999999E-2</v>
      </c>
      <c r="Y154" s="228">
        <v>0.7</v>
      </c>
      <c r="Z154" s="228">
        <v>1.65</v>
      </c>
      <c r="AA154" s="228">
        <v>-0.95</v>
      </c>
      <c r="AB154" s="229">
        <v>1.2999999999999999E-3</v>
      </c>
      <c r="AC154" s="228">
        <v>0.7</v>
      </c>
      <c r="AD154" s="228">
        <v>1.65</v>
      </c>
      <c r="AE154" s="228">
        <v>-0.95</v>
      </c>
      <c r="AF154" s="229">
        <v>1.2999999999999999E-3</v>
      </c>
      <c r="AG154" s="228">
        <v>3.8</v>
      </c>
      <c r="AH154" s="228">
        <v>4.6500000000000004</v>
      </c>
      <c r="AI154" s="228">
        <v>-0.85</v>
      </c>
      <c r="AJ154" s="229">
        <v>7.0000000000000001E-3</v>
      </c>
      <c r="AK154" s="228">
        <v>8</v>
      </c>
      <c r="AL154" s="228">
        <v>7.15</v>
      </c>
      <c r="AM154" s="228">
        <v>0.85</v>
      </c>
      <c r="AN154" s="229">
        <v>1.47E-2</v>
      </c>
      <c r="AO154" s="228">
        <v>538.96</v>
      </c>
      <c r="AP154" s="228">
        <v>541.88</v>
      </c>
      <c r="AQ154" s="228">
        <v>0</v>
      </c>
      <c r="AR154" s="230">
        <v>9375300</v>
      </c>
      <c r="AS154" s="230">
        <v>7380900</v>
      </c>
      <c r="AT154" s="230">
        <v>1994400</v>
      </c>
      <c r="AU154" s="229">
        <v>0.2702</v>
      </c>
      <c r="AV154" s="230">
        <v>8464500</v>
      </c>
      <c r="AW154" s="230">
        <v>7086600</v>
      </c>
      <c r="AX154" s="230">
        <v>1377900</v>
      </c>
      <c r="AY154" s="229">
        <v>0.19439999999999999</v>
      </c>
      <c r="AZ154" s="230">
        <v>893700</v>
      </c>
      <c r="BA154" s="230">
        <v>278100</v>
      </c>
      <c r="BB154" s="230">
        <v>615600</v>
      </c>
      <c r="BC154" s="229">
        <v>2.2136</v>
      </c>
      <c r="BD154" s="230">
        <v>17100</v>
      </c>
      <c r="BE154" s="230">
        <v>16200</v>
      </c>
      <c r="BF154" s="228">
        <v>900</v>
      </c>
      <c r="BG154" s="229">
        <v>5.5599999999999997E-2</v>
      </c>
      <c r="BH154" s="230">
        <v>11430000</v>
      </c>
      <c r="BI154" s="230">
        <v>6877800</v>
      </c>
      <c r="BJ154" s="230">
        <v>4552200</v>
      </c>
      <c r="BK154" s="229">
        <v>0.66190000000000004</v>
      </c>
      <c r="BL154" s="230">
        <v>3673800</v>
      </c>
      <c r="BM154" s="230">
        <v>2262600</v>
      </c>
      <c r="BN154" s="230">
        <v>1411200</v>
      </c>
      <c r="BO154" s="229">
        <v>0.62370000000000003</v>
      </c>
      <c r="BP154" s="230">
        <v>24479100</v>
      </c>
      <c r="BQ154" s="230">
        <v>16521300</v>
      </c>
      <c r="BR154" s="230">
        <v>7957800</v>
      </c>
      <c r="BS154" s="229">
        <v>0.48170000000000002</v>
      </c>
      <c r="BT154" s="230">
        <v>8417884</v>
      </c>
      <c r="BU154" s="230">
        <v>7667309</v>
      </c>
      <c r="BV154" s="230">
        <v>750575</v>
      </c>
      <c r="BW154" s="229">
        <v>9.7900000000000001E-2</v>
      </c>
      <c r="BX154" s="230">
        <v>37036800</v>
      </c>
      <c r="BY154" s="230">
        <v>35917200</v>
      </c>
      <c r="BZ154" s="230">
        <v>1119600</v>
      </c>
      <c r="CA154" s="229">
        <v>3.1199999999999999E-2</v>
      </c>
      <c r="CB154" s="230">
        <v>36126000</v>
      </c>
      <c r="CC154" s="230">
        <v>35351100</v>
      </c>
      <c r="CD154" s="230">
        <v>774900</v>
      </c>
      <c r="CE154" s="229">
        <v>2.1899999999999999E-2</v>
      </c>
      <c r="CF154" s="230">
        <v>860400</v>
      </c>
      <c r="CG154" s="230">
        <v>522000</v>
      </c>
      <c r="CH154" s="230">
        <v>338400</v>
      </c>
      <c r="CI154" s="229">
        <v>0.64829999999999999</v>
      </c>
      <c r="CJ154" s="230">
        <v>50400</v>
      </c>
      <c r="CK154" s="230">
        <v>44100</v>
      </c>
      <c r="CL154" s="230">
        <v>6300</v>
      </c>
      <c r="CM154" s="229">
        <v>0.1429</v>
      </c>
      <c r="CN154" s="230">
        <v>8106300</v>
      </c>
      <c r="CO154" s="230">
        <v>7921800</v>
      </c>
      <c r="CP154" s="230">
        <v>184500</v>
      </c>
      <c r="CQ154" s="229">
        <v>2.3300000000000001E-2</v>
      </c>
      <c r="CR154" s="230">
        <v>3895200</v>
      </c>
      <c r="CS154" s="230">
        <v>3590100</v>
      </c>
      <c r="CT154" s="230">
        <v>305100</v>
      </c>
      <c r="CU154" s="229">
        <v>8.5000000000000006E-2</v>
      </c>
      <c r="CV154" s="230">
        <v>49038300</v>
      </c>
      <c r="CW154" s="230">
        <v>47429100</v>
      </c>
      <c r="CX154" s="230">
        <v>1609200</v>
      </c>
      <c r="CY154" s="229">
        <v>3.39E-2</v>
      </c>
      <c r="CZ154" s="228">
        <v>25.73</v>
      </c>
      <c r="DA154" s="228">
        <v>24.35</v>
      </c>
      <c r="DB154" s="228">
        <v>1.38</v>
      </c>
      <c r="DC154" s="228">
        <v>1.38</v>
      </c>
      <c r="DD154" s="228">
        <v>33.49</v>
      </c>
      <c r="DE154" s="228">
        <v>33.549999999999997</v>
      </c>
      <c r="DF154" s="228">
        <v>-7.76</v>
      </c>
      <c r="DG154" s="228">
        <v>-0.06</v>
      </c>
      <c r="DH154" s="228">
        <v>25.47</v>
      </c>
      <c r="DI154" s="228">
        <v>24.55</v>
      </c>
      <c r="DJ154" s="228">
        <v>0.92</v>
      </c>
      <c r="DK154" s="228">
        <v>0.92</v>
      </c>
      <c r="DL154" s="228">
        <v>26.53</v>
      </c>
      <c r="DM154" s="228">
        <v>23.74</v>
      </c>
      <c r="DN154" s="228">
        <v>2.79</v>
      </c>
      <c r="DO154" s="228">
        <v>2.79</v>
      </c>
      <c r="DP154" s="228">
        <v>0.48</v>
      </c>
      <c r="DQ154" s="228">
        <v>0.45</v>
      </c>
      <c r="DR154" s="228">
        <v>0.03</v>
      </c>
      <c r="DS154" s="229">
        <v>6.6699999999999995E-2</v>
      </c>
      <c r="DT154" s="228">
        <v>550</v>
      </c>
      <c r="DU154" s="228">
        <v>540</v>
      </c>
      <c r="DV154" s="228">
        <v>0.32</v>
      </c>
      <c r="DW154" s="228">
        <v>0.33</v>
      </c>
      <c r="DX154" s="228">
        <v>-0.01</v>
      </c>
      <c r="DY154" s="229">
        <v>-3.0300000000000001E-2</v>
      </c>
      <c r="DZ154" s="229">
        <v>2.46E-2</v>
      </c>
      <c r="EA154" s="230">
        <v>566100</v>
      </c>
      <c r="EB154" s="229">
        <v>5.7000000000000002E-3</v>
      </c>
      <c r="EC154" s="229">
        <v>2.46E-2</v>
      </c>
      <c r="ED154" s="228">
        <v>2.92</v>
      </c>
      <c r="EE154" s="229">
        <v>5.4000000000000003E-3</v>
      </c>
      <c r="EF154" s="230">
        <v>3731531</v>
      </c>
      <c r="EG154" s="230">
        <v>3692349</v>
      </c>
      <c r="EH154" s="229">
        <v>1.06E-2</v>
      </c>
      <c r="EI154" s="229">
        <v>0.44330000000000003</v>
      </c>
      <c r="EJ154" s="231">
        <v>63875.839999999997</v>
      </c>
      <c r="EK154" s="231">
        <v>20025.849999999999</v>
      </c>
      <c r="EL154" s="231">
        <v>50556.43</v>
      </c>
      <c r="EM154" s="231">
        <v>7006</v>
      </c>
      <c r="EN154" s="231">
        <v>134458.12</v>
      </c>
      <c r="EO154" s="231">
        <v>90032.42</v>
      </c>
      <c r="EP154" s="231">
        <v>44425.7</v>
      </c>
      <c r="EQ154" s="229">
        <v>0.49340000000000001</v>
      </c>
      <c r="ER154" s="231">
        <v>46083</v>
      </c>
      <c r="ES154" s="231">
        <v>21213</v>
      </c>
      <c r="ET154" s="231">
        <v>201733</v>
      </c>
      <c r="EU154" s="231">
        <v>50840137</v>
      </c>
      <c r="EV154" s="231">
        <v>269029</v>
      </c>
      <c r="EW154" s="231">
        <v>258614</v>
      </c>
      <c r="EX154" s="231">
        <v>10415</v>
      </c>
      <c r="EY154" s="229">
        <v>4.0300000000000002E-2</v>
      </c>
      <c r="EZ154" s="229">
        <v>0.96460000000000001</v>
      </c>
      <c r="FA154" s="227" t="s">
        <v>555</v>
      </c>
      <c r="FB154" s="161">
        <f t="shared" si="3"/>
        <v>0</v>
      </c>
    </row>
    <row r="155" spans="1:158" ht="17.25" thickBot="1" x14ac:dyDescent="0.3">
      <c r="A155" s="226">
        <v>46008</v>
      </c>
      <c r="B155" s="227" t="s">
        <v>615</v>
      </c>
      <c r="C155" s="227" t="s">
        <v>575</v>
      </c>
      <c r="D155" s="228">
        <v>725</v>
      </c>
      <c r="E155" s="231">
        <v>1272.7</v>
      </c>
      <c r="F155" s="231">
        <v>1282.0999999999999</v>
      </c>
      <c r="G155" s="228">
        <v>-9.4</v>
      </c>
      <c r="H155" s="229">
        <v>-7.3000000000000001E-3</v>
      </c>
      <c r="I155" s="231">
        <v>1268.5999999999999</v>
      </c>
      <c r="J155" s="231">
        <v>1281.4000000000001</v>
      </c>
      <c r="K155" s="228">
        <v>-12.8</v>
      </c>
      <c r="L155" s="229">
        <v>-0.01</v>
      </c>
      <c r="M155" s="231">
        <v>1272.7</v>
      </c>
      <c r="N155" s="231">
        <v>1282.0999999999999</v>
      </c>
      <c r="O155" s="228">
        <v>-9.4</v>
      </c>
      <c r="P155" s="229">
        <v>-7.3000000000000001E-3</v>
      </c>
      <c r="Q155" s="231">
        <v>1279</v>
      </c>
      <c r="R155" s="231">
        <v>1289</v>
      </c>
      <c r="S155" s="228">
        <v>-10</v>
      </c>
      <c r="T155" s="229">
        <v>-7.7999999999999996E-3</v>
      </c>
      <c r="U155" s="231">
        <v>1284.8</v>
      </c>
      <c r="V155" s="231">
        <v>1297</v>
      </c>
      <c r="W155" s="228">
        <v>-12.2</v>
      </c>
      <c r="X155" s="229">
        <v>-9.4000000000000004E-3</v>
      </c>
      <c r="Y155" s="228">
        <v>4.0999999999999996</v>
      </c>
      <c r="Z155" s="228">
        <v>0.7</v>
      </c>
      <c r="AA155" s="228">
        <v>3.4</v>
      </c>
      <c r="AB155" s="229">
        <v>3.2000000000000002E-3</v>
      </c>
      <c r="AC155" s="228">
        <v>4.0999999999999996</v>
      </c>
      <c r="AD155" s="228">
        <v>0.7</v>
      </c>
      <c r="AE155" s="228">
        <v>3.4</v>
      </c>
      <c r="AF155" s="229">
        <v>3.2000000000000002E-3</v>
      </c>
      <c r="AG155" s="228">
        <v>10.4</v>
      </c>
      <c r="AH155" s="228">
        <v>7.6</v>
      </c>
      <c r="AI155" s="228">
        <v>2.8</v>
      </c>
      <c r="AJ155" s="229">
        <v>8.2000000000000007E-3</v>
      </c>
      <c r="AK155" s="228">
        <v>16.2</v>
      </c>
      <c r="AL155" s="228">
        <v>15.6</v>
      </c>
      <c r="AM155" s="228">
        <v>0.6</v>
      </c>
      <c r="AN155" s="229">
        <v>1.2800000000000001E-2</v>
      </c>
      <c r="AO155" s="231">
        <v>1276.04</v>
      </c>
      <c r="AP155" s="231">
        <v>1282</v>
      </c>
      <c r="AQ155" s="228">
        <v>0</v>
      </c>
      <c r="AR155" s="230">
        <v>2379450</v>
      </c>
      <c r="AS155" s="230">
        <v>3298025</v>
      </c>
      <c r="AT155" s="230">
        <v>-918575</v>
      </c>
      <c r="AU155" s="229">
        <v>-0.27850000000000003</v>
      </c>
      <c r="AV155" s="230">
        <v>1874125</v>
      </c>
      <c r="AW155" s="230">
        <v>2876800</v>
      </c>
      <c r="AX155" s="230">
        <v>-1002675</v>
      </c>
      <c r="AY155" s="229">
        <v>-0.34849999999999998</v>
      </c>
      <c r="AZ155" s="230">
        <v>478500</v>
      </c>
      <c r="BA155" s="230">
        <v>392225</v>
      </c>
      <c r="BB155" s="230">
        <v>86275</v>
      </c>
      <c r="BC155" s="229">
        <v>0.22</v>
      </c>
      <c r="BD155" s="230">
        <v>26825</v>
      </c>
      <c r="BE155" s="230">
        <v>29000</v>
      </c>
      <c r="BF155" s="230">
        <v>-2175</v>
      </c>
      <c r="BG155" s="229">
        <v>-7.4999999999999997E-2</v>
      </c>
      <c r="BH155" s="230">
        <v>9180675</v>
      </c>
      <c r="BI155" s="230">
        <v>9035675</v>
      </c>
      <c r="BJ155" s="230">
        <v>145000</v>
      </c>
      <c r="BK155" s="229">
        <v>1.6E-2</v>
      </c>
      <c r="BL155" s="230">
        <v>4006350</v>
      </c>
      <c r="BM155" s="230">
        <v>4714675</v>
      </c>
      <c r="BN155" s="230">
        <v>-708325</v>
      </c>
      <c r="BO155" s="229">
        <v>-0.1502</v>
      </c>
      <c r="BP155" s="230">
        <v>15566475</v>
      </c>
      <c r="BQ155" s="230">
        <v>17048375</v>
      </c>
      <c r="BR155" s="230">
        <v>-1481900</v>
      </c>
      <c r="BS155" s="229">
        <v>-8.6900000000000005E-2</v>
      </c>
      <c r="BT155" s="230">
        <v>1621080</v>
      </c>
      <c r="BU155" s="230">
        <v>2682033</v>
      </c>
      <c r="BV155" s="230">
        <v>-1060953</v>
      </c>
      <c r="BW155" s="229">
        <v>-0.39560000000000001</v>
      </c>
      <c r="BX155" s="230">
        <v>18782575</v>
      </c>
      <c r="BY155" s="230">
        <v>18451975</v>
      </c>
      <c r="BZ155" s="230">
        <v>330600</v>
      </c>
      <c r="CA155" s="229">
        <v>1.7899999999999999E-2</v>
      </c>
      <c r="CB155" s="230">
        <v>17743650</v>
      </c>
      <c r="CC155" s="230">
        <v>17679850</v>
      </c>
      <c r="CD155" s="230">
        <v>63800</v>
      </c>
      <c r="CE155" s="229">
        <v>3.5999999999999999E-3</v>
      </c>
      <c r="CF155" s="230">
        <v>930175</v>
      </c>
      <c r="CG155" s="230">
        <v>666275</v>
      </c>
      <c r="CH155" s="230">
        <v>263900</v>
      </c>
      <c r="CI155" s="229">
        <v>0.39610000000000001</v>
      </c>
      <c r="CJ155" s="230">
        <v>108750</v>
      </c>
      <c r="CK155" s="230">
        <v>105850</v>
      </c>
      <c r="CL155" s="230">
        <v>2900</v>
      </c>
      <c r="CM155" s="229">
        <v>2.7400000000000001E-2</v>
      </c>
      <c r="CN155" s="230">
        <v>10890950</v>
      </c>
      <c r="CO155" s="230">
        <v>9846950</v>
      </c>
      <c r="CP155" s="230">
        <v>1044000</v>
      </c>
      <c r="CQ155" s="229">
        <v>0.106</v>
      </c>
      <c r="CR155" s="230">
        <v>5903675</v>
      </c>
      <c r="CS155" s="230">
        <v>5776800</v>
      </c>
      <c r="CT155" s="230">
        <v>126875</v>
      </c>
      <c r="CU155" s="229">
        <v>2.1999999999999999E-2</v>
      </c>
      <c r="CV155" s="230">
        <v>35577200</v>
      </c>
      <c r="CW155" s="230">
        <v>34075725</v>
      </c>
      <c r="CX155" s="230">
        <v>1501475</v>
      </c>
      <c r="CY155" s="229">
        <v>4.41E-2</v>
      </c>
      <c r="CZ155" s="228">
        <v>29.56</v>
      </c>
      <c r="DA155" s="228">
        <v>30.36</v>
      </c>
      <c r="DB155" s="228">
        <v>-0.8</v>
      </c>
      <c r="DC155" s="228">
        <v>-0.8</v>
      </c>
      <c r="DD155" s="228">
        <v>52.36</v>
      </c>
      <c r="DE155" s="228">
        <v>52.49</v>
      </c>
      <c r="DF155" s="228">
        <v>-22.8</v>
      </c>
      <c r="DG155" s="228">
        <v>-0.13</v>
      </c>
      <c r="DH155" s="228">
        <v>29.97</v>
      </c>
      <c r="DI155" s="228">
        <v>30.51</v>
      </c>
      <c r="DJ155" s="228">
        <v>-0.54</v>
      </c>
      <c r="DK155" s="228">
        <v>-0.54</v>
      </c>
      <c r="DL155" s="228">
        <v>28.63</v>
      </c>
      <c r="DM155" s="228">
        <v>30.06</v>
      </c>
      <c r="DN155" s="228">
        <v>-1.43</v>
      </c>
      <c r="DO155" s="228">
        <v>-1.43</v>
      </c>
      <c r="DP155" s="228">
        <v>0.54</v>
      </c>
      <c r="DQ155" s="228">
        <v>0.59</v>
      </c>
      <c r="DR155" s="228">
        <v>-0.05</v>
      </c>
      <c r="DS155" s="229">
        <v>-8.4699999999999998E-2</v>
      </c>
      <c r="DT155" s="231">
        <v>1320</v>
      </c>
      <c r="DU155" s="231">
        <v>1200</v>
      </c>
      <c r="DV155" s="228">
        <v>0.44</v>
      </c>
      <c r="DW155" s="228">
        <v>0.52</v>
      </c>
      <c r="DX155" s="228">
        <v>-0.08</v>
      </c>
      <c r="DY155" s="229">
        <v>-0.15379999999999999</v>
      </c>
      <c r="DZ155" s="229">
        <v>5.5300000000000002E-2</v>
      </c>
      <c r="EA155" s="230">
        <v>772125</v>
      </c>
      <c r="EB155" s="229">
        <v>5.0000000000000001E-3</v>
      </c>
      <c r="EC155" s="229">
        <v>5.5300000000000002E-2</v>
      </c>
      <c r="ED155" s="228">
        <v>5.96</v>
      </c>
      <c r="EE155" s="229">
        <v>4.7000000000000002E-3</v>
      </c>
      <c r="EF155" s="230">
        <v>648564</v>
      </c>
      <c r="EG155" s="230">
        <v>1404728</v>
      </c>
      <c r="EH155" s="229">
        <v>-0.5383</v>
      </c>
      <c r="EI155" s="229">
        <v>0.40010000000000001</v>
      </c>
      <c r="EJ155" s="231">
        <v>123668.55</v>
      </c>
      <c r="EK155" s="231">
        <v>50439.34</v>
      </c>
      <c r="EL155" s="231">
        <v>30394.99</v>
      </c>
      <c r="EM155" s="231">
        <v>5292</v>
      </c>
      <c r="EN155" s="231">
        <v>204502.88</v>
      </c>
      <c r="EO155" s="231">
        <v>224952.27</v>
      </c>
      <c r="EP155" s="231">
        <v>-20449.39</v>
      </c>
      <c r="EQ155" s="229">
        <v>-9.0899999999999995E-2</v>
      </c>
      <c r="ER155" s="231">
        <v>147845</v>
      </c>
      <c r="ES155" s="231">
        <v>74075</v>
      </c>
      <c r="ET155" s="231">
        <v>239118</v>
      </c>
      <c r="EU155" s="231">
        <v>95715382</v>
      </c>
      <c r="EV155" s="231">
        <v>461037</v>
      </c>
      <c r="EW155" s="231">
        <v>443411</v>
      </c>
      <c r="EX155" s="231">
        <v>17626</v>
      </c>
      <c r="EY155" s="229">
        <v>3.9800000000000002E-2</v>
      </c>
      <c r="EZ155" s="229">
        <v>0.37169999999999997</v>
      </c>
      <c r="FA155" s="227" t="s">
        <v>567</v>
      </c>
      <c r="FB155" s="161">
        <f t="shared" si="3"/>
        <v>0</v>
      </c>
    </row>
    <row r="156" spans="1:158" ht="17.25" thickBot="1" x14ac:dyDescent="0.3">
      <c r="A156" s="226">
        <v>46008</v>
      </c>
      <c r="B156" s="227" t="s">
        <v>221</v>
      </c>
      <c r="C156" s="227" t="s">
        <v>529</v>
      </c>
      <c r="D156" s="228">
        <v>100</v>
      </c>
      <c r="E156" s="231">
        <v>6289</v>
      </c>
      <c r="F156" s="231">
        <v>6266.5</v>
      </c>
      <c r="G156" s="228">
        <v>22.5</v>
      </c>
      <c r="H156" s="229">
        <v>3.5999999999999999E-3</v>
      </c>
      <c r="I156" s="231">
        <v>6282.5</v>
      </c>
      <c r="J156" s="231">
        <v>6263</v>
      </c>
      <c r="K156" s="228">
        <v>19.5</v>
      </c>
      <c r="L156" s="229">
        <v>3.0999999999999999E-3</v>
      </c>
      <c r="M156" s="231">
        <v>6289</v>
      </c>
      <c r="N156" s="231">
        <v>6266.5</v>
      </c>
      <c r="O156" s="228">
        <v>22.5</v>
      </c>
      <c r="P156" s="229">
        <v>3.5999999999999999E-3</v>
      </c>
      <c r="Q156" s="231">
        <v>6324.5</v>
      </c>
      <c r="R156" s="231">
        <v>6294</v>
      </c>
      <c r="S156" s="228">
        <v>30.5</v>
      </c>
      <c r="T156" s="229">
        <v>4.7999999999999996E-3</v>
      </c>
      <c r="U156" s="231">
        <v>6346</v>
      </c>
      <c r="V156" s="231">
        <v>6318</v>
      </c>
      <c r="W156" s="228">
        <v>28</v>
      </c>
      <c r="X156" s="229">
        <v>4.4000000000000003E-3</v>
      </c>
      <c r="Y156" s="228">
        <v>6.5</v>
      </c>
      <c r="Z156" s="228">
        <v>3.5</v>
      </c>
      <c r="AA156" s="228">
        <v>3</v>
      </c>
      <c r="AB156" s="229">
        <v>1E-3</v>
      </c>
      <c r="AC156" s="228">
        <v>6.5</v>
      </c>
      <c r="AD156" s="228">
        <v>3.5</v>
      </c>
      <c r="AE156" s="228">
        <v>3</v>
      </c>
      <c r="AF156" s="229">
        <v>1E-3</v>
      </c>
      <c r="AG156" s="228">
        <v>42</v>
      </c>
      <c r="AH156" s="228">
        <v>31</v>
      </c>
      <c r="AI156" s="228">
        <v>11</v>
      </c>
      <c r="AJ156" s="229">
        <v>6.7000000000000002E-3</v>
      </c>
      <c r="AK156" s="228">
        <v>63.5</v>
      </c>
      <c r="AL156" s="228">
        <v>55</v>
      </c>
      <c r="AM156" s="228">
        <v>8.5</v>
      </c>
      <c r="AN156" s="229">
        <v>1.01E-2</v>
      </c>
      <c r="AO156" s="231">
        <v>6308.38</v>
      </c>
      <c r="AP156" s="231">
        <v>6343.3</v>
      </c>
      <c r="AQ156" s="228">
        <v>0</v>
      </c>
      <c r="AR156" s="230">
        <v>361700</v>
      </c>
      <c r="AS156" s="230">
        <v>381900</v>
      </c>
      <c r="AT156" s="230">
        <v>-20200</v>
      </c>
      <c r="AU156" s="229">
        <v>-5.2900000000000003E-2</v>
      </c>
      <c r="AV156" s="230">
        <v>297600</v>
      </c>
      <c r="AW156" s="230">
        <v>336600</v>
      </c>
      <c r="AX156" s="230">
        <v>-39000</v>
      </c>
      <c r="AY156" s="229">
        <v>-0.1159</v>
      </c>
      <c r="AZ156" s="230">
        <v>61600</v>
      </c>
      <c r="BA156" s="230">
        <v>41700</v>
      </c>
      <c r="BB156" s="230">
        <v>19900</v>
      </c>
      <c r="BC156" s="229">
        <v>0.47720000000000001</v>
      </c>
      <c r="BD156" s="230">
        <v>2500</v>
      </c>
      <c r="BE156" s="230">
        <v>3600</v>
      </c>
      <c r="BF156" s="230">
        <v>-1100</v>
      </c>
      <c r="BG156" s="229">
        <v>-0.30559999999999998</v>
      </c>
      <c r="BH156" s="230">
        <v>1334400</v>
      </c>
      <c r="BI156" s="230">
        <v>1158600</v>
      </c>
      <c r="BJ156" s="230">
        <v>175800</v>
      </c>
      <c r="BK156" s="229">
        <v>0.1517</v>
      </c>
      <c r="BL156" s="230">
        <v>621000</v>
      </c>
      <c r="BM156" s="230">
        <v>847800</v>
      </c>
      <c r="BN156" s="230">
        <v>-226800</v>
      </c>
      <c r="BO156" s="229">
        <v>-0.26750000000000002</v>
      </c>
      <c r="BP156" s="230">
        <v>2317100</v>
      </c>
      <c r="BQ156" s="230">
        <v>2388300</v>
      </c>
      <c r="BR156" s="230">
        <v>-71200</v>
      </c>
      <c r="BS156" s="229">
        <v>-2.98E-2</v>
      </c>
      <c r="BT156" s="230">
        <v>222016</v>
      </c>
      <c r="BU156" s="230">
        <v>241024</v>
      </c>
      <c r="BV156" s="230">
        <v>-19008</v>
      </c>
      <c r="BW156" s="229">
        <v>-7.8899999999999998E-2</v>
      </c>
      <c r="BX156" s="230">
        <v>2195000</v>
      </c>
      <c r="BY156" s="230">
        <v>2160400</v>
      </c>
      <c r="BZ156" s="230">
        <v>34600</v>
      </c>
      <c r="CA156" s="229">
        <v>1.6E-2</v>
      </c>
      <c r="CB156" s="230">
        <v>2078900</v>
      </c>
      <c r="CC156" s="230">
        <v>2054500</v>
      </c>
      <c r="CD156" s="230">
        <v>24400</v>
      </c>
      <c r="CE156" s="229">
        <v>1.1900000000000001E-2</v>
      </c>
      <c r="CF156" s="230">
        <v>103200</v>
      </c>
      <c r="CG156" s="230">
        <v>94400</v>
      </c>
      <c r="CH156" s="230">
        <v>8800</v>
      </c>
      <c r="CI156" s="229">
        <v>9.3200000000000005E-2</v>
      </c>
      <c r="CJ156" s="230">
        <v>12900</v>
      </c>
      <c r="CK156" s="230">
        <v>11500</v>
      </c>
      <c r="CL156" s="230">
        <v>1400</v>
      </c>
      <c r="CM156" s="229">
        <v>0.1217</v>
      </c>
      <c r="CN156" s="230">
        <v>1179300</v>
      </c>
      <c r="CO156" s="230">
        <v>1110100</v>
      </c>
      <c r="CP156" s="230">
        <v>69200</v>
      </c>
      <c r="CQ156" s="229">
        <v>6.2300000000000001E-2</v>
      </c>
      <c r="CR156" s="230">
        <v>679100</v>
      </c>
      <c r="CS156" s="230">
        <v>663800</v>
      </c>
      <c r="CT156" s="230">
        <v>15300</v>
      </c>
      <c r="CU156" s="229">
        <v>2.3E-2</v>
      </c>
      <c r="CV156" s="230">
        <v>4053400</v>
      </c>
      <c r="CW156" s="230">
        <v>3934300</v>
      </c>
      <c r="CX156" s="230">
        <v>119100</v>
      </c>
      <c r="CY156" s="229">
        <v>3.0300000000000001E-2</v>
      </c>
      <c r="CZ156" s="228">
        <v>28.05</v>
      </c>
      <c r="DA156" s="228">
        <v>27.93</v>
      </c>
      <c r="DB156" s="228">
        <v>0.12</v>
      </c>
      <c r="DC156" s="228">
        <v>0.12</v>
      </c>
      <c r="DD156" s="228">
        <v>40.19</v>
      </c>
      <c r="DE156" s="228">
        <v>40.29</v>
      </c>
      <c r="DF156" s="228">
        <v>-12.14</v>
      </c>
      <c r="DG156" s="228">
        <v>-0.1</v>
      </c>
      <c r="DH156" s="228">
        <v>28.02</v>
      </c>
      <c r="DI156" s="228">
        <v>27.77</v>
      </c>
      <c r="DJ156" s="228">
        <v>0.25</v>
      </c>
      <c r="DK156" s="228">
        <v>0.25</v>
      </c>
      <c r="DL156" s="228">
        <v>28.11</v>
      </c>
      <c r="DM156" s="228">
        <v>28.15</v>
      </c>
      <c r="DN156" s="228">
        <v>-0.04</v>
      </c>
      <c r="DO156" s="228">
        <v>-0.04</v>
      </c>
      <c r="DP156" s="228">
        <v>0.57999999999999996</v>
      </c>
      <c r="DQ156" s="228">
        <v>0.6</v>
      </c>
      <c r="DR156" s="228">
        <v>-0.02</v>
      </c>
      <c r="DS156" s="229">
        <v>-3.3300000000000003E-2</v>
      </c>
      <c r="DT156" s="231">
        <v>6500</v>
      </c>
      <c r="DU156" s="231">
        <v>6000</v>
      </c>
      <c r="DV156" s="228">
        <v>0.47</v>
      </c>
      <c r="DW156" s="228">
        <v>0.73</v>
      </c>
      <c r="DX156" s="228">
        <v>-0.26</v>
      </c>
      <c r="DY156" s="229">
        <v>-0.35620000000000002</v>
      </c>
      <c r="DZ156" s="229">
        <v>5.2900000000000003E-2</v>
      </c>
      <c r="EA156" s="230">
        <v>105900</v>
      </c>
      <c r="EB156" s="229">
        <v>5.5999999999999999E-3</v>
      </c>
      <c r="EC156" s="229">
        <v>5.2900000000000003E-2</v>
      </c>
      <c r="ED156" s="228">
        <v>34.92</v>
      </c>
      <c r="EE156" s="229">
        <v>5.4999999999999997E-3</v>
      </c>
      <c r="EF156" s="230">
        <v>103721</v>
      </c>
      <c r="EG156" s="230">
        <v>125938</v>
      </c>
      <c r="EH156" s="229">
        <v>-0.1764</v>
      </c>
      <c r="EI156" s="229">
        <v>0.4672</v>
      </c>
      <c r="EJ156" s="231">
        <v>87589.33</v>
      </c>
      <c r="EK156" s="231">
        <v>38495.449999999997</v>
      </c>
      <c r="EL156" s="231">
        <v>22840.19</v>
      </c>
      <c r="EM156" s="231">
        <v>6285</v>
      </c>
      <c r="EN156" s="231">
        <v>148924.97</v>
      </c>
      <c r="EO156" s="231">
        <v>152303.39000000001</v>
      </c>
      <c r="EP156" s="231">
        <v>-3378.42</v>
      </c>
      <c r="EQ156" s="229">
        <v>-2.2200000000000001E-2</v>
      </c>
      <c r="ER156" s="231">
        <v>77633</v>
      </c>
      <c r="ES156" s="231">
        <v>40788</v>
      </c>
      <c r="ET156" s="231">
        <v>138088</v>
      </c>
      <c r="EU156" s="231">
        <v>16151851</v>
      </c>
      <c r="EV156" s="231">
        <v>256509</v>
      </c>
      <c r="EW156" s="231">
        <v>248184</v>
      </c>
      <c r="EX156" s="231">
        <v>8325</v>
      </c>
      <c r="EY156" s="229">
        <v>3.3500000000000002E-2</v>
      </c>
      <c r="EZ156" s="229">
        <v>0.251</v>
      </c>
      <c r="FA156" s="227" t="s">
        <v>555</v>
      </c>
      <c r="FB156" s="161">
        <f t="shared" si="3"/>
        <v>0</v>
      </c>
    </row>
    <row r="157" spans="1:158" ht="17.25" thickBot="1" x14ac:dyDescent="0.3">
      <c r="A157" s="226">
        <v>46008</v>
      </c>
      <c r="B157" s="227" t="s">
        <v>193</v>
      </c>
      <c r="C157" s="227" t="s">
        <v>272</v>
      </c>
      <c r="D157" s="228">
        <v>1800</v>
      </c>
      <c r="E157" s="228">
        <v>269.45</v>
      </c>
      <c r="F157" s="228">
        <v>265.39999999999998</v>
      </c>
      <c r="G157" s="228">
        <v>4.05</v>
      </c>
      <c r="H157" s="229">
        <v>1.5299999999999999E-2</v>
      </c>
      <c r="I157" s="228">
        <v>268.64999999999998</v>
      </c>
      <c r="J157" s="228">
        <v>264.7</v>
      </c>
      <c r="K157" s="228">
        <v>3.95</v>
      </c>
      <c r="L157" s="229">
        <v>1.49E-2</v>
      </c>
      <c r="M157" s="228">
        <v>269.45</v>
      </c>
      <c r="N157" s="228">
        <v>265.39999999999998</v>
      </c>
      <c r="O157" s="228">
        <v>4.05</v>
      </c>
      <c r="P157" s="229">
        <v>1.5299999999999999E-2</v>
      </c>
      <c r="Q157" s="228">
        <v>271</v>
      </c>
      <c r="R157" s="228">
        <v>267.2</v>
      </c>
      <c r="S157" s="228">
        <v>3.8</v>
      </c>
      <c r="T157" s="229">
        <v>1.4200000000000001E-2</v>
      </c>
      <c r="U157" s="228">
        <v>272.3</v>
      </c>
      <c r="V157" s="228">
        <v>268.14999999999998</v>
      </c>
      <c r="W157" s="228">
        <v>4.1500000000000004</v>
      </c>
      <c r="X157" s="229">
        <v>1.55E-2</v>
      </c>
      <c r="Y157" s="228">
        <v>0.8</v>
      </c>
      <c r="Z157" s="228">
        <v>0.7</v>
      </c>
      <c r="AA157" s="228">
        <v>0.1</v>
      </c>
      <c r="AB157" s="229">
        <v>3.0000000000000001E-3</v>
      </c>
      <c r="AC157" s="228">
        <v>0.8</v>
      </c>
      <c r="AD157" s="228">
        <v>0.7</v>
      </c>
      <c r="AE157" s="228">
        <v>0.1</v>
      </c>
      <c r="AF157" s="229">
        <v>3.0000000000000001E-3</v>
      </c>
      <c r="AG157" s="228">
        <v>2.35</v>
      </c>
      <c r="AH157" s="228">
        <v>2.5</v>
      </c>
      <c r="AI157" s="228">
        <v>-0.15</v>
      </c>
      <c r="AJ157" s="229">
        <v>8.6999999999999994E-3</v>
      </c>
      <c r="AK157" s="228">
        <v>3.65</v>
      </c>
      <c r="AL157" s="228">
        <v>3.45</v>
      </c>
      <c r="AM157" s="228">
        <v>0.2</v>
      </c>
      <c r="AN157" s="229">
        <v>1.3599999999999999E-2</v>
      </c>
      <c r="AO157" s="228">
        <v>268.94</v>
      </c>
      <c r="AP157" s="228">
        <v>270.81</v>
      </c>
      <c r="AQ157" s="228">
        <v>0</v>
      </c>
      <c r="AR157" s="230">
        <v>3029400</v>
      </c>
      <c r="AS157" s="230">
        <v>3220200</v>
      </c>
      <c r="AT157" s="230">
        <v>-190800</v>
      </c>
      <c r="AU157" s="229">
        <v>-5.9299999999999999E-2</v>
      </c>
      <c r="AV157" s="230">
        <v>2514600</v>
      </c>
      <c r="AW157" s="230">
        <v>2554200</v>
      </c>
      <c r="AX157" s="230">
        <v>-39600</v>
      </c>
      <c r="AY157" s="229">
        <v>-1.55E-2</v>
      </c>
      <c r="AZ157" s="230">
        <v>493200</v>
      </c>
      <c r="BA157" s="230">
        <v>615600</v>
      </c>
      <c r="BB157" s="230">
        <v>-122400</v>
      </c>
      <c r="BC157" s="229">
        <v>-0.1988</v>
      </c>
      <c r="BD157" s="230">
        <v>21600</v>
      </c>
      <c r="BE157" s="230">
        <v>50400</v>
      </c>
      <c r="BF157" s="230">
        <v>-28800</v>
      </c>
      <c r="BG157" s="229">
        <v>-0.57140000000000002</v>
      </c>
      <c r="BH157" s="230">
        <v>5902200</v>
      </c>
      <c r="BI157" s="230">
        <v>8083800</v>
      </c>
      <c r="BJ157" s="230">
        <v>-2181600</v>
      </c>
      <c r="BK157" s="229">
        <v>-0.26989999999999997</v>
      </c>
      <c r="BL157" s="230">
        <v>4107600</v>
      </c>
      <c r="BM157" s="230">
        <v>5284800</v>
      </c>
      <c r="BN157" s="230">
        <v>-1177200</v>
      </c>
      <c r="BO157" s="229">
        <v>-0.2228</v>
      </c>
      <c r="BP157" s="230">
        <v>13039200</v>
      </c>
      <c r="BQ157" s="230">
        <v>16588800</v>
      </c>
      <c r="BR157" s="230">
        <v>-3549600</v>
      </c>
      <c r="BS157" s="229">
        <v>-0.214</v>
      </c>
      <c r="BT157" s="230">
        <v>1481782</v>
      </c>
      <c r="BU157" s="230">
        <v>1694590</v>
      </c>
      <c r="BV157" s="230">
        <v>-212808</v>
      </c>
      <c r="BW157" s="229">
        <v>-0.12559999999999999</v>
      </c>
      <c r="BX157" s="230">
        <v>47247200</v>
      </c>
      <c r="BY157" s="230">
        <v>47419000</v>
      </c>
      <c r="BZ157" s="230">
        <v>-171800</v>
      </c>
      <c r="CA157" s="229">
        <v>-3.5999999999999999E-3</v>
      </c>
      <c r="CB157" s="230">
        <v>43606800</v>
      </c>
      <c r="CC157" s="230">
        <v>43831800</v>
      </c>
      <c r="CD157" s="230">
        <v>-225000</v>
      </c>
      <c r="CE157" s="229">
        <v>-5.1000000000000004E-3</v>
      </c>
      <c r="CF157" s="230">
        <v>3404800</v>
      </c>
      <c r="CG157" s="230">
        <v>3347800</v>
      </c>
      <c r="CH157" s="230">
        <v>57000</v>
      </c>
      <c r="CI157" s="229">
        <v>1.7000000000000001E-2</v>
      </c>
      <c r="CJ157" s="230">
        <v>235600</v>
      </c>
      <c r="CK157" s="230">
        <v>239400</v>
      </c>
      <c r="CL157" s="230">
        <v>-3800</v>
      </c>
      <c r="CM157" s="229">
        <v>-1.5900000000000001E-2</v>
      </c>
      <c r="CN157" s="230">
        <v>17231300</v>
      </c>
      <c r="CO157" s="230">
        <v>17810700</v>
      </c>
      <c r="CP157" s="230">
        <v>-579400</v>
      </c>
      <c r="CQ157" s="229">
        <v>-3.2500000000000001E-2</v>
      </c>
      <c r="CR157" s="230">
        <v>17469700</v>
      </c>
      <c r="CS157" s="230">
        <v>17672300</v>
      </c>
      <c r="CT157" s="230">
        <v>-202600</v>
      </c>
      <c r="CU157" s="229">
        <v>-1.15E-2</v>
      </c>
      <c r="CV157" s="230">
        <v>81948200</v>
      </c>
      <c r="CW157" s="230">
        <v>82902000</v>
      </c>
      <c r="CX157" s="230">
        <v>-953800</v>
      </c>
      <c r="CY157" s="229">
        <v>-1.15E-2</v>
      </c>
      <c r="CZ157" s="228">
        <v>20.2</v>
      </c>
      <c r="DA157" s="228">
        <v>22.21</v>
      </c>
      <c r="DB157" s="228">
        <v>-2.0099999999999998</v>
      </c>
      <c r="DC157" s="228">
        <v>-2.0099999999999998</v>
      </c>
      <c r="DD157" s="228">
        <v>31.26</v>
      </c>
      <c r="DE157" s="228">
        <v>31.27</v>
      </c>
      <c r="DF157" s="228">
        <v>-11.06</v>
      </c>
      <c r="DG157" s="228">
        <v>-0.01</v>
      </c>
      <c r="DH157" s="228">
        <v>20.25</v>
      </c>
      <c r="DI157" s="228">
        <v>23.12</v>
      </c>
      <c r="DJ157" s="228">
        <v>-2.87</v>
      </c>
      <c r="DK157" s="228">
        <v>-2.87</v>
      </c>
      <c r="DL157" s="228">
        <v>20.13</v>
      </c>
      <c r="DM157" s="228">
        <v>20.82</v>
      </c>
      <c r="DN157" s="228">
        <v>-0.69</v>
      </c>
      <c r="DO157" s="228">
        <v>-0.69</v>
      </c>
      <c r="DP157" s="228">
        <v>1.01</v>
      </c>
      <c r="DQ157" s="228">
        <v>0.99</v>
      </c>
      <c r="DR157" s="228">
        <v>0.02</v>
      </c>
      <c r="DS157" s="229">
        <v>2.0199999999999999E-2</v>
      </c>
      <c r="DT157" s="228">
        <v>300</v>
      </c>
      <c r="DU157" s="228">
        <v>300</v>
      </c>
      <c r="DV157" s="228">
        <v>0.7</v>
      </c>
      <c r="DW157" s="228">
        <v>0.65</v>
      </c>
      <c r="DX157" s="228">
        <v>0.05</v>
      </c>
      <c r="DY157" s="229">
        <v>7.6899999999999996E-2</v>
      </c>
      <c r="DZ157" s="229">
        <v>7.7100000000000002E-2</v>
      </c>
      <c r="EA157" s="230">
        <v>3587200</v>
      </c>
      <c r="EB157" s="229">
        <v>5.7999999999999996E-3</v>
      </c>
      <c r="EC157" s="229">
        <v>7.7100000000000002E-2</v>
      </c>
      <c r="ED157" s="228">
        <v>1.87</v>
      </c>
      <c r="EE157" s="229">
        <v>7.0000000000000001E-3</v>
      </c>
      <c r="EF157" s="230">
        <v>888482</v>
      </c>
      <c r="EG157" s="230">
        <v>1024600</v>
      </c>
      <c r="EH157" s="229">
        <v>-0.1328</v>
      </c>
      <c r="EI157" s="229">
        <v>0.59960000000000002</v>
      </c>
      <c r="EJ157" s="231">
        <v>16450.91</v>
      </c>
      <c r="EK157" s="231">
        <v>10897.05</v>
      </c>
      <c r="EL157" s="231">
        <v>8234.86</v>
      </c>
      <c r="EM157" s="231">
        <v>1391</v>
      </c>
      <c r="EN157" s="231">
        <v>35582.82</v>
      </c>
      <c r="EO157" s="231">
        <v>45515.29</v>
      </c>
      <c r="EP157" s="231">
        <v>-9932.4699999999993</v>
      </c>
      <c r="EQ157" s="229">
        <v>-0.21820000000000001</v>
      </c>
      <c r="ER157" s="231">
        <v>49052</v>
      </c>
      <c r="ES157" s="231">
        <v>47859</v>
      </c>
      <c r="ET157" s="231">
        <v>127367</v>
      </c>
      <c r="EU157" s="231">
        <v>93668136</v>
      </c>
      <c r="EV157" s="231">
        <v>224278</v>
      </c>
      <c r="EW157" s="231">
        <v>224912</v>
      </c>
      <c r="EX157" s="228">
        <v>-634</v>
      </c>
      <c r="EY157" s="229">
        <v>-2.8E-3</v>
      </c>
      <c r="EZ157" s="229">
        <v>0.87490000000000001</v>
      </c>
      <c r="FA157" s="227" t="s">
        <v>556</v>
      </c>
      <c r="FB157" s="161">
        <f t="shared" si="3"/>
        <v>0</v>
      </c>
    </row>
    <row r="158" spans="1:158" ht="17.25" thickBot="1" x14ac:dyDescent="0.3">
      <c r="A158" s="226">
        <v>46008</v>
      </c>
      <c r="B158" s="227" t="s">
        <v>175</v>
      </c>
      <c r="C158" s="227" t="s">
        <v>273</v>
      </c>
      <c r="D158" s="228">
        <v>1300</v>
      </c>
      <c r="E158" s="228">
        <v>336.75</v>
      </c>
      <c r="F158" s="228">
        <v>337.15</v>
      </c>
      <c r="G158" s="228">
        <v>-0.4</v>
      </c>
      <c r="H158" s="229">
        <v>-1.1999999999999999E-3</v>
      </c>
      <c r="I158" s="228">
        <v>335.65</v>
      </c>
      <c r="J158" s="228">
        <v>336.15</v>
      </c>
      <c r="K158" s="228">
        <v>-0.5</v>
      </c>
      <c r="L158" s="229">
        <v>-1.5E-3</v>
      </c>
      <c r="M158" s="228">
        <v>336.75</v>
      </c>
      <c r="N158" s="228">
        <v>337.15</v>
      </c>
      <c r="O158" s="228">
        <v>-0.4</v>
      </c>
      <c r="P158" s="229">
        <v>-1.1999999999999999E-3</v>
      </c>
      <c r="Q158" s="228">
        <v>338.7</v>
      </c>
      <c r="R158" s="228">
        <v>339.05</v>
      </c>
      <c r="S158" s="228">
        <v>-0.35</v>
      </c>
      <c r="T158" s="229">
        <v>-1E-3</v>
      </c>
      <c r="U158" s="228">
        <v>339.7</v>
      </c>
      <c r="V158" s="228">
        <v>340</v>
      </c>
      <c r="W158" s="228">
        <v>-0.3</v>
      </c>
      <c r="X158" s="229">
        <v>-8.9999999999999998E-4</v>
      </c>
      <c r="Y158" s="228">
        <v>1.1000000000000001</v>
      </c>
      <c r="Z158" s="228">
        <v>1</v>
      </c>
      <c r="AA158" s="228">
        <v>0.1</v>
      </c>
      <c r="AB158" s="229">
        <v>3.3E-3</v>
      </c>
      <c r="AC158" s="228">
        <v>1.1000000000000001</v>
      </c>
      <c r="AD158" s="228">
        <v>1</v>
      </c>
      <c r="AE158" s="228">
        <v>0.1</v>
      </c>
      <c r="AF158" s="229">
        <v>3.3E-3</v>
      </c>
      <c r="AG158" s="228">
        <v>3.05</v>
      </c>
      <c r="AH158" s="228">
        <v>2.9</v>
      </c>
      <c r="AI158" s="228">
        <v>0.15</v>
      </c>
      <c r="AJ158" s="229">
        <v>9.1000000000000004E-3</v>
      </c>
      <c r="AK158" s="228">
        <v>4.05</v>
      </c>
      <c r="AL158" s="228">
        <v>3.85</v>
      </c>
      <c r="AM158" s="228">
        <v>0.2</v>
      </c>
      <c r="AN158" s="229">
        <v>1.21E-2</v>
      </c>
      <c r="AO158" s="228">
        <v>337.48</v>
      </c>
      <c r="AP158" s="228">
        <v>339.67</v>
      </c>
      <c r="AQ158" s="228">
        <v>0</v>
      </c>
      <c r="AR158" s="230">
        <v>5917600</v>
      </c>
      <c r="AS158" s="230">
        <v>6802900</v>
      </c>
      <c r="AT158" s="230">
        <v>-885300</v>
      </c>
      <c r="AU158" s="229">
        <v>-0.13009999999999999</v>
      </c>
      <c r="AV158" s="230">
        <v>4208100</v>
      </c>
      <c r="AW158" s="230">
        <v>5028400</v>
      </c>
      <c r="AX158" s="230">
        <v>-820300</v>
      </c>
      <c r="AY158" s="229">
        <v>-0.16309999999999999</v>
      </c>
      <c r="AZ158" s="230">
        <v>1405300</v>
      </c>
      <c r="BA158" s="230">
        <v>1524900</v>
      </c>
      <c r="BB158" s="230">
        <v>-119600</v>
      </c>
      <c r="BC158" s="229">
        <v>-7.8399999999999997E-2</v>
      </c>
      <c r="BD158" s="230">
        <v>304200</v>
      </c>
      <c r="BE158" s="230">
        <v>249600</v>
      </c>
      <c r="BF158" s="230">
        <v>54600</v>
      </c>
      <c r="BG158" s="229">
        <v>0.21879999999999999</v>
      </c>
      <c r="BH158" s="230">
        <v>25807600</v>
      </c>
      <c r="BI158" s="230">
        <v>29815500</v>
      </c>
      <c r="BJ158" s="230">
        <v>-4007900</v>
      </c>
      <c r="BK158" s="229">
        <v>-0.13439999999999999</v>
      </c>
      <c r="BL158" s="230">
        <v>9803300</v>
      </c>
      <c r="BM158" s="230">
        <v>10871900</v>
      </c>
      <c r="BN158" s="230">
        <v>-1068600</v>
      </c>
      <c r="BO158" s="229">
        <v>-9.8299999999999998E-2</v>
      </c>
      <c r="BP158" s="230">
        <v>41528500</v>
      </c>
      <c r="BQ158" s="230">
        <v>47490300</v>
      </c>
      <c r="BR158" s="230">
        <v>-5961800</v>
      </c>
      <c r="BS158" s="229">
        <v>-0.1255</v>
      </c>
      <c r="BT158" s="230">
        <v>4893980</v>
      </c>
      <c r="BU158" s="230">
        <v>8152581</v>
      </c>
      <c r="BV158" s="230">
        <v>-3258601</v>
      </c>
      <c r="BW158" s="229">
        <v>-0.3997</v>
      </c>
      <c r="BX158" s="230">
        <v>86513700</v>
      </c>
      <c r="BY158" s="230">
        <v>85754500</v>
      </c>
      <c r="BZ158" s="230">
        <v>759200</v>
      </c>
      <c r="CA158" s="229">
        <v>8.8999999999999999E-3</v>
      </c>
      <c r="CB158" s="230">
        <v>76031800</v>
      </c>
      <c r="CC158" s="230">
        <v>76191700</v>
      </c>
      <c r="CD158" s="230">
        <v>-159900</v>
      </c>
      <c r="CE158" s="229">
        <v>-2.0999999999999999E-3</v>
      </c>
      <c r="CF158" s="230">
        <v>8828300</v>
      </c>
      <c r="CG158" s="230">
        <v>8086000</v>
      </c>
      <c r="CH158" s="230">
        <v>742300</v>
      </c>
      <c r="CI158" s="229">
        <v>9.1800000000000007E-2</v>
      </c>
      <c r="CJ158" s="230">
        <v>1653600</v>
      </c>
      <c r="CK158" s="230">
        <v>1476800</v>
      </c>
      <c r="CL158" s="230">
        <v>176800</v>
      </c>
      <c r="CM158" s="229">
        <v>0.1197</v>
      </c>
      <c r="CN158" s="230">
        <v>49874500</v>
      </c>
      <c r="CO158" s="230">
        <v>52009100</v>
      </c>
      <c r="CP158" s="230">
        <v>-2134600</v>
      </c>
      <c r="CQ158" s="229">
        <v>-4.1000000000000002E-2</v>
      </c>
      <c r="CR158" s="230">
        <v>29569800</v>
      </c>
      <c r="CS158" s="230">
        <v>29344900</v>
      </c>
      <c r="CT158" s="230">
        <v>224900</v>
      </c>
      <c r="CU158" s="229">
        <v>7.7000000000000002E-3</v>
      </c>
      <c r="CV158" s="230">
        <v>165958000</v>
      </c>
      <c r="CW158" s="230">
        <v>167108500</v>
      </c>
      <c r="CX158" s="230">
        <v>-1150500</v>
      </c>
      <c r="CY158" s="229">
        <v>-6.8999999999999999E-3</v>
      </c>
      <c r="CZ158" s="228">
        <v>23.22</v>
      </c>
      <c r="DA158" s="228">
        <v>23.2</v>
      </c>
      <c r="DB158" s="228">
        <v>0.02</v>
      </c>
      <c r="DC158" s="228">
        <v>0.02</v>
      </c>
      <c r="DD158" s="228">
        <v>41.44</v>
      </c>
      <c r="DE158" s="228">
        <v>41.54</v>
      </c>
      <c r="DF158" s="228">
        <v>-18.22</v>
      </c>
      <c r="DG158" s="228">
        <v>-0.1</v>
      </c>
      <c r="DH158" s="228">
        <v>24.08</v>
      </c>
      <c r="DI158" s="228">
        <v>23.69</v>
      </c>
      <c r="DJ158" s="228">
        <v>0.39</v>
      </c>
      <c r="DK158" s="228">
        <v>0.39</v>
      </c>
      <c r="DL158" s="228">
        <v>20.96</v>
      </c>
      <c r="DM158" s="228">
        <v>21.85</v>
      </c>
      <c r="DN158" s="228">
        <v>-0.89</v>
      </c>
      <c r="DO158" s="228">
        <v>-0.89</v>
      </c>
      <c r="DP158" s="228">
        <v>0.59</v>
      </c>
      <c r="DQ158" s="228">
        <v>0.56000000000000005</v>
      </c>
      <c r="DR158" s="228">
        <v>0.03</v>
      </c>
      <c r="DS158" s="229">
        <v>5.3600000000000002E-2</v>
      </c>
      <c r="DT158" s="228">
        <v>350</v>
      </c>
      <c r="DU158" s="228">
        <v>360</v>
      </c>
      <c r="DV158" s="228">
        <v>0.38</v>
      </c>
      <c r="DW158" s="228">
        <v>0.36</v>
      </c>
      <c r="DX158" s="228">
        <v>0.02</v>
      </c>
      <c r="DY158" s="229">
        <v>5.5599999999999997E-2</v>
      </c>
      <c r="DZ158" s="229">
        <v>0.1212</v>
      </c>
      <c r="EA158" s="230">
        <v>9562800</v>
      </c>
      <c r="EB158" s="229">
        <v>5.7999999999999996E-3</v>
      </c>
      <c r="EC158" s="229">
        <v>0.1212</v>
      </c>
      <c r="ED158" s="228">
        <v>2.19</v>
      </c>
      <c r="EE158" s="229">
        <v>6.4999999999999997E-3</v>
      </c>
      <c r="EF158" s="230">
        <v>2696378</v>
      </c>
      <c r="EG158" s="230">
        <v>5895947</v>
      </c>
      <c r="EH158" s="229">
        <v>-0.54269999999999996</v>
      </c>
      <c r="EI158" s="229">
        <v>0.55100000000000005</v>
      </c>
      <c r="EJ158" s="231">
        <v>91391.01</v>
      </c>
      <c r="EK158" s="231">
        <v>33447.51</v>
      </c>
      <c r="EL158" s="231">
        <v>20012.38</v>
      </c>
      <c r="EM158" s="231">
        <v>5214</v>
      </c>
      <c r="EN158" s="231">
        <v>144850.9</v>
      </c>
      <c r="EO158" s="231">
        <v>165821.5</v>
      </c>
      <c r="EP158" s="231">
        <v>-20970.599999999999</v>
      </c>
      <c r="EQ158" s="229">
        <v>-0.1265</v>
      </c>
      <c r="ER158" s="231">
        <v>183016</v>
      </c>
      <c r="ES158" s="231">
        <v>107371</v>
      </c>
      <c r="ET158" s="231">
        <v>291556</v>
      </c>
      <c r="EU158" s="231">
        <v>203602113</v>
      </c>
      <c r="EV158" s="231">
        <v>581942</v>
      </c>
      <c r="EW158" s="231">
        <v>587202</v>
      </c>
      <c r="EX158" s="231">
        <v>-5260</v>
      </c>
      <c r="EY158" s="229">
        <v>-8.9999999999999993E-3</v>
      </c>
      <c r="EZ158" s="229">
        <v>0.81510000000000005</v>
      </c>
      <c r="FA158" s="227" t="s">
        <v>567</v>
      </c>
      <c r="FB158" s="161">
        <f t="shared" si="3"/>
        <v>0</v>
      </c>
    </row>
    <row r="159" spans="1:158" ht="17.25" thickBot="1" x14ac:dyDescent="0.3">
      <c r="A159" s="226">
        <v>46008</v>
      </c>
      <c r="B159" s="227" t="s">
        <v>184</v>
      </c>
      <c r="C159" s="227" t="s">
        <v>681</v>
      </c>
      <c r="D159" s="228">
        <v>700</v>
      </c>
      <c r="E159" s="228">
        <v>563.65</v>
      </c>
      <c r="F159" s="228">
        <v>570.54999999999995</v>
      </c>
      <c r="G159" s="228">
        <v>-6.9</v>
      </c>
      <c r="H159" s="229">
        <v>-1.21E-2</v>
      </c>
      <c r="I159" s="228">
        <v>563.75</v>
      </c>
      <c r="J159" s="228">
        <v>570.95000000000005</v>
      </c>
      <c r="K159" s="228">
        <v>-7.2</v>
      </c>
      <c r="L159" s="229">
        <v>-1.26E-2</v>
      </c>
      <c r="M159" s="228">
        <v>563.65</v>
      </c>
      <c r="N159" s="228">
        <v>570.54999999999995</v>
      </c>
      <c r="O159" s="228">
        <v>-6.9</v>
      </c>
      <c r="P159" s="229">
        <v>-1.21E-2</v>
      </c>
      <c r="Q159" s="228">
        <v>566.29999999999995</v>
      </c>
      <c r="R159" s="228">
        <v>573.45000000000005</v>
      </c>
      <c r="S159" s="228">
        <v>-7.15</v>
      </c>
      <c r="T159" s="229">
        <v>-1.2500000000000001E-2</v>
      </c>
      <c r="U159" s="228">
        <v>569.95000000000005</v>
      </c>
      <c r="V159" s="228">
        <v>573.54999999999995</v>
      </c>
      <c r="W159" s="228">
        <v>-3.6</v>
      </c>
      <c r="X159" s="229">
        <v>-6.3E-3</v>
      </c>
      <c r="Y159" s="228">
        <v>-0.1</v>
      </c>
      <c r="Z159" s="228">
        <v>-0.4</v>
      </c>
      <c r="AA159" s="228">
        <v>0.3</v>
      </c>
      <c r="AB159" s="229">
        <v>-2.0000000000000001E-4</v>
      </c>
      <c r="AC159" s="228">
        <v>-0.1</v>
      </c>
      <c r="AD159" s="228">
        <v>-0.4</v>
      </c>
      <c r="AE159" s="228">
        <v>0.3</v>
      </c>
      <c r="AF159" s="229">
        <v>-2.0000000000000001E-4</v>
      </c>
      <c r="AG159" s="228">
        <v>2.5499999999999998</v>
      </c>
      <c r="AH159" s="228">
        <v>2.5</v>
      </c>
      <c r="AI159" s="228">
        <v>0.05</v>
      </c>
      <c r="AJ159" s="229">
        <v>4.4999999999999997E-3</v>
      </c>
      <c r="AK159" s="228">
        <v>6.2</v>
      </c>
      <c r="AL159" s="228">
        <v>2.6</v>
      </c>
      <c r="AM159" s="228">
        <v>3.6</v>
      </c>
      <c r="AN159" s="229">
        <v>1.0999999999999999E-2</v>
      </c>
      <c r="AO159" s="228">
        <v>563.65</v>
      </c>
      <c r="AP159" s="228">
        <v>566.78</v>
      </c>
      <c r="AQ159" s="228">
        <v>0</v>
      </c>
      <c r="AR159" s="230">
        <v>1470000</v>
      </c>
      <c r="AS159" s="230">
        <v>2650900</v>
      </c>
      <c r="AT159" s="230">
        <v>-1180900</v>
      </c>
      <c r="AU159" s="229">
        <v>-0.44550000000000001</v>
      </c>
      <c r="AV159" s="230">
        <v>1291500</v>
      </c>
      <c r="AW159" s="230">
        <v>2384900</v>
      </c>
      <c r="AX159" s="230">
        <v>-1093400</v>
      </c>
      <c r="AY159" s="229">
        <v>-0.45850000000000002</v>
      </c>
      <c r="AZ159" s="230">
        <v>165200</v>
      </c>
      <c r="BA159" s="230">
        <v>224000</v>
      </c>
      <c r="BB159" s="230">
        <v>-58800</v>
      </c>
      <c r="BC159" s="229">
        <v>-0.26250000000000001</v>
      </c>
      <c r="BD159" s="230">
        <v>13300</v>
      </c>
      <c r="BE159" s="230">
        <v>42000</v>
      </c>
      <c r="BF159" s="230">
        <v>-28700</v>
      </c>
      <c r="BG159" s="229">
        <v>-0.68330000000000002</v>
      </c>
      <c r="BH159" s="230">
        <v>7431200</v>
      </c>
      <c r="BI159" s="230">
        <v>11116700</v>
      </c>
      <c r="BJ159" s="230">
        <v>-3685500</v>
      </c>
      <c r="BK159" s="229">
        <v>-0.33150000000000002</v>
      </c>
      <c r="BL159" s="230">
        <v>3080000</v>
      </c>
      <c r="BM159" s="230">
        <v>4123700</v>
      </c>
      <c r="BN159" s="230">
        <v>-1043700</v>
      </c>
      <c r="BO159" s="229">
        <v>-0.25309999999999999</v>
      </c>
      <c r="BP159" s="230">
        <v>11981200</v>
      </c>
      <c r="BQ159" s="230">
        <v>17891300</v>
      </c>
      <c r="BR159" s="230">
        <v>-5910100</v>
      </c>
      <c r="BS159" s="229">
        <v>-0.33029999999999998</v>
      </c>
      <c r="BT159" s="230">
        <v>1519721</v>
      </c>
      <c r="BU159" s="230">
        <v>2767546</v>
      </c>
      <c r="BV159" s="230">
        <v>-1247825</v>
      </c>
      <c r="BW159" s="229">
        <v>-0.45090000000000002</v>
      </c>
      <c r="BX159" s="230">
        <v>9993850</v>
      </c>
      <c r="BY159" s="230">
        <v>10035400</v>
      </c>
      <c r="BZ159" s="230">
        <v>-41550</v>
      </c>
      <c r="CA159" s="229">
        <v>-4.1000000000000003E-3</v>
      </c>
      <c r="CB159" s="230">
        <v>9464700</v>
      </c>
      <c r="CC159" s="230">
        <v>9505300</v>
      </c>
      <c r="CD159" s="230">
        <v>-40600</v>
      </c>
      <c r="CE159" s="229">
        <v>-4.3E-3</v>
      </c>
      <c r="CF159" s="230">
        <v>464550</v>
      </c>
      <c r="CG159" s="230">
        <v>464550</v>
      </c>
      <c r="CH159" s="228">
        <v>0</v>
      </c>
      <c r="CI159" s="229">
        <v>0</v>
      </c>
      <c r="CJ159" s="230">
        <v>64600</v>
      </c>
      <c r="CK159" s="230">
        <v>65550</v>
      </c>
      <c r="CL159" s="228">
        <v>-950</v>
      </c>
      <c r="CM159" s="229">
        <v>-1.4500000000000001E-2</v>
      </c>
      <c r="CN159" s="230">
        <v>8940150</v>
      </c>
      <c r="CO159" s="230">
        <v>8722850</v>
      </c>
      <c r="CP159" s="230">
        <v>217300</v>
      </c>
      <c r="CQ159" s="229">
        <v>2.4899999999999999E-2</v>
      </c>
      <c r="CR159" s="230">
        <v>5629650</v>
      </c>
      <c r="CS159" s="230">
        <v>5572750</v>
      </c>
      <c r="CT159" s="230">
        <v>56900</v>
      </c>
      <c r="CU159" s="229">
        <v>1.0200000000000001E-2</v>
      </c>
      <c r="CV159" s="230">
        <v>24563650</v>
      </c>
      <c r="CW159" s="230">
        <v>24331000</v>
      </c>
      <c r="CX159" s="230">
        <v>232650</v>
      </c>
      <c r="CY159" s="229">
        <v>9.5999999999999992E-3</v>
      </c>
      <c r="CZ159" s="228">
        <v>37.03</v>
      </c>
      <c r="DA159" s="228">
        <v>39.090000000000003</v>
      </c>
      <c r="DB159" s="228">
        <v>-2.06</v>
      </c>
      <c r="DC159" s="228">
        <v>-2.06</v>
      </c>
      <c r="DD159" s="228">
        <v>66.28</v>
      </c>
      <c r="DE159" s="228">
        <v>66.430000000000007</v>
      </c>
      <c r="DF159" s="228">
        <v>-29.25</v>
      </c>
      <c r="DG159" s="228">
        <v>-0.15</v>
      </c>
      <c r="DH159" s="228">
        <v>37.44</v>
      </c>
      <c r="DI159" s="228">
        <v>39.69</v>
      </c>
      <c r="DJ159" s="228">
        <v>-2.25</v>
      </c>
      <c r="DK159" s="228">
        <v>-2.25</v>
      </c>
      <c r="DL159" s="228">
        <v>36.06</v>
      </c>
      <c r="DM159" s="228">
        <v>37.479999999999997</v>
      </c>
      <c r="DN159" s="228">
        <v>-1.42</v>
      </c>
      <c r="DO159" s="228">
        <v>-1.42</v>
      </c>
      <c r="DP159" s="228">
        <v>0.63</v>
      </c>
      <c r="DQ159" s="228">
        <v>0.64</v>
      </c>
      <c r="DR159" s="228">
        <v>-0.01</v>
      </c>
      <c r="DS159" s="229">
        <v>-1.5599999999999999E-2</v>
      </c>
      <c r="DT159" s="228">
        <v>600</v>
      </c>
      <c r="DU159" s="228">
        <v>540</v>
      </c>
      <c r="DV159" s="228">
        <v>0.41</v>
      </c>
      <c r="DW159" s="228">
        <v>0.37</v>
      </c>
      <c r="DX159" s="228">
        <v>0.04</v>
      </c>
      <c r="DY159" s="229">
        <v>0.1081</v>
      </c>
      <c r="DZ159" s="229">
        <v>5.2900000000000003E-2</v>
      </c>
      <c r="EA159" s="230">
        <v>530100</v>
      </c>
      <c r="EB159" s="229">
        <v>4.7000000000000002E-3</v>
      </c>
      <c r="EC159" s="229">
        <v>5.2900000000000003E-2</v>
      </c>
      <c r="ED159" s="228">
        <v>3.13</v>
      </c>
      <c r="EE159" s="229">
        <v>5.5999999999999999E-3</v>
      </c>
      <c r="EF159" s="230">
        <v>558667</v>
      </c>
      <c r="EG159" s="230">
        <v>968171</v>
      </c>
      <c r="EH159" s="229">
        <v>-0.42299999999999999</v>
      </c>
      <c r="EI159" s="229">
        <v>0.36759999999999998</v>
      </c>
      <c r="EJ159" s="231">
        <v>44441.73</v>
      </c>
      <c r="EK159" s="231">
        <v>17080.61</v>
      </c>
      <c r="EL159" s="231">
        <v>8653.51</v>
      </c>
      <c r="EM159" s="231">
        <v>4120</v>
      </c>
      <c r="EN159" s="231">
        <v>70175.850000000006</v>
      </c>
      <c r="EO159" s="231">
        <v>104809.2</v>
      </c>
      <c r="EP159" s="231">
        <v>-34633.35</v>
      </c>
      <c r="EQ159" s="229">
        <v>-0.33040000000000003</v>
      </c>
      <c r="ER159" s="231">
        <v>53347</v>
      </c>
      <c r="ES159" s="231">
        <v>30093</v>
      </c>
      <c r="ET159" s="231">
        <v>56347</v>
      </c>
      <c r="EU159" s="231">
        <v>23897684</v>
      </c>
      <c r="EV159" s="231">
        <v>139787</v>
      </c>
      <c r="EW159" s="231">
        <v>139132</v>
      </c>
      <c r="EX159" s="228">
        <v>655</v>
      </c>
      <c r="EY159" s="229">
        <v>4.7000000000000002E-3</v>
      </c>
      <c r="EZ159" s="229">
        <v>1.0279</v>
      </c>
      <c r="FA159" s="227" t="s">
        <v>568</v>
      </c>
      <c r="FB159" s="161">
        <f t="shared" si="3"/>
        <v>0</v>
      </c>
    </row>
    <row r="160" spans="1:158" ht="17.25" thickBot="1" x14ac:dyDescent="0.3">
      <c r="A160" s="226">
        <v>46008</v>
      </c>
      <c r="B160" s="227" t="s">
        <v>206</v>
      </c>
      <c r="C160" s="227" t="s">
        <v>645</v>
      </c>
      <c r="D160" s="228">
        <v>350</v>
      </c>
      <c r="E160" s="231">
        <v>1782.5</v>
      </c>
      <c r="F160" s="231">
        <v>1782.8</v>
      </c>
      <c r="G160" s="228">
        <v>-0.3</v>
      </c>
      <c r="H160" s="229">
        <v>-2.0000000000000001E-4</v>
      </c>
      <c r="I160" s="231">
        <v>1781.5</v>
      </c>
      <c r="J160" s="231">
        <v>1781</v>
      </c>
      <c r="K160" s="228">
        <v>0.5</v>
      </c>
      <c r="L160" s="229">
        <v>2.9999999999999997E-4</v>
      </c>
      <c r="M160" s="231">
        <v>1782.5</v>
      </c>
      <c r="N160" s="231">
        <v>1782.8</v>
      </c>
      <c r="O160" s="228">
        <v>-0.3</v>
      </c>
      <c r="P160" s="229">
        <v>-2.0000000000000001E-4</v>
      </c>
      <c r="Q160" s="231">
        <v>1791.4</v>
      </c>
      <c r="R160" s="231">
        <v>1793.6</v>
      </c>
      <c r="S160" s="228">
        <v>-2.2000000000000002</v>
      </c>
      <c r="T160" s="229">
        <v>-1.1999999999999999E-3</v>
      </c>
      <c r="U160" s="231">
        <v>1800.9</v>
      </c>
      <c r="V160" s="231">
        <v>1820</v>
      </c>
      <c r="W160" s="228">
        <v>-19.100000000000001</v>
      </c>
      <c r="X160" s="229">
        <v>-1.0500000000000001E-2</v>
      </c>
      <c r="Y160" s="228">
        <v>1</v>
      </c>
      <c r="Z160" s="228">
        <v>1.8</v>
      </c>
      <c r="AA160" s="228">
        <v>-0.8</v>
      </c>
      <c r="AB160" s="229">
        <v>5.9999999999999995E-4</v>
      </c>
      <c r="AC160" s="228">
        <v>1</v>
      </c>
      <c r="AD160" s="228">
        <v>1.8</v>
      </c>
      <c r="AE160" s="228">
        <v>-0.8</v>
      </c>
      <c r="AF160" s="229">
        <v>5.9999999999999995E-4</v>
      </c>
      <c r="AG160" s="228">
        <v>9.9</v>
      </c>
      <c r="AH160" s="228">
        <v>12.6</v>
      </c>
      <c r="AI160" s="228">
        <v>-2.7</v>
      </c>
      <c r="AJ160" s="229">
        <v>5.5999999999999999E-3</v>
      </c>
      <c r="AK160" s="228">
        <v>19.399999999999999</v>
      </c>
      <c r="AL160" s="228">
        <v>39</v>
      </c>
      <c r="AM160" s="228">
        <v>-19.600000000000001</v>
      </c>
      <c r="AN160" s="229">
        <v>1.09E-2</v>
      </c>
      <c r="AO160" s="231">
        <v>1785.18</v>
      </c>
      <c r="AP160" s="231">
        <v>1796.26</v>
      </c>
      <c r="AQ160" s="228">
        <v>0</v>
      </c>
      <c r="AR160" s="230">
        <v>362250</v>
      </c>
      <c r="AS160" s="230">
        <v>475300</v>
      </c>
      <c r="AT160" s="230">
        <v>-113050</v>
      </c>
      <c r="AU160" s="229">
        <v>-0.23780000000000001</v>
      </c>
      <c r="AV160" s="230">
        <v>315350</v>
      </c>
      <c r="AW160" s="230">
        <v>432250</v>
      </c>
      <c r="AX160" s="230">
        <v>-116900</v>
      </c>
      <c r="AY160" s="229">
        <v>-0.27039999999999997</v>
      </c>
      <c r="AZ160" s="230">
        <v>45500</v>
      </c>
      <c r="BA160" s="230">
        <v>43050</v>
      </c>
      <c r="BB160" s="230">
        <v>2450</v>
      </c>
      <c r="BC160" s="229">
        <v>5.6899999999999999E-2</v>
      </c>
      <c r="BD160" s="230">
        <v>1400</v>
      </c>
      <c r="BE160" s="228">
        <v>0</v>
      </c>
      <c r="BF160" s="230">
        <v>1400</v>
      </c>
      <c r="BG160" s="229">
        <v>0</v>
      </c>
      <c r="BH160" s="230">
        <v>618800</v>
      </c>
      <c r="BI160" s="230">
        <v>678650</v>
      </c>
      <c r="BJ160" s="230">
        <v>-59850</v>
      </c>
      <c r="BK160" s="229">
        <v>-8.8200000000000001E-2</v>
      </c>
      <c r="BL160" s="230">
        <v>258300</v>
      </c>
      <c r="BM160" s="230">
        <v>321300</v>
      </c>
      <c r="BN160" s="230">
        <v>-63000</v>
      </c>
      <c r="BO160" s="229">
        <v>-0.1961</v>
      </c>
      <c r="BP160" s="230">
        <v>1239350</v>
      </c>
      <c r="BQ160" s="230">
        <v>1475250</v>
      </c>
      <c r="BR160" s="230">
        <v>-235900</v>
      </c>
      <c r="BS160" s="229">
        <v>-0.15989999999999999</v>
      </c>
      <c r="BT160" s="230">
        <v>920375</v>
      </c>
      <c r="BU160" s="230">
        <v>463160</v>
      </c>
      <c r="BV160" s="230">
        <v>457215</v>
      </c>
      <c r="BW160" s="229">
        <v>0.98719999999999997</v>
      </c>
      <c r="BX160" s="230">
        <v>3266900</v>
      </c>
      <c r="BY160" s="230">
        <v>3304000</v>
      </c>
      <c r="BZ160" s="230">
        <v>-37100</v>
      </c>
      <c r="CA160" s="229">
        <v>-1.12E-2</v>
      </c>
      <c r="CB160" s="230">
        <v>3168900</v>
      </c>
      <c r="CC160" s="230">
        <v>3220700</v>
      </c>
      <c r="CD160" s="230">
        <v>-51800</v>
      </c>
      <c r="CE160" s="229">
        <v>-1.61E-2</v>
      </c>
      <c r="CF160" s="230">
        <v>92050</v>
      </c>
      <c r="CG160" s="230">
        <v>77350</v>
      </c>
      <c r="CH160" s="230">
        <v>14700</v>
      </c>
      <c r="CI160" s="229">
        <v>0.19</v>
      </c>
      <c r="CJ160" s="230">
        <v>5950</v>
      </c>
      <c r="CK160" s="230">
        <v>5950</v>
      </c>
      <c r="CL160" s="228">
        <v>0</v>
      </c>
      <c r="CM160" s="229">
        <v>0</v>
      </c>
      <c r="CN160" s="230">
        <v>1387400</v>
      </c>
      <c r="CO160" s="230">
        <v>1311450</v>
      </c>
      <c r="CP160" s="230">
        <v>75950</v>
      </c>
      <c r="CQ160" s="229">
        <v>5.79E-2</v>
      </c>
      <c r="CR160" s="230">
        <v>700700</v>
      </c>
      <c r="CS160" s="230">
        <v>670600</v>
      </c>
      <c r="CT160" s="230">
        <v>30100</v>
      </c>
      <c r="CU160" s="229">
        <v>4.4900000000000002E-2</v>
      </c>
      <c r="CV160" s="230">
        <v>5355000</v>
      </c>
      <c r="CW160" s="230">
        <v>5286050</v>
      </c>
      <c r="CX160" s="230">
        <v>68950</v>
      </c>
      <c r="CY160" s="229">
        <v>1.2999999999999999E-2</v>
      </c>
      <c r="CZ160" s="228">
        <v>22.95</v>
      </c>
      <c r="DA160" s="228">
        <v>23.3</v>
      </c>
      <c r="DB160" s="228">
        <v>-0.35</v>
      </c>
      <c r="DC160" s="228">
        <v>-0.35</v>
      </c>
      <c r="DD160" s="228">
        <v>41.22</v>
      </c>
      <c r="DE160" s="228">
        <v>41.32</v>
      </c>
      <c r="DF160" s="228">
        <v>-18.27</v>
      </c>
      <c r="DG160" s="228">
        <v>-0.1</v>
      </c>
      <c r="DH160" s="228">
        <v>22.44</v>
      </c>
      <c r="DI160" s="228">
        <v>23.38</v>
      </c>
      <c r="DJ160" s="228">
        <v>-0.94</v>
      </c>
      <c r="DK160" s="228">
        <v>-0.94</v>
      </c>
      <c r="DL160" s="228">
        <v>24.16</v>
      </c>
      <c r="DM160" s="228">
        <v>23.13</v>
      </c>
      <c r="DN160" s="228">
        <v>1.03</v>
      </c>
      <c r="DO160" s="228">
        <v>1.03</v>
      </c>
      <c r="DP160" s="228">
        <v>0.51</v>
      </c>
      <c r="DQ160" s="228">
        <v>0.51</v>
      </c>
      <c r="DR160" s="228">
        <v>0</v>
      </c>
      <c r="DS160" s="229">
        <v>0</v>
      </c>
      <c r="DT160" s="231">
        <v>1800</v>
      </c>
      <c r="DU160" s="231">
        <v>1680</v>
      </c>
      <c r="DV160" s="228">
        <v>0.42</v>
      </c>
      <c r="DW160" s="228">
        <v>0.47</v>
      </c>
      <c r="DX160" s="228">
        <v>-0.05</v>
      </c>
      <c r="DY160" s="229">
        <v>-0.10639999999999999</v>
      </c>
      <c r="DZ160" s="229">
        <v>0.03</v>
      </c>
      <c r="EA160" s="230">
        <v>83300</v>
      </c>
      <c r="EB160" s="229">
        <v>5.0000000000000001E-3</v>
      </c>
      <c r="EC160" s="229">
        <v>0.03</v>
      </c>
      <c r="ED160" s="228">
        <v>11.08</v>
      </c>
      <c r="EE160" s="229">
        <v>6.1999999999999998E-3</v>
      </c>
      <c r="EF160" s="230">
        <v>766579</v>
      </c>
      <c r="EG160" s="230">
        <v>318811</v>
      </c>
      <c r="EH160" s="229">
        <v>1.4045000000000001</v>
      </c>
      <c r="EI160" s="229">
        <v>0.83289999999999997</v>
      </c>
      <c r="EJ160" s="231">
        <v>11418.8</v>
      </c>
      <c r="EK160" s="231">
        <v>4475.8500000000004</v>
      </c>
      <c r="EL160" s="231">
        <v>6472.11</v>
      </c>
      <c r="EM160" s="231">
        <v>2206</v>
      </c>
      <c r="EN160" s="231">
        <v>22366.76</v>
      </c>
      <c r="EO160" s="231">
        <v>26704.25</v>
      </c>
      <c r="EP160" s="231">
        <v>-4337.49</v>
      </c>
      <c r="EQ160" s="229">
        <v>-0.16239999999999999</v>
      </c>
      <c r="ER160" s="231">
        <v>25443</v>
      </c>
      <c r="ES160" s="231">
        <v>12029</v>
      </c>
      <c r="ET160" s="231">
        <v>58242</v>
      </c>
      <c r="EU160" s="231">
        <v>28283155</v>
      </c>
      <c r="EV160" s="231">
        <v>95713</v>
      </c>
      <c r="EW160" s="231">
        <v>94439</v>
      </c>
      <c r="EX160" s="231">
        <v>1274</v>
      </c>
      <c r="EY160" s="229">
        <v>1.35E-2</v>
      </c>
      <c r="EZ160" s="229">
        <v>0.1893</v>
      </c>
      <c r="FA160" s="227" t="s">
        <v>568</v>
      </c>
      <c r="FB160" s="161">
        <f t="shared" si="3"/>
        <v>0</v>
      </c>
    </row>
    <row r="161" spans="1:158" ht="17.25" thickBot="1" x14ac:dyDescent="0.3">
      <c r="A161" s="226">
        <v>46008</v>
      </c>
      <c r="B161" s="227" t="s">
        <v>168</v>
      </c>
      <c r="C161" s="227" t="s">
        <v>274</v>
      </c>
      <c r="D161" s="228">
        <v>500</v>
      </c>
      <c r="E161" s="231">
        <v>1452.6</v>
      </c>
      <c r="F161" s="231">
        <v>1473.8</v>
      </c>
      <c r="G161" s="228">
        <v>-21.2</v>
      </c>
      <c r="H161" s="229">
        <v>-1.44E-2</v>
      </c>
      <c r="I161" s="231">
        <v>1450.7</v>
      </c>
      <c r="J161" s="231">
        <v>1473.1</v>
      </c>
      <c r="K161" s="228">
        <v>-22.4</v>
      </c>
      <c r="L161" s="229">
        <v>-1.52E-2</v>
      </c>
      <c r="M161" s="231">
        <v>1452.6</v>
      </c>
      <c r="N161" s="231">
        <v>1473.8</v>
      </c>
      <c r="O161" s="228">
        <v>-21.2</v>
      </c>
      <c r="P161" s="229">
        <v>-1.44E-2</v>
      </c>
      <c r="Q161" s="231">
        <v>1461.3</v>
      </c>
      <c r="R161" s="231">
        <v>1482.2</v>
      </c>
      <c r="S161" s="228">
        <v>-20.9</v>
      </c>
      <c r="T161" s="229">
        <v>-1.41E-2</v>
      </c>
      <c r="U161" s="231">
        <v>1470.2</v>
      </c>
      <c r="V161" s="231">
        <v>1493.6</v>
      </c>
      <c r="W161" s="228">
        <v>-23.4</v>
      </c>
      <c r="X161" s="229">
        <v>-1.5699999999999999E-2</v>
      </c>
      <c r="Y161" s="228">
        <v>1.9</v>
      </c>
      <c r="Z161" s="228">
        <v>0.7</v>
      </c>
      <c r="AA161" s="228">
        <v>1.2</v>
      </c>
      <c r="AB161" s="229">
        <v>1.2999999999999999E-3</v>
      </c>
      <c r="AC161" s="228">
        <v>1.9</v>
      </c>
      <c r="AD161" s="228">
        <v>0.7</v>
      </c>
      <c r="AE161" s="228">
        <v>1.2</v>
      </c>
      <c r="AF161" s="229">
        <v>1.2999999999999999E-3</v>
      </c>
      <c r="AG161" s="228">
        <v>10.6</v>
      </c>
      <c r="AH161" s="228">
        <v>9.1</v>
      </c>
      <c r="AI161" s="228">
        <v>1.5</v>
      </c>
      <c r="AJ161" s="229">
        <v>7.3000000000000001E-3</v>
      </c>
      <c r="AK161" s="228">
        <v>19.5</v>
      </c>
      <c r="AL161" s="228">
        <v>20.5</v>
      </c>
      <c r="AM161" s="228">
        <v>-1</v>
      </c>
      <c r="AN161" s="229">
        <v>1.34E-2</v>
      </c>
      <c r="AO161" s="231">
        <v>1456.31</v>
      </c>
      <c r="AP161" s="231">
        <v>1463.44</v>
      </c>
      <c r="AQ161" s="228">
        <v>0</v>
      </c>
      <c r="AR161" s="230">
        <v>1406000</v>
      </c>
      <c r="AS161" s="230">
        <v>721500</v>
      </c>
      <c r="AT161" s="230">
        <v>684500</v>
      </c>
      <c r="AU161" s="229">
        <v>0.94869999999999999</v>
      </c>
      <c r="AV161" s="230">
        <v>947000</v>
      </c>
      <c r="AW161" s="230">
        <v>641000</v>
      </c>
      <c r="AX161" s="230">
        <v>306000</v>
      </c>
      <c r="AY161" s="229">
        <v>0.47739999999999999</v>
      </c>
      <c r="AZ161" s="230">
        <v>452500</v>
      </c>
      <c r="BA161" s="230">
        <v>77000</v>
      </c>
      <c r="BB161" s="230">
        <v>375500</v>
      </c>
      <c r="BC161" s="229">
        <v>4.8765999999999998</v>
      </c>
      <c r="BD161" s="230">
        <v>6500</v>
      </c>
      <c r="BE161" s="230">
        <v>3500</v>
      </c>
      <c r="BF161" s="230">
        <v>3000</v>
      </c>
      <c r="BG161" s="229">
        <v>0.85709999999999997</v>
      </c>
      <c r="BH161" s="230">
        <v>1232500</v>
      </c>
      <c r="BI161" s="230">
        <v>1803000</v>
      </c>
      <c r="BJ161" s="230">
        <v>-570500</v>
      </c>
      <c r="BK161" s="229">
        <v>-0.31640000000000001</v>
      </c>
      <c r="BL161" s="230">
        <v>923000</v>
      </c>
      <c r="BM161" s="230">
        <v>629500</v>
      </c>
      <c r="BN161" s="230">
        <v>293500</v>
      </c>
      <c r="BO161" s="229">
        <v>0.4662</v>
      </c>
      <c r="BP161" s="230">
        <v>3561500</v>
      </c>
      <c r="BQ161" s="230">
        <v>3154000</v>
      </c>
      <c r="BR161" s="230">
        <v>407500</v>
      </c>
      <c r="BS161" s="229">
        <v>0.12920000000000001</v>
      </c>
      <c r="BT161" s="230">
        <v>264249</v>
      </c>
      <c r="BU161" s="230">
        <v>332757</v>
      </c>
      <c r="BV161" s="230">
        <v>-68508</v>
      </c>
      <c r="BW161" s="229">
        <v>-0.2059</v>
      </c>
      <c r="BX161" s="230">
        <v>7235000</v>
      </c>
      <c r="BY161" s="230">
        <v>7104500</v>
      </c>
      <c r="BZ161" s="230">
        <v>130500</v>
      </c>
      <c r="CA161" s="229">
        <v>1.84E-2</v>
      </c>
      <c r="CB161" s="230">
        <v>6468000</v>
      </c>
      <c r="CC161" s="230">
        <v>6730000</v>
      </c>
      <c r="CD161" s="230">
        <v>-262000</v>
      </c>
      <c r="CE161" s="229">
        <v>-3.8899999999999997E-2</v>
      </c>
      <c r="CF161" s="230">
        <v>739000</v>
      </c>
      <c r="CG161" s="230">
        <v>348500</v>
      </c>
      <c r="CH161" s="230">
        <v>390500</v>
      </c>
      <c r="CI161" s="229">
        <v>1.1205000000000001</v>
      </c>
      <c r="CJ161" s="230">
        <v>28000</v>
      </c>
      <c r="CK161" s="230">
        <v>26000</v>
      </c>
      <c r="CL161" s="230">
        <v>2000</v>
      </c>
      <c r="CM161" s="229">
        <v>7.6899999999999996E-2</v>
      </c>
      <c r="CN161" s="230">
        <v>1411000</v>
      </c>
      <c r="CO161" s="230">
        <v>1310000</v>
      </c>
      <c r="CP161" s="230">
        <v>101000</v>
      </c>
      <c r="CQ161" s="229">
        <v>7.7100000000000002E-2</v>
      </c>
      <c r="CR161" s="230">
        <v>1038000</v>
      </c>
      <c r="CS161" s="230">
        <v>1038000</v>
      </c>
      <c r="CT161" s="228">
        <v>0</v>
      </c>
      <c r="CU161" s="229">
        <v>0</v>
      </c>
      <c r="CV161" s="230">
        <v>9684000</v>
      </c>
      <c r="CW161" s="230">
        <v>9452500</v>
      </c>
      <c r="CX161" s="230">
        <v>231500</v>
      </c>
      <c r="CY161" s="229">
        <v>2.4500000000000001E-2</v>
      </c>
      <c r="CZ161" s="228">
        <v>16.829999999999998</v>
      </c>
      <c r="DA161" s="228">
        <v>14.88</v>
      </c>
      <c r="DB161" s="228">
        <v>1.95</v>
      </c>
      <c r="DC161" s="228">
        <v>1.95</v>
      </c>
      <c r="DD161" s="228">
        <v>21.37</v>
      </c>
      <c r="DE161" s="228">
        <v>21.32</v>
      </c>
      <c r="DF161" s="228">
        <v>-4.54</v>
      </c>
      <c r="DG161" s="228">
        <v>0.05</v>
      </c>
      <c r="DH161" s="228">
        <v>16.91</v>
      </c>
      <c r="DI161" s="228">
        <v>15.17</v>
      </c>
      <c r="DJ161" s="228">
        <v>1.74</v>
      </c>
      <c r="DK161" s="228">
        <v>1.74</v>
      </c>
      <c r="DL161" s="228">
        <v>16.73</v>
      </c>
      <c r="DM161" s="228">
        <v>14.07</v>
      </c>
      <c r="DN161" s="228">
        <v>2.66</v>
      </c>
      <c r="DO161" s="228">
        <v>2.66</v>
      </c>
      <c r="DP161" s="228">
        <v>0.74</v>
      </c>
      <c r="DQ161" s="228">
        <v>0.79</v>
      </c>
      <c r="DR161" s="228">
        <v>-0.05</v>
      </c>
      <c r="DS161" s="229">
        <v>-6.3299999999999995E-2</v>
      </c>
      <c r="DT161" s="231">
        <v>1500</v>
      </c>
      <c r="DU161" s="231">
        <v>1400</v>
      </c>
      <c r="DV161" s="228">
        <v>0.75</v>
      </c>
      <c r="DW161" s="228">
        <v>0.35</v>
      </c>
      <c r="DX161" s="228">
        <v>0.4</v>
      </c>
      <c r="DY161" s="229">
        <v>1.1429</v>
      </c>
      <c r="DZ161" s="229">
        <v>0.106</v>
      </c>
      <c r="EA161" s="230">
        <v>374500</v>
      </c>
      <c r="EB161" s="229">
        <v>6.0000000000000001E-3</v>
      </c>
      <c r="EC161" s="229">
        <v>0.106</v>
      </c>
      <c r="ED161" s="228">
        <v>7.13</v>
      </c>
      <c r="EE161" s="229">
        <v>4.8999999999999998E-3</v>
      </c>
      <c r="EF161" s="230">
        <v>157877</v>
      </c>
      <c r="EG161" s="230">
        <v>192154</v>
      </c>
      <c r="EH161" s="229">
        <v>-0.1784</v>
      </c>
      <c r="EI161" s="229">
        <v>0.59750000000000003</v>
      </c>
      <c r="EJ161" s="231">
        <v>18566.689999999999</v>
      </c>
      <c r="EK161" s="231">
        <v>13235.2</v>
      </c>
      <c r="EL161" s="231">
        <v>20508.86</v>
      </c>
      <c r="EM161" s="231">
        <v>1142</v>
      </c>
      <c r="EN161" s="231">
        <v>52310.75</v>
      </c>
      <c r="EO161" s="231">
        <v>47292.1</v>
      </c>
      <c r="EP161" s="231">
        <v>5018.6499999999996</v>
      </c>
      <c r="EQ161" s="229">
        <v>0.1061</v>
      </c>
      <c r="ER161" s="231">
        <v>21359</v>
      </c>
      <c r="ES161" s="231">
        <v>14927</v>
      </c>
      <c r="ET161" s="231">
        <v>105165</v>
      </c>
      <c r="EU161" s="231">
        <v>31170515</v>
      </c>
      <c r="EV161" s="231">
        <v>141450</v>
      </c>
      <c r="EW161" s="231">
        <v>139603</v>
      </c>
      <c r="EX161" s="231">
        <v>1847</v>
      </c>
      <c r="EY161" s="229">
        <v>1.32E-2</v>
      </c>
      <c r="EZ161" s="229">
        <v>0.31069999999999998</v>
      </c>
      <c r="FA161" s="227" t="s">
        <v>567</v>
      </c>
      <c r="FB161" s="161">
        <f t="shared" si="3"/>
        <v>0</v>
      </c>
    </row>
    <row r="162" spans="1:158" ht="17.25" thickBot="1" x14ac:dyDescent="0.3">
      <c r="A162" s="226">
        <v>46008</v>
      </c>
      <c r="B162" s="227" t="s">
        <v>498</v>
      </c>
      <c r="C162" s="227" t="s">
        <v>483</v>
      </c>
      <c r="D162" s="228">
        <v>175</v>
      </c>
      <c r="E162" s="231">
        <v>3216.6</v>
      </c>
      <c r="F162" s="231">
        <v>3270</v>
      </c>
      <c r="G162" s="228">
        <v>-53.4</v>
      </c>
      <c r="H162" s="229">
        <v>-1.6299999999999999E-2</v>
      </c>
      <c r="I162" s="231">
        <v>3206.2</v>
      </c>
      <c r="J162" s="231">
        <v>3259.3</v>
      </c>
      <c r="K162" s="228">
        <v>-53.1</v>
      </c>
      <c r="L162" s="229">
        <v>-1.6299999999999999E-2</v>
      </c>
      <c r="M162" s="231">
        <v>3216.6</v>
      </c>
      <c r="N162" s="231">
        <v>3270</v>
      </c>
      <c r="O162" s="228">
        <v>-53.4</v>
      </c>
      <c r="P162" s="229">
        <v>-1.6299999999999999E-2</v>
      </c>
      <c r="Q162" s="231">
        <v>3221.9</v>
      </c>
      <c r="R162" s="231">
        <v>3266.6</v>
      </c>
      <c r="S162" s="228">
        <v>-44.7</v>
      </c>
      <c r="T162" s="229">
        <v>-1.37E-2</v>
      </c>
      <c r="U162" s="231">
        <v>3220.7</v>
      </c>
      <c r="V162" s="231">
        <v>3263</v>
      </c>
      <c r="W162" s="228">
        <v>-42.3</v>
      </c>
      <c r="X162" s="229">
        <v>-1.2999999999999999E-2</v>
      </c>
      <c r="Y162" s="228">
        <v>10.4</v>
      </c>
      <c r="Z162" s="228">
        <v>10.7</v>
      </c>
      <c r="AA162" s="228">
        <v>-0.3</v>
      </c>
      <c r="AB162" s="229">
        <v>3.2000000000000002E-3</v>
      </c>
      <c r="AC162" s="228">
        <v>10.4</v>
      </c>
      <c r="AD162" s="228">
        <v>10.7</v>
      </c>
      <c r="AE162" s="228">
        <v>-0.3</v>
      </c>
      <c r="AF162" s="229">
        <v>3.2000000000000002E-3</v>
      </c>
      <c r="AG162" s="228">
        <v>15.7</v>
      </c>
      <c r="AH162" s="228">
        <v>7.3</v>
      </c>
      <c r="AI162" s="228">
        <v>8.4</v>
      </c>
      <c r="AJ162" s="229">
        <v>4.8999999999999998E-3</v>
      </c>
      <c r="AK162" s="228">
        <v>14.5</v>
      </c>
      <c r="AL162" s="228">
        <v>3.7</v>
      </c>
      <c r="AM162" s="228">
        <v>10.8</v>
      </c>
      <c r="AN162" s="229">
        <v>4.4999999999999997E-3</v>
      </c>
      <c r="AO162" s="231">
        <v>3223.83</v>
      </c>
      <c r="AP162" s="231">
        <v>3221.32</v>
      </c>
      <c r="AQ162" s="228">
        <v>0</v>
      </c>
      <c r="AR162" s="230">
        <v>342825</v>
      </c>
      <c r="AS162" s="230">
        <v>414750</v>
      </c>
      <c r="AT162" s="230">
        <v>-71925</v>
      </c>
      <c r="AU162" s="229">
        <v>-0.1734</v>
      </c>
      <c r="AV162" s="230">
        <v>303975</v>
      </c>
      <c r="AW162" s="230">
        <v>356300</v>
      </c>
      <c r="AX162" s="230">
        <v>-52325</v>
      </c>
      <c r="AY162" s="229">
        <v>-0.1469</v>
      </c>
      <c r="AZ162" s="230">
        <v>37625</v>
      </c>
      <c r="BA162" s="230">
        <v>56350</v>
      </c>
      <c r="BB162" s="230">
        <v>-18725</v>
      </c>
      <c r="BC162" s="229">
        <v>-0.33229999999999998</v>
      </c>
      <c r="BD162" s="230">
        <v>1225</v>
      </c>
      <c r="BE162" s="230">
        <v>2100</v>
      </c>
      <c r="BF162" s="228">
        <v>-875</v>
      </c>
      <c r="BG162" s="229">
        <v>-0.41670000000000001</v>
      </c>
      <c r="BH162" s="230">
        <v>864850</v>
      </c>
      <c r="BI162" s="230">
        <v>924700</v>
      </c>
      <c r="BJ162" s="230">
        <v>-59850</v>
      </c>
      <c r="BK162" s="229">
        <v>-6.4699999999999994E-2</v>
      </c>
      <c r="BL162" s="230">
        <v>570675</v>
      </c>
      <c r="BM162" s="230">
        <v>461125</v>
      </c>
      <c r="BN162" s="230">
        <v>109550</v>
      </c>
      <c r="BO162" s="229">
        <v>0.23760000000000001</v>
      </c>
      <c r="BP162" s="230">
        <v>1778350</v>
      </c>
      <c r="BQ162" s="230">
        <v>1800575</v>
      </c>
      <c r="BR162" s="230">
        <v>-22225</v>
      </c>
      <c r="BS162" s="229">
        <v>-1.23E-2</v>
      </c>
      <c r="BT162" s="230">
        <v>216958</v>
      </c>
      <c r="BU162" s="230">
        <v>188508</v>
      </c>
      <c r="BV162" s="230">
        <v>28450</v>
      </c>
      <c r="BW162" s="229">
        <v>0.15090000000000001</v>
      </c>
      <c r="BX162" s="230">
        <v>2742250</v>
      </c>
      <c r="BY162" s="230">
        <v>2747500</v>
      </c>
      <c r="BZ162" s="230">
        <v>-5250</v>
      </c>
      <c r="CA162" s="229">
        <v>-1.9E-3</v>
      </c>
      <c r="CB162" s="230">
        <v>2448250</v>
      </c>
      <c r="CC162" s="230">
        <v>2469425</v>
      </c>
      <c r="CD162" s="230">
        <v>-21175</v>
      </c>
      <c r="CE162" s="229">
        <v>-8.6E-3</v>
      </c>
      <c r="CF162" s="230">
        <v>271950</v>
      </c>
      <c r="CG162" s="230">
        <v>257075</v>
      </c>
      <c r="CH162" s="230">
        <v>14875</v>
      </c>
      <c r="CI162" s="229">
        <v>5.79E-2</v>
      </c>
      <c r="CJ162" s="230">
        <v>22050</v>
      </c>
      <c r="CK162" s="230">
        <v>21000</v>
      </c>
      <c r="CL162" s="230">
        <v>1050</v>
      </c>
      <c r="CM162" s="229">
        <v>0.05</v>
      </c>
      <c r="CN162" s="230">
        <v>1065750</v>
      </c>
      <c r="CO162" s="230">
        <v>1042300</v>
      </c>
      <c r="CP162" s="230">
        <v>23450</v>
      </c>
      <c r="CQ162" s="229">
        <v>2.2499999999999999E-2</v>
      </c>
      <c r="CR162" s="230">
        <v>674800</v>
      </c>
      <c r="CS162" s="230">
        <v>683550</v>
      </c>
      <c r="CT162" s="230">
        <v>-8750</v>
      </c>
      <c r="CU162" s="229">
        <v>-1.2800000000000001E-2</v>
      </c>
      <c r="CV162" s="230">
        <v>4482800</v>
      </c>
      <c r="CW162" s="230">
        <v>4473350</v>
      </c>
      <c r="CX162" s="230">
        <v>9450</v>
      </c>
      <c r="CY162" s="229">
        <v>2.0999999999999999E-3</v>
      </c>
      <c r="CZ162" s="228">
        <v>24.41</v>
      </c>
      <c r="DA162" s="228">
        <v>24.04</v>
      </c>
      <c r="DB162" s="228">
        <v>0.37</v>
      </c>
      <c r="DC162" s="228">
        <v>0.37</v>
      </c>
      <c r="DD162" s="228">
        <v>29.42</v>
      </c>
      <c r="DE162" s="228">
        <v>29.41</v>
      </c>
      <c r="DF162" s="228">
        <v>-5.01</v>
      </c>
      <c r="DG162" s="228">
        <v>0.01</v>
      </c>
      <c r="DH162" s="228">
        <v>24.34</v>
      </c>
      <c r="DI162" s="228">
        <v>24</v>
      </c>
      <c r="DJ162" s="228">
        <v>0.34</v>
      </c>
      <c r="DK162" s="228">
        <v>0.34</v>
      </c>
      <c r="DL162" s="228">
        <v>24.52</v>
      </c>
      <c r="DM162" s="228">
        <v>24.13</v>
      </c>
      <c r="DN162" s="228">
        <v>0.39</v>
      </c>
      <c r="DO162" s="228">
        <v>0.39</v>
      </c>
      <c r="DP162" s="228">
        <v>0.63</v>
      </c>
      <c r="DQ162" s="228">
        <v>0.66</v>
      </c>
      <c r="DR162" s="228">
        <v>-0.03</v>
      </c>
      <c r="DS162" s="229">
        <v>-4.5499999999999999E-2</v>
      </c>
      <c r="DT162" s="231">
        <v>3400</v>
      </c>
      <c r="DU162" s="231">
        <v>3300</v>
      </c>
      <c r="DV162" s="228">
        <v>0.66</v>
      </c>
      <c r="DW162" s="228">
        <v>0.5</v>
      </c>
      <c r="DX162" s="228">
        <v>0.16</v>
      </c>
      <c r="DY162" s="229">
        <v>0.32</v>
      </c>
      <c r="DZ162" s="229">
        <v>0.1072</v>
      </c>
      <c r="EA162" s="230">
        <v>278075</v>
      </c>
      <c r="EB162" s="229">
        <v>1.6000000000000001E-3</v>
      </c>
      <c r="EC162" s="229">
        <v>0.1072</v>
      </c>
      <c r="ED162" s="228">
        <v>-2.5099999999999998</v>
      </c>
      <c r="EE162" s="229">
        <v>-8.0000000000000004E-4</v>
      </c>
      <c r="EF162" s="230">
        <v>128476</v>
      </c>
      <c r="EG162" s="230">
        <v>95655</v>
      </c>
      <c r="EH162" s="229">
        <v>0.34310000000000002</v>
      </c>
      <c r="EI162" s="229">
        <v>0.59219999999999995</v>
      </c>
      <c r="EJ162" s="231">
        <v>29337.17</v>
      </c>
      <c r="EK162" s="231">
        <v>18159.43</v>
      </c>
      <c r="EL162" s="231">
        <v>11051.24</v>
      </c>
      <c r="EM162" s="231">
        <v>3568</v>
      </c>
      <c r="EN162" s="231">
        <v>58547.839999999997</v>
      </c>
      <c r="EO162" s="231">
        <v>59924.160000000003</v>
      </c>
      <c r="EP162" s="231">
        <v>-1376.32</v>
      </c>
      <c r="EQ162" s="229">
        <v>-2.3E-2</v>
      </c>
      <c r="ER162" s="231">
        <v>36999</v>
      </c>
      <c r="ES162" s="231">
        <v>21929</v>
      </c>
      <c r="ET162" s="231">
        <v>88223</v>
      </c>
      <c r="EU162" s="231">
        <v>8178275</v>
      </c>
      <c r="EV162" s="231">
        <v>147150</v>
      </c>
      <c r="EW162" s="231">
        <v>148558</v>
      </c>
      <c r="EX162" s="231">
        <v>-1408</v>
      </c>
      <c r="EY162" s="229">
        <v>-9.4999999999999998E-3</v>
      </c>
      <c r="EZ162" s="229">
        <v>0.54810000000000003</v>
      </c>
      <c r="FA162" s="227" t="s">
        <v>568</v>
      </c>
      <c r="FB162" s="161">
        <f t="shared" ref="FB162:FB194" si="4">BX228-CB228</f>
        <v>0</v>
      </c>
    </row>
    <row r="163" spans="1:158" ht="17.25" thickBot="1" x14ac:dyDescent="0.3">
      <c r="A163" s="226">
        <v>46008</v>
      </c>
      <c r="B163" s="227" t="s">
        <v>172</v>
      </c>
      <c r="C163" s="227" t="s">
        <v>275</v>
      </c>
      <c r="D163" s="228">
        <v>8000</v>
      </c>
      <c r="E163" s="228">
        <v>119.75</v>
      </c>
      <c r="F163" s="228">
        <v>117.4</v>
      </c>
      <c r="G163" s="228">
        <v>2.35</v>
      </c>
      <c r="H163" s="229">
        <v>0.02</v>
      </c>
      <c r="I163" s="228">
        <v>119.33</v>
      </c>
      <c r="J163" s="228">
        <v>117.03</v>
      </c>
      <c r="K163" s="228">
        <v>2.2999999999999998</v>
      </c>
      <c r="L163" s="229">
        <v>1.9699999999999999E-2</v>
      </c>
      <c r="M163" s="228">
        <v>119.75</v>
      </c>
      <c r="N163" s="228">
        <v>117.4</v>
      </c>
      <c r="O163" s="228">
        <v>2.35</v>
      </c>
      <c r="P163" s="229">
        <v>0.02</v>
      </c>
      <c r="Q163" s="228">
        <v>120.42</v>
      </c>
      <c r="R163" s="228">
        <v>118.13</v>
      </c>
      <c r="S163" s="228">
        <v>2.29</v>
      </c>
      <c r="T163" s="229">
        <v>1.9400000000000001E-2</v>
      </c>
      <c r="U163" s="228">
        <v>121.06</v>
      </c>
      <c r="V163" s="228">
        <v>118.79</v>
      </c>
      <c r="W163" s="228">
        <v>2.27</v>
      </c>
      <c r="X163" s="229">
        <v>1.9099999999999999E-2</v>
      </c>
      <c r="Y163" s="228">
        <v>0.42</v>
      </c>
      <c r="Z163" s="228">
        <v>0.37</v>
      </c>
      <c r="AA163" s="228">
        <v>0.05</v>
      </c>
      <c r="AB163" s="229">
        <v>3.5000000000000001E-3</v>
      </c>
      <c r="AC163" s="228">
        <v>0.42</v>
      </c>
      <c r="AD163" s="228">
        <v>0.37</v>
      </c>
      <c r="AE163" s="228">
        <v>0.05</v>
      </c>
      <c r="AF163" s="229">
        <v>3.5000000000000001E-3</v>
      </c>
      <c r="AG163" s="228">
        <v>1.0900000000000001</v>
      </c>
      <c r="AH163" s="228">
        <v>1.1000000000000001</v>
      </c>
      <c r="AI163" s="228">
        <v>-0.01</v>
      </c>
      <c r="AJ163" s="229">
        <v>9.1000000000000004E-3</v>
      </c>
      <c r="AK163" s="228">
        <v>1.73</v>
      </c>
      <c r="AL163" s="228">
        <v>1.76</v>
      </c>
      <c r="AM163" s="228">
        <v>-0.03</v>
      </c>
      <c r="AN163" s="229">
        <v>1.4500000000000001E-2</v>
      </c>
      <c r="AO163" s="228">
        <v>119.18</v>
      </c>
      <c r="AP163" s="228">
        <v>119.85</v>
      </c>
      <c r="AQ163" s="228">
        <v>0</v>
      </c>
      <c r="AR163" s="230">
        <v>49816000</v>
      </c>
      <c r="AS163" s="230">
        <v>32288000</v>
      </c>
      <c r="AT163" s="230">
        <v>17528000</v>
      </c>
      <c r="AU163" s="229">
        <v>0.54290000000000005</v>
      </c>
      <c r="AV163" s="230">
        <v>37600000</v>
      </c>
      <c r="AW163" s="230">
        <v>24296000</v>
      </c>
      <c r="AX163" s="230">
        <v>13304000</v>
      </c>
      <c r="AY163" s="229">
        <v>0.54759999999999998</v>
      </c>
      <c r="AZ163" s="230">
        <v>11648000</v>
      </c>
      <c r="BA163" s="230">
        <v>7360000</v>
      </c>
      <c r="BB163" s="230">
        <v>4288000</v>
      </c>
      <c r="BC163" s="229">
        <v>0.58260000000000001</v>
      </c>
      <c r="BD163" s="230">
        <v>568000</v>
      </c>
      <c r="BE163" s="230">
        <v>632000</v>
      </c>
      <c r="BF163" s="230">
        <v>-64000</v>
      </c>
      <c r="BG163" s="229">
        <v>-0.1013</v>
      </c>
      <c r="BH163" s="230">
        <v>202672000</v>
      </c>
      <c r="BI163" s="230">
        <v>85528000</v>
      </c>
      <c r="BJ163" s="230">
        <v>117144000</v>
      </c>
      <c r="BK163" s="229">
        <v>1.3696999999999999</v>
      </c>
      <c r="BL163" s="230">
        <v>84888000</v>
      </c>
      <c r="BM163" s="230">
        <v>43472000</v>
      </c>
      <c r="BN163" s="230">
        <v>41416000</v>
      </c>
      <c r="BO163" s="229">
        <v>0.95269999999999999</v>
      </c>
      <c r="BP163" s="230">
        <v>337376000</v>
      </c>
      <c r="BQ163" s="230">
        <v>161288000</v>
      </c>
      <c r="BR163" s="230">
        <v>176088000</v>
      </c>
      <c r="BS163" s="229">
        <v>1.0918000000000001</v>
      </c>
      <c r="BT163" s="230">
        <v>15639468</v>
      </c>
      <c r="BU163" s="230">
        <v>11978788</v>
      </c>
      <c r="BV163" s="230">
        <v>3660680</v>
      </c>
      <c r="BW163" s="229">
        <v>0.30559999999999998</v>
      </c>
      <c r="BX163" s="230">
        <v>245896000</v>
      </c>
      <c r="BY163" s="230">
        <v>244288000</v>
      </c>
      <c r="BZ163" s="230">
        <v>1608000</v>
      </c>
      <c r="CA163" s="229">
        <v>6.6E-3</v>
      </c>
      <c r="CB163" s="230">
        <v>211368000</v>
      </c>
      <c r="CC163" s="230">
        <v>214496000</v>
      </c>
      <c r="CD163" s="230">
        <v>-3128000</v>
      </c>
      <c r="CE163" s="229">
        <v>-1.46E-2</v>
      </c>
      <c r="CF163" s="230">
        <v>30320000</v>
      </c>
      <c r="CG163" s="230">
        <v>25632000</v>
      </c>
      <c r="CH163" s="230">
        <v>4688000</v>
      </c>
      <c r="CI163" s="229">
        <v>0.18290000000000001</v>
      </c>
      <c r="CJ163" s="230">
        <v>4208000</v>
      </c>
      <c r="CK163" s="230">
        <v>4160000</v>
      </c>
      <c r="CL163" s="230">
        <v>48000</v>
      </c>
      <c r="CM163" s="229">
        <v>1.15E-2</v>
      </c>
      <c r="CN163" s="230">
        <v>183008000</v>
      </c>
      <c r="CO163" s="230">
        <v>190640000</v>
      </c>
      <c r="CP163" s="230">
        <v>-7632000</v>
      </c>
      <c r="CQ163" s="229">
        <v>-0.04</v>
      </c>
      <c r="CR163" s="230">
        <v>100632000</v>
      </c>
      <c r="CS163" s="230">
        <v>98944000</v>
      </c>
      <c r="CT163" s="230">
        <v>1688000</v>
      </c>
      <c r="CU163" s="229">
        <v>1.7100000000000001E-2</v>
      </c>
      <c r="CV163" s="230">
        <v>529536000</v>
      </c>
      <c r="CW163" s="230">
        <v>533872000</v>
      </c>
      <c r="CX163" s="230">
        <v>-4336000</v>
      </c>
      <c r="CY163" s="229">
        <v>-8.0999999999999996E-3</v>
      </c>
      <c r="CZ163" s="228">
        <v>23.98</v>
      </c>
      <c r="DA163" s="228">
        <v>25</v>
      </c>
      <c r="DB163" s="228">
        <v>-1.02</v>
      </c>
      <c r="DC163" s="228">
        <v>-1.02</v>
      </c>
      <c r="DD163" s="228">
        <v>35.9</v>
      </c>
      <c r="DE163" s="228">
        <v>35.89</v>
      </c>
      <c r="DF163" s="228">
        <v>-11.92</v>
      </c>
      <c r="DG163" s="228">
        <v>0.01</v>
      </c>
      <c r="DH163" s="228">
        <v>24.1</v>
      </c>
      <c r="DI163" s="228">
        <v>25.87</v>
      </c>
      <c r="DJ163" s="228">
        <v>-1.77</v>
      </c>
      <c r="DK163" s="228">
        <v>-1.77</v>
      </c>
      <c r="DL163" s="228">
        <v>23.69</v>
      </c>
      <c r="DM163" s="228">
        <v>23.31</v>
      </c>
      <c r="DN163" s="228">
        <v>0.38</v>
      </c>
      <c r="DO163" s="228">
        <v>0.38</v>
      </c>
      <c r="DP163" s="228">
        <v>0.55000000000000004</v>
      </c>
      <c r="DQ163" s="228">
        <v>0.52</v>
      </c>
      <c r="DR163" s="228">
        <v>0.03</v>
      </c>
      <c r="DS163" s="229">
        <v>5.7700000000000001E-2</v>
      </c>
      <c r="DT163" s="228">
        <v>125</v>
      </c>
      <c r="DU163" s="228">
        <v>120</v>
      </c>
      <c r="DV163" s="228">
        <v>0.42</v>
      </c>
      <c r="DW163" s="228">
        <v>0.51</v>
      </c>
      <c r="DX163" s="228">
        <v>-0.09</v>
      </c>
      <c r="DY163" s="229">
        <v>-0.17649999999999999</v>
      </c>
      <c r="DZ163" s="229">
        <v>0.1404</v>
      </c>
      <c r="EA163" s="230">
        <v>29792000</v>
      </c>
      <c r="EB163" s="229">
        <v>5.5999999999999999E-3</v>
      </c>
      <c r="EC163" s="229">
        <v>0.1404</v>
      </c>
      <c r="ED163" s="228">
        <v>0.67</v>
      </c>
      <c r="EE163" s="229">
        <v>5.5999999999999999E-3</v>
      </c>
      <c r="EF163" s="230">
        <v>5637800</v>
      </c>
      <c r="EG163" s="230">
        <v>5550289</v>
      </c>
      <c r="EH163" s="229">
        <v>1.5800000000000002E-2</v>
      </c>
      <c r="EI163" s="229">
        <v>0.36049999999999999</v>
      </c>
      <c r="EJ163" s="231">
        <v>250585.78</v>
      </c>
      <c r="EK163" s="231">
        <v>100548.1</v>
      </c>
      <c r="EL163" s="231">
        <v>59458.15</v>
      </c>
      <c r="EM163" s="231">
        <v>4573</v>
      </c>
      <c r="EN163" s="231">
        <v>410592.03</v>
      </c>
      <c r="EO163" s="231">
        <v>194786.08</v>
      </c>
      <c r="EP163" s="231">
        <v>215805.95</v>
      </c>
      <c r="EQ163" s="229">
        <v>1.1079000000000001</v>
      </c>
      <c r="ER163" s="231">
        <v>229216</v>
      </c>
      <c r="ES163" s="231">
        <v>119681</v>
      </c>
      <c r="ET163" s="231">
        <v>294719</v>
      </c>
      <c r="EU163" s="231">
        <v>447910372</v>
      </c>
      <c r="EV163" s="231">
        <v>643616</v>
      </c>
      <c r="EW163" s="231">
        <v>643298</v>
      </c>
      <c r="EX163" s="228">
        <v>318</v>
      </c>
      <c r="EY163" s="229">
        <v>5.0000000000000001E-4</v>
      </c>
      <c r="EZ163" s="229">
        <v>1.1821999999999999</v>
      </c>
      <c r="FA163" s="227" t="s">
        <v>555</v>
      </c>
      <c r="FB163" s="161">
        <f t="shared" si="4"/>
        <v>0</v>
      </c>
    </row>
    <row r="164" spans="1:158" ht="17.25" thickBot="1" x14ac:dyDescent="0.3">
      <c r="A164" s="226">
        <v>46008</v>
      </c>
      <c r="B164" s="227" t="s">
        <v>175</v>
      </c>
      <c r="C164" s="227" t="s">
        <v>671</v>
      </c>
      <c r="D164" s="228">
        <v>650</v>
      </c>
      <c r="E164" s="228">
        <v>897.8</v>
      </c>
      <c r="F164" s="228">
        <v>913.5</v>
      </c>
      <c r="G164" s="228">
        <v>-15.7</v>
      </c>
      <c r="H164" s="229">
        <v>-1.72E-2</v>
      </c>
      <c r="I164" s="228">
        <v>894.85</v>
      </c>
      <c r="J164" s="228">
        <v>913.4</v>
      </c>
      <c r="K164" s="228">
        <v>-18.55</v>
      </c>
      <c r="L164" s="229">
        <v>-2.0299999999999999E-2</v>
      </c>
      <c r="M164" s="228">
        <v>897.8</v>
      </c>
      <c r="N164" s="228">
        <v>913.5</v>
      </c>
      <c r="O164" s="228">
        <v>-15.7</v>
      </c>
      <c r="P164" s="229">
        <v>-1.72E-2</v>
      </c>
      <c r="Q164" s="228">
        <v>902.8</v>
      </c>
      <c r="R164" s="228">
        <v>919.55</v>
      </c>
      <c r="S164" s="228">
        <v>-16.75</v>
      </c>
      <c r="T164" s="229">
        <v>-1.8200000000000001E-2</v>
      </c>
      <c r="U164" s="228">
        <v>906.1</v>
      </c>
      <c r="V164" s="228">
        <v>922</v>
      </c>
      <c r="W164" s="228">
        <v>-15.9</v>
      </c>
      <c r="X164" s="229">
        <v>-1.72E-2</v>
      </c>
      <c r="Y164" s="228">
        <v>2.95</v>
      </c>
      <c r="Z164" s="228">
        <v>0.1</v>
      </c>
      <c r="AA164" s="228">
        <v>2.85</v>
      </c>
      <c r="AB164" s="229">
        <v>3.3E-3</v>
      </c>
      <c r="AC164" s="228">
        <v>2.95</v>
      </c>
      <c r="AD164" s="228">
        <v>0.1</v>
      </c>
      <c r="AE164" s="228">
        <v>2.85</v>
      </c>
      <c r="AF164" s="229">
        <v>3.3E-3</v>
      </c>
      <c r="AG164" s="228">
        <v>7.95</v>
      </c>
      <c r="AH164" s="228">
        <v>6.15</v>
      </c>
      <c r="AI164" s="228">
        <v>1.8</v>
      </c>
      <c r="AJ164" s="229">
        <v>8.8999999999999999E-3</v>
      </c>
      <c r="AK164" s="228">
        <v>11.25</v>
      </c>
      <c r="AL164" s="228">
        <v>8.6</v>
      </c>
      <c r="AM164" s="228">
        <v>2.65</v>
      </c>
      <c r="AN164" s="229">
        <v>1.26E-2</v>
      </c>
      <c r="AO164" s="228">
        <v>904.92</v>
      </c>
      <c r="AP164" s="228">
        <v>909.51</v>
      </c>
      <c r="AQ164" s="228">
        <v>0</v>
      </c>
      <c r="AR164" s="230">
        <v>1706250</v>
      </c>
      <c r="AS164" s="230">
        <v>1606150</v>
      </c>
      <c r="AT164" s="230">
        <v>100100</v>
      </c>
      <c r="AU164" s="229">
        <v>6.2300000000000001E-2</v>
      </c>
      <c r="AV164" s="230">
        <v>1498250</v>
      </c>
      <c r="AW164" s="230">
        <v>1463150</v>
      </c>
      <c r="AX164" s="230">
        <v>35100</v>
      </c>
      <c r="AY164" s="229">
        <v>2.4E-2</v>
      </c>
      <c r="AZ164" s="230">
        <v>202150</v>
      </c>
      <c r="BA164" s="230">
        <v>136500</v>
      </c>
      <c r="BB164" s="230">
        <v>65650</v>
      </c>
      <c r="BC164" s="229">
        <v>0.48099999999999998</v>
      </c>
      <c r="BD164" s="230">
        <v>5850</v>
      </c>
      <c r="BE164" s="230">
        <v>6500</v>
      </c>
      <c r="BF164" s="228">
        <v>-650</v>
      </c>
      <c r="BG164" s="229">
        <v>-0.1</v>
      </c>
      <c r="BH164" s="230">
        <v>6043700</v>
      </c>
      <c r="BI164" s="230">
        <v>3728400</v>
      </c>
      <c r="BJ164" s="230">
        <v>2315300</v>
      </c>
      <c r="BK164" s="229">
        <v>0.621</v>
      </c>
      <c r="BL164" s="230">
        <v>2936700</v>
      </c>
      <c r="BM164" s="230">
        <v>1935700</v>
      </c>
      <c r="BN164" s="230">
        <v>1001000</v>
      </c>
      <c r="BO164" s="229">
        <v>0.5171</v>
      </c>
      <c r="BP164" s="230">
        <v>10686650</v>
      </c>
      <c r="BQ164" s="230">
        <v>7270250</v>
      </c>
      <c r="BR164" s="230">
        <v>3416400</v>
      </c>
      <c r="BS164" s="229">
        <v>0.46989999999999998</v>
      </c>
      <c r="BT164" s="230">
        <v>762153</v>
      </c>
      <c r="BU164" s="230">
        <v>700508</v>
      </c>
      <c r="BV164" s="230">
        <v>61645</v>
      </c>
      <c r="BW164" s="229">
        <v>8.7999999999999995E-2</v>
      </c>
      <c r="BX164" s="230">
        <v>16359850</v>
      </c>
      <c r="BY164" s="230">
        <v>16256500</v>
      </c>
      <c r="BZ164" s="230">
        <v>103350</v>
      </c>
      <c r="CA164" s="229">
        <v>6.4000000000000003E-3</v>
      </c>
      <c r="CB164" s="230">
        <v>15721550</v>
      </c>
      <c r="CC164" s="230">
        <v>15702700</v>
      </c>
      <c r="CD164" s="230">
        <v>18850</v>
      </c>
      <c r="CE164" s="229">
        <v>1.1999999999999999E-3</v>
      </c>
      <c r="CF164" s="230">
        <v>604500</v>
      </c>
      <c r="CG164" s="230">
        <v>522600</v>
      </c>
      <c r="CH164" s="230">
        <v>81900</v>
      </c>
      <c r="CI164" s="229">
        <v>0.15670000000000001</v>
      </c>
      <c r="CJ164" s="230">
        <v>33800</v>
      </c>
      <c r="CK164" s="230">
        <v>31200</v>
      </c>
      <c r="CL164" s="230">
        <v>2600</v>
      </c>
      <c r="CM164" s="229">
        <v>8.3299999999999999E-2</v>
      </c>
      <c r="CN164" s="230">
        <v>7615400</v>
      </c>
      <c r="CO164" s="230">
        <v>7976800</v>
      </c>
      <c r="CP164" s="230">
        <v>-361400</v>
      </c>
      <c r="CQ164" s="229">
        <v>-4.53E-2</v>
      </c>
      <c r="CR164" s="230">
        <v>4704700</v>
      </c>
      <c r="CS164" s="230">
        <v>4837950</v>
      </c>
      <c r="CT164" s="230">
        <v>-133250</v>
      </c>
      <c r="CU164" s="229">
        <v>-2.75E-2</v>
      </c>
      <c r="CV164" s="230">
        <v>28679950</v>
      </c>
      <c r="CW164" s="230">
        <v>29071250</v>
      </c>
      <c r="CX164" s="230">
        <v>-391300</v>
      </c>
      <c r="CY164" s="229">
        <v>-1.35E-2</v>
      </c>
      <c r="CZ164" s="228">
        <v>28.92</v>
      </c>
      <c r="DA164" s="228">
        <v>28.87</v>
      </c>
      <c r="DB164" s="228">
        <v>0.05</v>
      </c>
      <c r="DC164" s="228">
        <v>0.05</v>
      </c>
      <c r="DD164" s="228">
        <v>46.33</v>
      </c>
      <c r="DE164" s="228">
        <v>46.36</v>
      </c>
      <c r="DF164" s="228">
        <v>-17.41</v>
      </c>
      <c r="DG164" s="228">
        <v>-0.03</v>
      </c>
      <c r="DH164" s="228">
        <v>29.5</v>
      </c>
      <c r="DI164" s="228">
        <v>29.46</v>
      </c>
      <c r="DJ164" s="228">
        <v>0.04</v>
      </c>
      <c r="DK164" s="228">
        <v>0.04</v>
      </c>
      <c r="DL164" s="228">
        <v>27.74</v>
      </c>
      <c r="DM164" s="228">
        <v>27.73</v>
      </c>
      <c r="DN164" s="228">
        <v>0.01</v>
      </c>
      <c r="DO164" s="228">
        <v>0.01</v>
      </c>
      <c r="DP164" s="228">
        <v>0.62</v>
      </c>
      <c r="DQ164" s="228">
        <v>0.61</v>
      </c>
      <c r="DR164" s="228">
        <v>0.01</v>
      </c>
      <c r="DS164" s="229">
        <v>1.6400000000000001E-2</v>
      </c>
      <c r="DT164" s="228">
        <v>920</v>
      </c>
      <c r="DU164" s="228">
        <v>900</v>
      </c>
      <c r="DV164" s="228">
        <v>0.49</v>
      </c>
      <c r="DW164" s="228">
        <v>0.52</v>
      </c>
      <c r="DX164" s="228">
        <v>-0.03</v>
      </c>
      <c r="DY164" s="229">
        <v>-5.7700000000000001E-2</v>
      </c>
      <c r="DZ164" s="229">
        <v>3.9E-2</v>
      </c>
      <c r="EA164" s="230">
        <v>553800</v>
      </c>
      <c r="EB164" s="229">
        <v>5.5999999999999999E-3</v>
      </c>
      <c r="EC164" s="229">
        <v>3.9E-2</v>
      </c>
      <c r="ED164" s="228">
        <v>4.59</v>
      </c>
      <c r="EE164" s="229">
        <v>5.1000000000000004E-3</v>
      </c>
      <c r="EF164" s="230">
        <v>303878</v>
      </c>
      <c r="EG164" s="230">
        <v>323580</v>
      </c>
      <c r="EH164" s="229">
        <v>-6.0900000000000003E-2</v>
      </c>
      <c r="EI164" s="229">
        <v>0.3987</v>
      </c>
      <c r="EJ164" s="231">
        <v>57973.16</v>
      </c>
      <c r="EK164" s="231">
        <v>25952.639999999999</v>
      </c>
      <c r="EL164" s="231">
        <v>15450.18</v>
      </c>
      <c r="EM164" s="231">
        <v>5938</v>
      </c>
      <c r="EN164" s="231">
        <v>99375.98</v>
      </c>
      <c r="EO164" s="231">
        <v>68082.240000000005</v>
      </c>
      <c r="EP164" s="231">
        <v>31293.74</v>
      </c>
      <c r="EQ164" s="229">
        <v>0.45960000000000001</v>
      </c>
      <c r="ER164" s="231">
        <v>72278</v>
      </c>
      <c r="ES164" s="231">
        <v>41359</v>
      </c>
      <c r="ET164" s="231">
        <v>146912</v>
      </c>
      <c r="EU164" s="231">
        <v>28062406</v>
      </c>
      <c r="EV164" s="231">
        <v>260548</v>
      </c>
      <c r="EW164" s="231">
        <v>267406</v>
      </c>
      <c r="EX164" s="231">
        <v>-6858</v>
      </c>
      <c r="EY164" s="229">
        <v>-2.5600000000000001E-2</v>
      </c>
      <c r="EZ164" s="229">
        <v>1.022</v>
      </c>
      <c r="FA164" s="227" t="s">
        <v>567</v>
      </c>
      <c r="FB164" s="161">
        <f t="shared" si="4"/>
        <v>0</v>
      </c>
    </row>
    <row r="165" spans="1:158" ht="17.25" thickBot="1" x14ac:dyDescent="0.3">
      <c r="A165" s="226">
        <v>46008</v>
      </c>
      <c r="B165" s="227" t="s">
        <v>615</v>
      </c>
      <c r="C165" s="227" t="s">
        <v>573</v>
      </c>
      <c r="D165" s="228">
        <v>350</v>
      </c>
      <c r="E165" s="231">
        <v>1770.4</v>
      </c>
      <c r="F165" s="231">
        <v>1823.3</v>
      </c>
      <c r="G165" s="228">
        <v>-52.9</v>
      </c>
      <c r="H165" s="229">
        <v>-2.9000000000000001E-2</v>
      </c>
      <c r="I165" s="231">
        <v>1765</v>
      </c>
      <c r="J165" s="231">
        <v>1820.5</v>
      </c>
      <c r="K165" s="228">
        <v>-55.5</v>
      </c>
      <c r="L165" s="229">
        <v>-3.0499999999999999E-2</v>
      </c>
      <c r="M165" s="231">
        <v>1770.4</v>
      </c>
      <c r="N165" s="231">
        <v>1823.3</v>
      </c>
      <c r="O165" s="228">
        <v>-52.9</v>
      </c>
      <c r="P165" s="229">
        <v>-2.9000000000000001E-2</v>
      </c>
      <c r="Q165" s="231">
        <v>1783.2</v>
      </c>
      <c r="R165" s="231">
        <v>1829.7</v>
      </c>
      <c r="S165" s="228">
        <v>-46.5</v>
      </c>
      <c r="T165" s="229">
        <v>-2.5399999999999999E-2</v>
      </c>
      <c r="U165" s="231">
        <v>1790.8</v>
      </c>
      <c r="V165" s="231">
        <v>1842</v>
      </c>
      <c r="W165" s="228">
        <v>-51.2</v>
      </c>
      <c r="X165" s="229">
        <v>-2.7799999999999998E-2</v>
      </c>
      <c r="Y165" s="228">
        <v>5.4</v>
      </c>
      <c r="Z165" s="228">
        <v>2.8</v>
      </c>
      <c r="AA165" s="228">
        <v>2.6</v>
      </c>
      <c r="AB165" s="229">
        <v>3.0999999999999999E-3</v>
      </c>
      <c r="AC165" s="228">
        <v>5.4</v>
      </c>
      <c r="AD165" s="228">
        <v>2.8</v>
      </c>
      <c r="AE165" s="228">
        <v>2.6</v>
      </c>
      <c r="AF165" s="229">
        <v>3.0999999999999999E-3</v>
      </c>
      <c r="AG165" s="228">
        <v>18.2</v>
      </c>
      <c r="AH165" s="228">
        <v>9.1999999999999993</v>
      </c>
      <c r="AI165" s="228">
        <v>9</v>
      </c>
      <c r="AJ165" s="229">
        <v>1.03E-2</v>
      </c>
      <c r="AK165" s="228">
        <v>25.8</v>
      </c>
      <c r="AL165" s="228">
        <v>21.5</v>
      </c>
      <c r="AM165" s="228">
        <v>4.3</v>
      </c>
      <c r="AN165" s="229">
        <v>1.46E-2</v>
      </c>
      <c r="AO165" s="231">
        <v>1791.54</v>
      </c>
      <c r="AP165" s="231">
        <v>1797.57</v>
      </c>
      <c r="AQ165" s="228">
        <v>0</v>
      </c>
      <c r="AR165" s="230">
        <v>2955050</v>
      </c>
      <c r="AS165" s="230">
        <v>4251100</v>
      </c>
      <c r="AT165" s="230">
        <v>-1296050</v>
      </c>
      <c r="AU165" s="229">
        <v>-0.3049</v>
      </c>
      <c r="AV165" s="230">
        <v>2604700</v>
      </c>
      <c r="AW165" s="230">
        <v>3900400</v>
      </c>
      <c r="AX165" s="230">
        <v>-1295700</v>
      </c>
      <c r="AY165" s="229">
        <v>-0.3322</v>
      </c>
      <c r="AZ165" s="230">
        <v>340200</v>
      </c>
      <c r="BA165" s="230">
        <v>337750</v>
      </c>
      <c r="BB165" s="230">
        <v>2450</v>
      </c>
      <c r="BC165" s="229">
        <v>7.3000000000000001E-3</v>
      </c>
      <c r="BD165" s="230">
        <v>10150</v>
      </c>
      <c r="BE165" s="230">
        <v>12950</v>
      </c>
      <c r="BF165" s="230">
        <v>-2800</v>
      </c>
      <c r="BG165" s="229">
        <v>-0.2162</v>
      </c>
      <c r="BH165" s="230">
        <v>10082800</v>
      </c>
      <c r="BI165" s="230">
        <v>13647550</v>
      </c>
      <c r="BJ165" s="230">
        <v>-3564750</v>
      </c>
      <c r="BK165" s="229">
        <v>-0.26119999999999999</v>
      </c>
      <c r="BL165" s="230">
        <v>11159400</v>
      </c>
      <c r="BM165" s="230">
        <v>18273150</v>
      </c>
      <c r="BN165" s="230">
        <v>-7113750</v>
      </c>
      <c r="BO165" s="229">
        <v>-0.38929999999999998</v>
      </c>
      <c r="BP165" s="230">
        <v>24197250</v>
      </c>
      <c r="BQ165" s="230">
        <v>36171800</v>
      </c>
      <c r="BR165" s="230">
        <v>-11974550</v>
      </c>
      <c r="BS165" s="229">
        <v>-0.33100000000000002</v>
      </c>
      <c r="BT165" s="230">
        <v>1929981</v>
      </c>
      <c r="BU165" s="230">
        <v>3084366</v>
      </c>
      <c r="BV165" s="230">
        <v>-1154385</v>
      </c>
      <c r="BW165" s="229">
        <v>-0.37430000000000002</v>
      </c>
      <c r="BX165" s="230">
        <v>6598900</v>
      </c>
      <c r="BY165" s="230">
        <v>6840050</v>
      </c>
      <c r="BZ165" s="230">
        <v>-241150</v>
      </c>
      <c r="CA165" s="229">
        <v>-3.5299999999999998E-2</v>
      </c>
      <c r="CB165" s="230">
        <v>6081250</v>
      </c>
      <c r="CC165" s="230">
        <v>6251000</v>
      </c>
      <c r="CD165" s="230">
        <v>-169750</v>
      </c>
      <c r="CE165" s="229">
        <v>-2.7199999999999998E-2</v>
      </c>
      <c r="CF165" s="230">
        <v>500500</v>
      </c>
      <c r="CG165" s="230">
        <v>574000</v>
      </c>
      <c r="CH165" s="230">
        <v>-73500</v>
      </c>
      <c r="CI165" s="229">
        <v>-0.128</v>
      </c>
      <c r="CJ165" s="230">
        <v>17150</v>
      </c>
      <c r="CK165" s="230">
        <v>15050</v>
      </c>
      <c r="CL165" s="230">
        <v>2100</v>
      </c>
      <c r="CM165" s="229">
        <v>0.13950000000000001</v>
      </c>
      <c r="CN165" s="230">
        <v>3489500</v>
      </c>
      <c r="CO165" s="230">
        <v>3170650</v>
      </c>
      <c r="CP165" s="230">
        <v>318850</v>
      </c>
      <c r="CQ165" s="229">
        <v>0.10059999999999999</v>
      </c>
      <c r="CR165" s="230">
        <v>2178400</v>
      </c>
      <c r="CS165" s="230">
        <v>2271150</v>
      </c>
      <c r="CT165" s="230">
        <v>-92750</v>
      </c>
      <c r="CU165" s="229">
        <v>-4.0800000000000003E-2</v>
      </c>
      <c r="CV165" s="230">
        <v>12266800</v>
      </c>
      <c r="CW165" s="230">
        <v>12281850</v>
      </c>
      <c r="CX165" s="230">
        <v>-15050</v>
      </c>
      <c r="CY165" s="229">
        <v>-1.1999999999999999E-3</v>
      </c>
      <c r="CZ165" s="228">
        <v>32.68</v>
      </c>
      <c r="DA165" s="228">
        <v>33.869999999999997</v>
      </c>
      <c r="DB165" s="228">
        <v>-1.19</v>
      </c>
      <c r="DC165" s="228">
        <v>-1.19</v>
      </c>
      <c r="DD165" s="228">
        <v>46.9</v>
      </c>
      <c r="DE165" s="228">
        <v>46.83</v>
      </c>
      <c r="DF165" s="228">
        <v>-14.22</v>
      </c>
      <c r="DG165" s="228">
        <v>7.0000000000000007E-2</v>
      </c>
      <c r="DH165" s="228">
        <v>33.35</v>
      </c>
      <c r="DI165" s="228">
        <v>33.299999999999997</v>
      </c>
      <c r="DJ165" s="228">
        <v>0.05</v>
      </c>
      <c r="DK165" s="228">
        <v>0.05</v>
      </c>
      <c r="DL165" s="228">
        <v>32.07</v>
      </c>
      <c r="DM165" s="228">
        <v>34.29</v>
      </c>
      <c r="DN165" s="228">
        <v>-2.2200000000000002</v>
      </c>
      <c r="DO165" s="228">
        <v>-2.2200000000000002</v>
      </c>
      <c r="DP165" s="228">
        <v>0.62</v>
      </c>
      <c r="DQ165" s="228">
        <v>0.72</v>
      </c>
      <c r="DR165" s="228">
        <v>-0.1</v>
      </c>
      <c r="DS165" s="229">
        <v>-0.1389</v>
      </c>
      <c r="DT165" s="231">
        <v>1900</v>
      </c>
      <c r="DU165" s="231">
        <v>1700</v>
      </c>
      <c r="DV165" s="228">
        <v>1.1100000000000001</v>
      </c>
      <c r="DW165" s="228">
        <v>1.34</v>
      </c>
      <c r="DX165" s="228">
        <v>-0.23</v>
      </c>
      <c r="DY165" s="229">
        <v>-0.1716</v>
      </c>
      <c r="DZ165" s="229">
        <v>7.8399999999999997E-2</v>
      </c>
      <c r="EA165" s="230">
        <v>589050</v>
      </c>
      <c r="EB165" s="229">
        <v>7.1999999999999998E-3</v>
      </c>
      <c r="EC165" s="229">
        <v>7.8399999999999997E-2</v>
      </c>
      <c r="ED165" s="228">
        <v>6.03</v>
      </c>
      <c r="EE165" s="229">
        <v>3.3999999999999998E-3</v>
      </c>
      <c r="EF165" s="230">
        <v>848570</v>
      </c>
      <c r="EG165" s="230">
        <v>1332290</v>
      </c>
      <c r="EH165" s="229">
        <v>-0.36309999999999998</v>
      </c>
      <c r="EI165" s="229">
        <v>0.43969999999999998</v>
      </c>
      <c r="EJ165" s="231">
        <v>191981.48</v>
      </c>
      <c r="EK165" s="231">
        <v>199193.94</v>
      </c>
      <c r="EL165" s="231">
        <v>52962.86</v>
      </c>
      <c r="EM165" s="231">
        <v>6100</v>
      </c>
      <c r="EN165" s="231">
        <v>444138.28</v>
      </c>
      <c r="EO165" s="231">
        <v>675815.11</v>
      </c>
      <c r="EP165" s="231">
        <v>-231676.83</v>
      </c>
      <c r="EQ165" s="229">
        <v>-0.34279999999999999</v>
      </c>
      <c r="ER165" s="231">
        <v>67232</v>
      </c>
      <c r="ES165" s="231">
        <v>38270</v>
      </c>
      <c r="ET165" s="231">
        <v>116894</v>
      </c>
      <c r="EU165" s="231">
        <v>51720057</v>
      </c>
      <c r="EV165" s="231">
        <v>222396</v>
      </c>
      <c r="EW165" s="231">
        <v>226812</v>
      </c>
      <c r="EX165" s="231">
        <v>-4416</v>
      </c>
      <c r="EY165" s="229">
        <v>-1.95E-2</v>
      </c>
      <c r="EZ165" s="229">
        <v>0.23719999999999999</v>
      </c>
      <c r="FA165" s="227" t="s">
        <v>568</v>
      </c>
      <c r="FB165" s="161">
        <f t="shared" si="4"/>
        <v>0</v>
      </c>
    </row>
    <row r="166" spans="1:158" ht="17.25" thickBot="1" x14ac:dyDescent="0.3">
      <c r="A166" s="226">
        <v>46008</v>
      </c>
      <c r="B166" s="227" t="s">
        <v>184</v>
      </c>
      <c r="C166" s="227" t="s">
        <v>519</v>
      </c>
      <c r="D166" s="228">
        <v>125</v>
      </c>
      <c r="E166" s="231">
        <v>7103</v>
      </c>
      <c r="F166" s="231">
        <v>7367</v>
      </c>
      <c r="G166" s="228">
        <v>-264</v>
      </c>
      <c r="H166" s="229">
        <v>-3.5799999999999998E-2</v>
      </c>
      <c r="I166" s="231">
        <v>7079.5</v>
      </c>
      <c r="J166" s="231">
        <v>7361.5</v>
      </c>
      <c r="K166" s="228">
        <v>-282</v>
      </c>
      <c r="L166" s="229">
        <v>-3.8300000000000001E-2</v>
      </c>
      <c r="M166" s="231">
        <v>7103</v>
      </c>
      <c r="N166" s="231">
        <v>7367</v>
      </c>
      <c r="O166" s="228">
        <v>-264</v>
      </c>
      <c r="P166" s="229">
        <v>-3.5799999999999998E-2</v>
      </c>
      <c r="Q166" s="231">
        <v>7139</v>
      </c>
      <c r="R166" s="231">
        <v>7403</v>
      </c>
      <c r="S166" s="228">
        <v>-264</v>
      </c>
      <c r="T166" s="229">
        <v>-3.5700000000000003E-2</v>
      </c>
      <c r="U166" s="231">
        <v>7188.5</v>
      </c>
      <c r="V166" s="231">
        <v>7449</v>
      </c>
      <c r="W166" s="228">
        <v>-260.5</v>
      </c>
      <c r="X166" s="229">
        <v>-3.5000000000000003E-2</v>
      </c>
      <c r="Y166" s="228">
        <v>23.5</v>
      </c>
      <c r="Z166" s="228">
        <v>5.5</v>
      </c>
      <c r="AA166" s="228">
        <v>18</v>
      </c>
      <c r="AB166" s="229">
        <v>3.3E-3</v>
      </c>
      <c r="AC166" s="228">
        <v>23.5</v>
      </c>
      <c r="AD166" s="228">
        <v>5.5</v>
      </c>
      <c r="AE166" s="228">
        <v>18</v>
      </c>
      <c r="AF166" s="229">
        <v>3.3E-3</v>
      </c>
      <c r="AG166" s="228">
        <v>59.5</v>
      </c>
      <c r="AH166" s="228">
        <v>41.5</v>
      </c>
      <c r="AI166" s="228">
        <v>18</v>
      </c>
      <c r="AJ166" s="229">
        <v>8.3999999999999995E-3</v>
      </c>
      <c r="AK166" s="228">
        <v>109</v>
      </c>
      <c r="AL166" s="228">
        <v>87.5</v>
      </c>
      <c r="AM166" s="228">
        <v>21.5</v>
      </c>
      <c r="AN166" s="229">
        <v>1.54E-2</v>
      </c>
      <c r="AO166" s="231">
        <v>7119.27</v>
      </c>
      <c r="AP166" s="231">
        <v>7163.12</v>
      </c>
      <c r="AQ166" s="228">
        <v>0</v>
      </c>
      <c r="AR166" s="230">
        <v>1149750</v>
      </c>
      <c r="AS166" s="230">
        <v>378750</v>
      </c>
      <c r="AT166" s="230">
        <v>771000</v>
      </c>
      <c r="AU166" s="229">
        <v>2.0356000000000001</v>
      </c>
      <c r="AV166" s="230">
        <v>994125</v>
      </c>
      <c r="AW166" s="230">
        <v>340750</v>
      </c>
      <c r="AX166" s="230">
        <v>653375</v>
      </c>
      <c r="AY166" s="229">
        <v>1.9175</v>
      </c>
      <c r="AZ166" s="230">
        <v>148000</v>
      </c>
      <c r="BA166" s="230">
        <v>34000</v>
      </c>
      <c r="BB166" s="230">
        <v>114000</v>
      </c>
      <c r="BC166" s="229">
        <v>3.3529</v>
      </c>
      <c r="BD166" s="230">
        <v>7625</v>
      </c>
      <c r="BE166" s="230">
        <v>4000</v>
      </c>
      <c r="BF166" s="230">
        <v>3625</v>
      </c>
      <c r="BG166" s="229">
        <v>0.90629999999999999</v>
      </c>
      <c r="BH166" s="230">
        <v>4545125</v>
      </c>
      <c r="BI166" s="230">
        <v>851125</v>
      </c>
      <c r="BJ166" s="230">
        <v>3694000</v>
      </c>
      <c r="BK166" s="229">
        <v>4.3400999999999996</v>
      </c>
      <c r="BL166" s="230">
        <v>5497875</v>
      </c>
      <c r="BM166" s="230">
        <v>370500</v>
      </c>
      <c r="BN166" s="230">
        <v>5127375</v>
      </c>
      <c r="BO166" s="229">
        <v>13.8391</v>
      </c>
      <c r="BP166" s="230">
        <v>11192750</v>
      </c>
      <c r="BQ166" s="230">
        <v>1600375</v>
      </c>
      <c r="BR166" s="230">
        <v>9592375</v>
      </c>
      <c r="BS166" s="229">
        <v>5.9938000000000002</v>
      </c>
      <c r="BT166" s="230">
        <v>1980056</v>
      </c>
      <c r="BU166" s="230">
        <v>270996</v>
      </c>
      <c r="BV166" s="230">
        <v>1709060</v>
      </c>
      <c r="BW166" s="229">
        <v>6.3066000000000004</v>
      </c>
      <c r="BX166" s="230">
        <v>2228750</v>
      </c>
      <c r="BY166" s="230">
        <v>1895375</v>
      </c>
      <c r="BZ166" s="230">
        <v>333375</v>
      </c>
      <c r="CA166" s="229">
        <v>0.1759</v>
      </c>
      <c r="CB166" s="230">
        <v>2065000</v>
      </c>
      <c r="CC166" s="230">
        <v>1785750</v>
      </c>
      <c r="CD166" s="230">
        <v>279250</v>
      </c>
      <c r="CE166" s="229">
        <v>0.15640000000000001</v>
      </c>
      <c r="CF166" s="230">
        <v>153000</v>
      </c>
      <c r="CG166" s="230">
        <v>98875</v>
      </c>
      <c r="CH166" s="230">
        <v>54125</v>
      </c>
      <c r="CI166" s="229">
        <v>0.5474</v>
      </c>
      <c r="CJ166" s="230">
        <v>10750</v>
      </c>
      <c r="CK166" s="230">
        <v>10750</v>
      </c>
      <c r="CL166" s="228">
        <v>0</v>
      </c>
      <c r="CM166" s="229">
        <v>0</v>
      </c>
      <c r="CN166" s="230">
        <v>1079375</v>
      </c>
      <c r="CO166" s="230">
        <v>769625</v>
      </c>
      <c r="CP166" s="230">
        <v>309750</v>
      </c>
      <c r="CQ166" s="229">
        <v>0.40250000000000002</v>
      </c>
      <c r="CR166" s="230">
        <v>707625</v>
      </c>
      <c r="CS166" s="230">
        <v>519375</v>
      </c>
      <c r="CT166" s="230">
        <v>188250</v>
      </c>
      <c r="CU166" s="229">
        <v>0.36249999999999999</v>
      </c>
      <c r="CV166" s="230">
        <v>4015750</v>
      </c>
      <c r="CW166" s="230">
        <v>3184375</v>
      </c>
      <c r="CX166" s="230">
        <v>831375</v>
      </c>
      <c r="CY166" s="229">
        <v>0.2611</v>
      </c>
      <c r="CZ166" s="228">
        <v>26.06</v>
      </c>
      <c r="DA166" s="228">
        <v>24.03</v>
      </c>
      <c r="DB166" s="228">
        <v>2.0299999999999998</v>
      </c>
      <c r="DC166" s="228">
        <v>2.0299999999999998</v>
      </c>
      <c r="DD166" s="228">
        <v>38.79</v>
      </c>
      <c r="DE166" s="228">
        <v>38.520000000000003</v>
      </c>
      <c r="DF166" s="228">
        <v>-12.73</v>
      </c>
      <c r="DG166" s="228">
        <v>0.27</v>
      </c>
      <c r="DH166" s="228">
        <v>25.81</v>
      </c>
      <c r="DI166" s="228">
        <v>23.91</v>
      </c>
      <c r="DJ166" s="228">
        <v>1.9</v>
      </c>
      <c r="DK166" s="228">
        <v>1.9</v>
      </c>
      <c r="DL166" s="228">
        <v>26.27</v>
      </c>
      <c r="DM166" s="228">
        <v>24.31</v>
      </c>
      <c r="DN166" s="228">
        <v>1.96</v>
      </c>
      <c r="DO166" s="228">
        <v>1.96</v>
      </c>
      <c r="DP166" s="228">
        <v>0.66</v>
      </c>
      <c r="DQ166" s="228">
        <v>0.67</v>
      </c>
      <c r="DR166" s="228">
        <v>-0.01</v>
      </c>
      <c r="DS166" s="229">
        <v>-1.49E-2</v>
      </c>
      <c r="DT166" s="231">
        <v>7500</v>
      </c>
      <c r="DU166" s="231">
        <v>7000</v>
      </c>
      <c r="DV166" s="228">
        <v>1.21</v>
      </c>
      <c r="DW166" s="228">
        <v>0.44</v>
      </c>
      <c r="DX166" s="228">
        <v>0.77</v>
      </c>
      <c r="DY166" s="229">
        <v>1.75</v>
      </c>
      <c r="DZ166" s="229">
        <v>7.3499999999999996E-2</v>
      </c>
      <c r="EA166" s="230">
        <v>109625</v>
      </c>
      <c r="EB166" s="229">
        <v>5.1000000000000004E-3</v>
      </c>
      <c r="EC166" s="229">
        <v>7.3499999999999996E-2</v>
      </c>
      <c r="ED166" s="228">
        <v>43.85</v>
      </c>
      <c r="EE166" s="229">
        <v>6.1999999999999998E-3</v>
      </c>
      <c r="EF166" s="230">
        <v>1072835</v>
      </c>
      <c r="EG166" s="230">
        <v>172886</v>
      </c>
      <c r="EH166" s="229">
        <v>5.2054</v>
      </c>
      <c r="EI166" s="229">
        <v>0.54179999999999995</v>
      </c>
      <c r="EJ166" s="231">
        <v>338874.54</v>
      </c>
      <c r="EK166" s="231">
        <v>385768.12</v>
      </c>
      <c r="EL166" s="231">
        <v>81925.33</v>
      </c>
      <c r="EM166" s="231">
        <v>2930</v>
      </c>
      <c r="EN166" s="231">
        <v>806567.99</v>
      </c>
      <c r="EO166" s="231">
        <v>120105.52</v>
      </c>
      <c r="EP166" s="231">
        <v>686462.47</v>
      </c>
      <c r="EQ166" s="229">
        <v>5.7154999999999996</v>
      </c>
      <c r="ER166" s="231">
        <v>80830</v>
      </c>
      <c r="ES166" s="231">
        <v>49383</v>
      </c>
      <c r="ET166" s="231">
        <v>158372</v>
      </c>
      <c r="EU166" s="231">
        <v>8350688</v>
      </c>
      <c r="EV166" s="231">
        <v>288585</v>
      </c>
      <c r="EW166" s="231">
        <v>235332</v>
      </c>
      <c r="EX166" s="231">
        <v>53253</v>
      </c>
      <c r="EY166" s="229">
        <v>0.2263</v>
      </c>
      <c r="EZ166" s="229">
        <v>0.48089999999999999</v>
      </c>
      <c r="FA166" s="227" t="s">
        <v>567</v>
      </c>
      <c r="FB166" s="161">
        <f t="shared" si="4"/>
        <v>0</v>
      </c>
    </row>
    <row r="167" spans="1:158" ht="17.25" thickBot="1" x14ac:dyDescent="0.3">
      <c r="A167" s="226">
        <v>46008</v>
      </c>
      <c r="B167" s="227" t="s">
        <v>161</v>
      </c>
      <c r="C167" s="227" t="s">
        <v>276</v>
      </c>
      <c r="D167" s="228">
        <v>1900</v>
      </c>
      <c r="E167" s="228">
        <v>261.89999999999998</v>
      </c>
      <c r="F167" s="228">
        <v>261.39999999999998</v>
      </c>
      <c r="G167" s="228">
        <v>0.5</v>
      </c>
      <c r="H167" s="229">
        <v>1.9E-3</v>
      </c>
      <c r="I167" s="228">
        <v>261.10000000000002</v>
      </c>
      <c r="J167" s="228">
        <v>260.35000000000002</v>
      </c>
      <c r="K167" s="228">
        <v>0.75</v>
      </c>
      <c r="L167" s="229">
        <v>2.8999999999999998E-3</v>
      </c>
      <c r="M167" s="228">
        <v>261.89999999999998</v>
      </c>
      <c r="N167" s="228">
        <v>261.39999999999998</v>
      </c>
      <c r="O167" s="228">
        <v>0.5</v>
      </c>
      <c r="P167" s="229">
        <v>1.9E-3</v>
      </c>
      <c r="Q167" s="228">
        <v>263.45</v>
      </c>
      <c r="R167" s="228">
        <v>262.64999999999998</v>
      </c>
      <c r="S167" s="228">
        <v>0.8</v>
      </c>
      <c r="T167" s="229">
        <v>3.0000000000000001E-3</v>
      </c>
      <c r="U167" s="228">
        <v>262.39999999999998</v>
      </c>
      <c r="V167" s="228">
        <v>261.7</v>
      </c>
      <c r="W167" s="228">
        <v>0.7</v>
      </c>
      <c r="X167" s="229">
        <v>2.7000000000000001E-3</v>
      </c>
      <c r="Y167" s="228">
        <v>0.8</v>
      </c>
      <c r="Z167" s="228">
        <v>1.05</v>
      </c>
      <c r="AA167" s="228">
        <v>-0.25</v>
      </c>
      <c r="AB167" s="229">
        <v>3.0999999999999999E-3</v>
      </c>
      <c r="AC167" s="228">
        <v>0.8</v>
      </c>
      <c r="AD167" s="228">
        <v>1.05</v>
      </c>
      <c r="AE167" s="228">
        <v>-0.25</v>
      </c>
      <c r="AF167" s="229">
        <v>3.0999999999999999E-3</v>
      </c>
      <c r="AG167" s="228">
        <v>2.35</v>
      </c>
      <c r="AH167" s="228">
        <v>2.2999999999999998</v>
      </c>
      <c r="AI167" s="228">
        <v>0.05</v>
      </c>
      <c r="AJ167" s="229">
        <v>8.9999999999999993E-3</v>
      </c>
      <c r="AK167" s="228">
        <v>1.3</v>
      </c>
      <c r="AL167" s="228">
        <v>1.35</v>
      </c>
      <c r="AM167" s="228">
        <v>-0.05</v>
      </c>
      <c r="AN167" s="229">
        <v>5.0000000000000001E-3</v>
      </c>
      <c r="AO167" s="228">
        <v>262.16000000000003</v>
      </c>
      <c r="AP167" s="228">
        <v>263.75</v>
      </c>
      <c r="AQ167" s="228">
        <v>0</v>
      </c>
      <c r="AR167" s="230">
        <v>7421400</v>
      </c>
      <c r="AS167" s="230">
        <v>8679200</v>
      </c>
      <c r="AT167" s="230">
        <v>-1257800</v>
      </c>
      <c r="AU167" s="229">
        <v>-0.1449</v>
      </c>
      <c r="AV167" s="230">
        <v>6374500</v>
      </c>
      <c r="AW167" s="230">
        <v>6745000</v>
      </c>
      <c r="AX167" s="230">
        <v>-370500</v>
      </c>
      <c r="AY167" s="229">
        <v>-5.4899999999999997E-2</v>
      </c>
      <c r="AZ167" s="230">
        <v>961400</v>
      </c>
      <c r="BA167" s="230">
        <v>1846800</v>
      </c>
      <c r="BB167" s="230">
        <v>-885400</v>
      </c>
      <c r="BC167" s="229">
        <v>-0.47939999999999999</v>
      </c>
      <c r="BD167" s="230">
        <v>85500</v>
      </c>
      <c r="BE167" s="230">
        <v>87400</v>
      </c>
      <c r="BF167" s="230">
        <v>-1900</v>
      </c>
      <c r="BG167" s="229">
        <v>-2.1700000000000001E-2</v>
      </c>
      <c r="BH167" s="230">
        <v>15916300</v>
      </c>
      <c r="BI167" s="230">
        <v>17785900</v>
      </c>
      <c r="BJ167" s="230">
        <v>-1869600</v>
      </c>
      <c r="BK167" s="229">
        <v>-0.1051</v>
      </c>
      <c r="BL167" s="230">
        <v>5504300</v>
      </c>
      <c r="BM167" s="230">
        <v>5257300</v>
      </c>
      <c r="BN167" s="230">
        <v>247000</v>
      </c>
      <c r="BO167" s="229">
        <v>4.7E-2</v>
      </c>
      <c r="BP167" s="230">
        <v>28842000</v>
      </c>
      <c r="BQ167" s="230">
        <v>31722400</v>
      </c>
      <c r="BR167" s="230">
        <v>-2880400</v>
      </c>
      <c r="BS167" s="229">
        <v>-9.0800000000000006E-2</v>
      </c>
      <c r="BT167" s="230">
        <v>11180427</v>
      </c>
      <c r="BU167" s="230">
        <v>9665636</v>
      </c>
      <c r="BV167" s="230">
        <v>1514791</v>
      </c>
      <c r="BW167" s="229">
        <v>0.15670000000000001</v>
      </c>
      <c r="BX167" s="230">
        <v>82860900</v>
      </c>
      <c r="BY167" s="230">
        <v>81179400</v>
      </c>
      <c r="BZ167" s="230">
        <v>1681500</v>
      </c>
      <c r="CA167" s="229">
        <v>2.07E-2</v>
      </c>
      <c r="CB167" s="230">
        <v>73545200</v>
      </c>
      <c r="CC167" s="230">
        <v>72458400</v>
      </c>
      <c r="CD167" s="230">
        <v>1086800</v>
      </c>
      <c r="CE167" s="229">
        <v>1.4999999999999999E-2</v>
      </c>
      <c r="CF167" s="230">
        <v>8417000</v>
      </c>
      <c r="CG167" s="230">
        <v>7850800</v>
      </c>
      <c r="CH167" s="230">
        <v>566200</v>
      </c>
      <c r="CI167" s="229">
        <v>7.2099999999999997E-2</v>
      </c>
      <c r="CJ167" s="230">
        <v>898700</v>
      </c>
      <c r="CK167" s="230">
        <v>870200</v>
      </c>
      <c r="CL167" s="230">
        <v>28500</v>
      </c>
      <c r="CM167" s="229">
        <v>3.2800000000000003E-2</v>
      </c>
      <c r="CN167" s="230">
        <v>34751000</v>
      </c>
      <c r="CO167" s="230">
        <v>35438800</v>
      </c>
      <c r="CP167" s="230">
        <v>-687800</v>
      </c>
      <c r="CQ167" s="229">
        <v>-1.9400000000000001E-2</v>
      </c>
      <c r="CR167" s="230">
        <v>21072900</v>
      </c>
      <c r="CS167" s="230">
        <v>21124200</v>
      </c>
      <c r="CT167" s="230">
        <v>-51300</v>
      </c>
      <c r="CU167" s="229">
        <v>-2.3999999999999998E-3</v>
      </c>
      <c r="CV167" s="230">
        <v>138684800</v>
      </c>
      <c r="CW167" s="230">
        <v>137742400</v>
      </c>
      <c r="CX167" s="230">
        <v>942400</v>
      </c>
      <c r="CY167" s="229">
        <v>6.7999999999999996E-3</v>
      </c>
      <c r="CZ167" s="228">
        <v>17.27</v>
      </c>
      <c r="DA167" s="228">
        <v>18.100000000000001</v>
      </c>
      <c r="DB167" s="228">
        <v>-0.83</v>
      </c>
      <c r="DC167" s="228">
        <v>-0.83</v>
      </c>
      <c r="DD167" s="228">
        <v>27.77</v>
      </c>
      <c r="DE167" s="228">
        <v>27.83</v>
      </c>
      <c r="DF167" s="228">
        <v>-10.5</v>
      </c>
      <c r="DG167" s="228">
        <v>-0.06</v>
      </c>
      <c r="DH167" s="228">
        <v>17.45</v>
      </c>
      <c r="DI167" s="228">
        <v>18.23</v>
      </c>
      <c r="DJ167" s="228">
        <v>-0.78</v>
      </c>
      <c r="DK167" s="228">
        <v>-0.78</v>
      </c>
      <c r="DL167" s="228">
        <v>16.72</v>
      </c>
      <c r="DM167" s="228">
        <v>17.649999999999999</v>
      </c>
      <c r="DN167" s="228">
        <v>-0.93</v>
      </c>
      <c r="DO167" s="228">
        <v>-0.93</v>
      </c>
      <c r="DP167" s="228">
        <v>0.61</v>
      </c>
      <c r="DQ167" s="228">
        <v>0.6</v>
      </c>
      <c r="DR167" s="228">
        <v>0.01</v>
      </c>
      <c r="DS167" s="229">
        <v>1.67E-2</v>
      </c>
      <c r="DT167" s="228">
        <v>280</v>
      </c>
      <c r="DU167" s="228">
        <v>260</v>
      </c>
      <c r="DV167" s="228">
        <v>0.35</v>
      </c>
      <c r="DW167" s="228">
        <v>0.3</v>
      </c>
      <c r="DX167" s="228">
        <v>0.05</v>
      </c>
      <c r="DY167" s="229">
        <v>0.16669999999999999</v>
      </c>
      <c r="DZ167" s="229">
        <v>0.1124</v>
      </c>
      <c r="EA167" s="230">
        <v>8721000</v>
      </c>
      <c r="EB167" s="229">
        <v>5.8999999999999999E-3</v>
      </c>
      <c r="EC167" s="229">
        <v>0.1124</v>
      </c>
      <c r="ED167" s="228">
        <v>1.59</v>
      </c>
      <c r="EE167" s="229">
        <v>6.1000000000000004E-3</v>
      </c>
      <c r="EF167" s="230">
        <v>8722909</v>
      </c>
      <c r="EG167" s="230">
        <v>6316898</v>
      </c>
      <c r="EH167" s="229">
        <v>0.38090000000000002</v>
      </c>
      <c r="EI167" s="229">
        <v>0.7802</v>
      </c>
      <c r="EJ167" s="231">
        <v>43009.26</v>
      </c>
      <c r="EK167" s="231">
        <v>14440.7</v>
      </c>
      <c r="EL167" s="231">
        <v>19471.439999999999</v>
      </c>
      <c r="EM167" s="231">
        <v>3701</v>
      </c>
      <c r="EN167" s="231">
        <v>76921.399999999994</v>
      </c>
      <c r="EO167" s="231">
        <v>84881.12</v>
      </c>
      <c r="EP167" s="231">
        <v>-7959.72</v>
      </c>
      <c r="EQ167" s="229">
        <v>-9.3799999999999994E-2</v>
      </c>
      <c r="ER167" s="231">
        <v>97822</v>
      </c>
      <c r="ES167" s="231">
        <v>56959</v>
      </c>
      <c r="ET167" s="231">
        <v>217148</v>
      </c>
      <c r="EU167" s="231">
        <v>488832949</v>
      </c>
      <c r="EV167" s="231">
        <v>371929</v>
      </c>
      <c r="EW167" s="231">
        <v>369162</v>
      </c>
      <c r="EX167" s="231">
        <v>2767</v>
      </c>
      <c r="EY167" s="229">
        <v>7.4999999999999997E-3</v>
      </c>
      <c r="EZ167" s="229">
        <v>0.28370000000000001</v>
      </c>
      <c r="FA167" s="227" t="s">
        <v>555</v>
      </c>
      <c r="FB167" s="161">
        <f t="shared" si="4"/>
        <v>0</v>
      </c>
    </row>
    <row r="168" spans="1:158" ht="17.25" thickBot="1" x14ac:dyDescent="0.3">
      <c r="A168" s="226">
        <v>46008</v>
      </c>
      <c r="B168" s="227" t="s">
        <v>184</v>
      </c>
      <c r="C168" s="227" t="s">
        <v>688</v>
      </c>
      <c r="D168" s="228">
        <v>50</v>
      </c>
      <c r="E168" s="231">
        <v>19215</v>
      </c>
      <c r="F168" s="231">
        <v>19340</v>
      </c>
      <c r="G168" s="228">
        <v>-125</v>
      </c>
      <c r="H168" s="229">
        <v>-6.4999999999999997E-3</v>
      </c>
      <c r="I168" s="231">
        <v>19150</v>
      </c>
      <c r="J168" s="231">
        <v>19320</v>
      </c>
      <c r="K168" s="228">
        <v>-170</v>
      </c>
      <c r="L168" s="229">
        <v>-8.8000000000000005E-3</v>
      </c>
      <c r="M168" s="231">
        <v>19215</v>
      </c>
      <c r="N168" s="231">
        <v>19340</v>
      </c>
      <c r="O168" s="228">
        <v>-125</v>
      </c>
      <c r="P168" s="229">
        <v>-6.4999999999999997E-3</v>
      </c>
      <c r="Q168" s="231">
        <v>19290</v>
      </c>
      <c r="R168" s="231">
        <v>19425</v>
      </c>
      <c r="S168" s="228">
        <v>-135</v>
      </c>
      <c r="T168" s="229">
        <v>-6.8999999999999999E-3</v>
      </c>
      <c r="U168" s="231">
        <v>19365</v>
      </c>
      <c r="V168" s="231">
        <v>19650</v>
      </c>
      <c r="W168" s="228">
        <v>-285</v>
      </c>
      <c r="X168" s="229">
        <v>-1.4500000000000001E-2</v>
      </c>
      <c r="Y168" s="228">
        <v>65</v>
      </c>
      <c r="Z168" s="228">
        <v>20</v>
      </c>
      <c r="AA168" s="228">
        <v>45</v>
      </c>
      <c r="AB168" s="229">
        <v>3.3999999999999998E-3</v>
      </c>
      <c r="AC168" s="228">
        <v>65</v>
      </c>
      <c r="AD168" s="228">
        <v>20</v>
      </c>
      <c r="AE168" s="228">
        <v>45</v>
      </c>
      <c r="AF168" s="229">
        <v>3.3999999999999998E-3</v>
      </c>
      <c r="AG168" s="228">
        <v>140</v>
      </c>
      <c r="AH168" s="228">
        <v>105</v>
      </c>
      <c r="AI168" s="228">
        <v>35</v>
      </c>
      <c r="AJ168" s="229">
        <v>7.3000000000000001E-3</v>
      </c>
      <c r="AK168" s="228">
        <v>215</v>
      </c>
      <c r="AL168" s="228">
        <v>330</v>
      </c>
      <c r="AM168" s="228">
        <v>-115</v>
      </c>
      <c r="AN168" s="229">
        <v>1.12E-2</v>
      </c>
      <c r="AO168" s="231">
        <v>19343.509999999998</v>
      </c>
      <c r="AP168" s="231">
        <v>19413.240000000002</v>
      </c>
      <c r="AQ168" s="228">
        <v>0</v>
      </c>
      <c r="AR168" s="230">
        <v>65650</v>
      </c>
      <c r="AS168" s="230">
        <v>42550</v>
      </c>
      <c r="AT168" s="230">
        <v>23100</v>
      </c>
      <c r="AU168" s="229">
        <v>0.54290000000000005</v>
      </c>
      <c r="AV168" s="230">
        <v>58050</v>
      </c>
      <c r="AW168" s="230">
        <v>39450</v>
      </c>
      <c r="AX168" s="230">
        <v>18600</v>
      </c>
      <c r="AY168" s="229">
        <v>0.47149999999999997</v>
      </c>
      <c r="AZ168" s="230">
        <v>7400</v>
      </c>
      <c r="BA168" s="230">
        <v>3100</v>
      </c>
      <c r="BB168" s="230">
        <v>4300</v>
      </c>
      <c r="BC168" s="229">
        <v>1.3871</v>
      </c>
      <c r="BD168" s="228">
        <v>200</v>
      </c>
      <c r="BE168" s="228">
        <v>0</v>
      </c>
      <c r="BF168" s="228">
        <v>200</v>
      </c>
      <c r="BG168" s="229">
        <v>0</v>
      </c>
      <c r="BH168" s="230">
        <v>428600</v>
      </c>
      <c r="BI168" s="230">
        <v>230350</v>
      </c>
      <c r="BJ168" s="230">
        <v>198250</v>
      </c>
      <c r="BK168" s="229">
        <v>0.86060000000000003</v>
      </c>
      <c r="BL168" s="230">
        <v>118950</v>
      </c>
      <c r="BM168" s="230">
        <v>85600</v>
      </c>
      <c r="BN168" s="230">
        <v>33350</v>
      </c>
      <c r="BO168" s="229">
        <v>0.3896</v>
      </c>
      <c r="BP168" s="230">
        <v>613200</v>
      </c>
      <c r="BQ168" s="230">
        <v>358500</v>
      </c>
      <c r="BR168" s="230">
        <v>254700</v>
      </c>
      <c r="BS168" s="229">
        <v>0.71050000000000002</v>
      </c>
      <c r="BT168" s="230">
        <v>76919</v>
      </c>
      <c r="BU168" s="230">
        <v>56238</v>
      </c>
      <c r="BV168" s="230">
        <v>20681</v>
      </c>
      <c r="BW168" s="229">
        <v>0.36770000000000003</v>
      </c>
      <c r="BX168" s="230">
        <v>268300</v>
      </c>
      <c r="BY168" s="230">
        <v>279050</v>
      </c>
      <c r="BZ168" s="230">
        <v>-10750</v>
      </c>
      <c r="CA168" s="229">
        <v>-3.85E-2</v>
      </c>
      <c r="CB168" s="230">
        <v>254100</v>
      </c>
      <c r="CC168" s="230">
        <v>264050</v>
      </c>
      <c r="CD168" s="230">
        <v>-9950</v>
      </c>
      <c r="CE168" s="229">
        <v>-3.7699999999999997E-2</v>
      </c>
      <c r="CF168" s="230">
        <v>12900</v>
      </c>
      <c r="CG168" s="230">
        <v>13800</v>
      </c>
      <c r="CH168" s="228">
        <v>-900</v>
      </c>
      <c r="CI168" s="229">
        <v>-6.5199999999999994E-2</v>
      </c>
      <c r="CJ168" s="230">
        <v>1300</v>
      </c>
      <c r="CK168" s="230">
        <v>1200</v>
      </c>
      <c r="CL168" s="228">
        <v>100</v>
      </c>
      <c r="CM168" s="229">
        <v>8.3299999999999999E-2</v>
      </c>
      <c r="CN168" s="230">
        <v>522200</v>
      </c>
      <c r="CO168" s="230">
        <v>550550</v>
      </c>
      <c r="CP168" s="230">
        <v>-28350</v>
      </c>
      <c r="CQ168" s="229">
        <v>-5.1499999999999997E-2</v>
      </c>
      <c r="CR168" s="230">
        <v>198250</v>
      </c>
      <c r="CS168" s="230">
        <v>205800</v>
      </c>
      <c r="CT168" s="230">
        <v>-7550</v>
      </c>
      <c r="CU168" s="229">
        <v>-3.6700000000000003E-2</v>
      </c>
      <c r="CV168" s="230">
        <v>988750</v>
      </c>
      <c r="CW168" s="230">
        <v>1035400</v>
      </c>
      <c r="CX168" s="230">
        <v>-46650</v>
      </c>
      <c r="CY168" s="229">
        <v>-4.5100000000000001E-2</v>
      </c>
      <c r="CZ168" s="228">
        <v>35.520000000000003</v>
      </c>
      <c r="DA168" s="228">
        <v>35.43</v>
      </c>
      <c r="DB168" s="228">
        <v>0.09</v>
      </c>
      <c r="DC168" s="228">
        <v>0.09</v>
      </c>
      <c r="DD168" s="228">
        <v>58.22</v>
      </c>
      <c r="DE168" s="228">
        <v>58.35</v>
      </c>
      <c r="DF168" s="228">
        <v>-22.7</v>
      </c>
      <c r="DG168" s="228">
        <v>-0.13</v>
      </c>
      <c r="DH168" s="228">
        <v>36.67</v>
      </c>
      <c r="DI168" s="228">
        <v>36.61</v>
      </c>
      <c r="DJ168" s="228">
        <v>0.06</v>
      </c>
      <c r="DK168" s="228">
        <v>0.06</v>
      </c>
      <c r="DL168" s="228">
        <v>31.36</v>
      </c>
      <c r="DM168" s="228">
        <v>32.26</v>
      </c>
      <c r="DN168" s="228">
        <v>-0.9</v>
      </c>
      <c r="DO168" s="228">
        <v>-0.9</v>
      </c>
      <c r="DP168" s="228">
        <v>0.38</v>
      </c>
      <c r="DQ168" s="228">
        <v>0.37</v>
      </c>
      <c r="DR168" s="228">
        <v>0.01</v>
      </c>
      <c r="DS168" s="229">
        <v>2.7E-2</v>
      </c>
      <c r="DT168" s="231">
        <v>22000</v>
      </c>
      <c r="DU168" s="231">
        <v>18500</v>
      </c>
      <c r="DV168" s="228">
        <v>0.28000000000000003</v>
      </c>
      <c r="DW168" s="228">
        <v>0.37</v>
      </c>
      <c r="DX168" s="228">
        <v>-0.09</v>
      </c>
      <c r="DY168" s="229">
        <v>-0.2432</v>
      </c>
      <c r="DZ168" s="229">
        <v>5.2900000000000003E-2</v>
      </c>
      <c r="EA168" s="230">
        <v>15000</v>
      </c>
      <c r="EB168" s="229">
        <v>3.8999999999999998E-3</v>
      </c>
      <c r="EC168" s="229">
        <v>5.2900000000000003E-2</v>
      </c>
      <c r="ED168" s="228">
        <v>69.73</v>
      </c>
      <c r="EE168" s="229">
        <v>3.5999999999999999E-3</v>
      </c>
      <c r="EF168" s="230">
        <v>24436</v>
      </c>
      <c r="EG168" s="230">
        <v>25503</v>
      </c>
      <c r="EH168" s="229">
        <v>-4.1799999999999997E-2</v>
      </c>
      <c r="EI168" s="229">
        <v>0.31769999999999998</v>
      </c>
      <c r="EJ168" s="231">
        <v>91884.95</v>
      </c>
      <c r="EK168" s="231">
        <v>22043.58</v>
      </c>
      <c r="EL168" s="231">
        <v>12704.64</v>
      </c>
      <c r="EM168" s="231">
        <v>1530</v>
      </c>
      <c r="EN168" s="231">
        <v>126633.17</v>
      </c>
      <c r="EO168" s="231">
        <v>73621.509999999995</v>
      </c>
      <c r="EP168" s="231">
        <v>53011.66</v>
      </c>
      <c r="EQ168" s="229">
        <v>0.72009999999999996</v>
      </c>
      <c r="ER168" s="231">
        <v>113271</v>
      </c>
      <c r="ES168" s="231">
        <v>37450</v>
      </c>
      <c r="ET168" s="231">
        <v>51565</v>
      </c>
      <c r="EU168" s="231">
        <v>1917916</v>
      </c>
      <c r="EV168" s="231">
        <v>202286</v>
      </c>
      <c r="EW168" s="231">
        <v>212555</v>
      </c>
      <c r="EX168" s="231">
        <v>-10269</v>
      </c>
      <c r="EY168" s="229">
        <v>-4.8300000000000003E-2</v>
      </c>
      <c r="EZ168" s="229">
        <v>0.51549999999999996</v>
      </c>
      <c r="FA168" s="227" t="s">
        <v>568</v>
      </c>
      <c r="FB168" s="161">
        <f t="shared" si="4"/>
        <v>0</v>
      </c>
    </row>
    <row r="169" spans="1:158" ht="17.25" thickBot="1" x14ac:dyDescent="0.3">
      <c r="A169" s="226">
        <v>46008</v>
      </c>
      <c r="B169" s="227" t="s">
        <v>170</v>
      </c>
      <c r="C169" s="227" t="s">
        <v>679</v>
      </c>
      <c r="D169" s="228">
        <v>2500</v>
      </c>
      <c r="E169" s="228">
        <v>168.2</v>
      </c>
      <c r="F169" s="228">
        <v>168.86</v>
      </c>
      <c r="G169" s="228">
        <v>-0.66</v>
      </c>
      <c r="H169" s="229">
        <v>-3.8999999999999998E-3</v>
      </c>
      <c r="I169" s="228">
        <v>167.9</v>
      </c>
      <c r="J169" s="228">
        <v>168.6</v>
      </c>
      <c r="K169" s="228">
        <v>-0.7</v>
      </c>
      <c r="L169" s="229">
        <v>-4.1999999999999997E-3</v>
      </c>
      <c r="M169" s="228">
        <v>168.2</v>
      </c>
      <c r="N169" s="228">
        <v>168.86</v>
      </c>
      <c r="O169" s="228">
        <v>-0.66</v>
      </c>
      <c r="P169" s="229">
        <v>-3.8999999999999998E-3</v>
      </c>
      <c r="Q169" s="228">
        <v>169.05</v>
      </c>
      <c r="R169" s="228">
        <v>169.97</v>
      </c>
      <c r="S169" s="228">
        <v>-0.92</v>
      </c>
      <c r="T169" s="229">
        <v>-5.4000000000000003E-3</v>
      </c>
      <c r="U169" s="228">
        <v>170.02</v>
      </c>
      <c r="V169" s="228">
        <v>170.87</v>
      </c>
      <c r="W169" s="228">
        <v>-0.85</v>
      </c>
      <c r="X169" s="229">
        <v>-5.0000000000000001E-3</v>
      </c>
      <c r="Y169" s="228">
        <v>0.3</v>
      </c>
      <c r="Z169" s="228">
        <v>0.26</v>
      </c>
      <c r="AA169" s="228">
        <v>0.04</v>
      </c>
      <c r="AB169" s="229">
        <v>1.8E-3</v>
      </c>
      <c r="AC169" s="228">
        <v>0.3</v>
      </c>
      <c r="AD169" s="228">
        <v>0.26</v>
      </c>
      <c r="AE169" s="228">
        <v>0.04</v>
      </c>
      <c r="AF169" s="229">
        <v>1.8E-3</v>
      </c>
      <c r="AG169" s="228">
        <v>1.1499999999999999</v>
      </c>
      <c r="AH169" s="228">
        <v>1.37</v>
      </c>
      <c r="AI169" s="228">
        <v>-0.22</v>
      </c>
      <c r="AJ169" s="229">
        <v>6.7999999999999996E-3</v>
      </c>
      <c r="AK169" s="228">
        <v>2.12</v>
      </c>
      <c r="AL169" s="228">
        <v>2.27</v>
      </c>
      <c r="AM169" s="228">
        <v>-0.15</v>
      </c>
      <c r="AN169" s="229">
        <v>1.26E-2</v>
      </c>
      <c r="AO169" s="228">
        <v>169.24</v>
      </c>
      <c r="AP169" s="228">
        <v>170.26</v>
      </c>
      <c r="AQ169" s="228">
        <v>0</v>
      </c>
      <c r="AR169" s="230">
        <v>3997500</v>
      </c>
      <c r="AS169" s="230">
        <v>6182500</v>
      </c>
      <c r="AT169" s="230">
        <v>-2185000</v>
      </c>
      <c r="AU169" s="229">
        <v>-0.35339999999999999</v>
      </c>
      <c r="AV169" s="230">
        <v>3270000</v>
      </c>
      <c r="AW169" s="230">
        <v>4587500</v>
      </c>
      <c r="AX169" s="230">
        <v>-1317500</v>
      </c>
      <c r="AY169" s="229">
        <v>-0.28720000000000001</v>
      </c>
      <c r="AZ169" s="230">
        <v>717500</v>
      </c>
      <c r="BA169" s="230">
        <v>1467500</v>
      </c>
      <c r="BB169" s="230">
        <v>-750000</v>
      </c>
      <c r="BC169" s="229">
        <v>-0.5111</v>
      </c>
      <c r="BD169" s="230">
        <v>10000</v>
      </c>
      <c r="BE169" s="230">
        <v>127500</v>
      </c>
      <c r="BF169" s="230">
        <v>-117500</v>
      </c>
      <c r="BG169" s="229">
        <v>-0.92159999999999997</v>
      </c>
      <c r="BH169" s="230">
        <v>8145000</v>
      </c>
      <c r="BI169" s="230">
        <v>11280000</v>
      </c>
      <c r="BJ169" s="230">
        <v>-3135000</v>
      </c>
      <c r="BK169" s="229">
        <v>-0.27789999999999998</v>
      </c>
      <c r="BL169" s="230">
        <v>3242500</v>
      </c>
      <c r="BM169" s="230">
        <v>4227500</v>
      </c>
      <c r="BN169" s="230">
        <v>-985000</v>
      </c>
      <c r="BO169" s="229">
        <v>-0.23300000000000001</v>
      </c>
      <c r="BP169" s="230">
        <v>15385000</v>
      </c>
      <c r="BQ169" s="230">
        <v>21690000</v>
      </c>
      <c r="BR169" s="230">
        <v>-6305000</v>
      </c>
      <c r="BS169" s="229">
        <v>-0.29070000000000001</v>
      </c>
      <c r="BT169" s="230">
        <v>2764784</v>
      </c>
      <c r="BU169" s="230">
        <v>3822998</v>
      </c>
      <c r="BV169" s="230">
        <v>-1058214</v>
      </c>
      <c r="BW169" s="229">
        <v>-0.27679999999999999</v>
      </c>
      <c r="BX169" s="230">
        <v>28399125</v>
      </c>
      <c r="BY169" s="230">
        <v>28538500</v>
      </c>
      <c r="BZ169" s="230">
        <v>-139375</v>
      </c>
      <c r="CA169" s="229">
        <v>-4.8999999999999998E-3</v>
      </c>
      <c r="CB169" s="230">
        <v>24847500</v>
      </c>
      <c r="CC169" s="230">
        <v>25157500</v>
      </c>
      <c r="CD169" s="230">
        <v>-310000</v>
      </c>
      <c r="CE169" s="229">
        <v>-1.23E-2</v>
      </c>
      <c r="CF169" s="230">
        <v>3323250</v>
      </c>
      <c r="CG169" s="230">
        <v>3157875</v>
      </c>
      <c r="CH169" s="230">
        <v>165375</v>
      </c>
      <c r="CI169" s="229">
        <v>5.2400000000000002E-2</v>
      </c>
      <c r="CJ169" s="230">
        <v>228375</v>
      </c>
      <c r="CK169" s="230">
        <v>223125</v>
      </c>
      <c r="CL169" s="230">
        <v>5250</v>
      </c>
      <c r="CM169" s="229">
        <v>2.35E-2</v>
      </c>
      <c r="CN169" s="230">
        <v>18073000</v>
      </c>
      <c r="CO169" s="230">
        <v>18356625</v>
      </c>
      <c r="CP169" s="230">
        <v>-283625</v>
      </c>
      <c r="CQ169" s="229">
        <v>-1.55E-2</v>
      </c>
      <c r="CR169" s="230">
        <v>7730750</v>
      </c>
      <c r="CS169" s="230">
        <v>7363750</v>
      </c>
      <c r="CT169" s="230">
        <v>367000</v>
      </c>
      <c r="CU169" s="229">
        <v>4.9799999999999997E-2</v>
      </c>
      <c r="CV169" s="230">
        <v>54202875</v>
      </c>
      <c r="CW169" s="230">
        <v>54258875</v>
      </c>
      <c r="CX169" s="230">
        <v>-56000</v>
      </c>
      <c r="CY169" s="229">
        <v>-1E-3</v>
      </c>
      <c r="CZ169" s="228">
        <v>30.07</v>
      </c>
      <c r="DA169" s="228">
        <v>30.1</v>
      </c>
      <c r="DB169" s="228">
        <v>-0.03</v>
      </c>
      <c r="DC169" s="228">
        <v>-0.03</v>
      </c>
      <c r="DD169" s="228">
        <v>43.73</v>
      </c>
      <c r="DE169" s="228">
        <v>43.83</v>
      </c>
      <c r="DF169" s="228">
        <v>-13.66</v>
      </c>
      <c r="DG169" s="228">
        <v>-0.1</v>
      </c>
      <c r="DH169" s="228">
        <v>31.07</v>
      </c>
      <c r="DI169" s="228">
        <v>30.84</v>
      </c>
      <c r="DJ169" s="228">
        <v>0.23</v>
      </c>
      <c r="DK169" s="228">
        <v>0.23</v>
      </c>
      <c r="DL169" s="228">
        <v>27.55</v>
      </c>
      <c r="DM169" s="228">
        <v>28.14</v>
      </c>
      <c r="DN169" s="228">
        <v>-0.59</v>
      </c>
      <c r="DO169" s="228">
        <v>-0.59</v>
      </c>
      <c r="DP169" s="228">
        <v>0.43</v>
      </c>
      <c r="DQ169" s="228">
        <v>0.4</v>
      </c>
      <c r="DR169" s="228">
        <v>0.03</v>
      </c>
      <c r="DS169" s="229">
        <v>7.4999999999999997E-2</v>
      </c>
      <c r="DT169" s="228">
        <v>200</v>
      </c>
      <c r="DU169" s="228">
        <v>160</v>
      </c>
      <c r="DV169" s="228">
        <v>0.4</v>
      </c>
      <c r="DW169" s="228">
        <v>0.37</v>
      </c>
      <c r="DX169" s="228">
        <v>0.03</v>
      </c>
      <c r="DY169" s="229">
        <v>8.1100000000000005E-2</v>
      </c>
      <c r="DZ169" s="229">
        <v>0.12509999999999999</v>
      </c>
      <c r="EA169" s="230">
        <v>3381000</v>
      </c>
      <c r="EB169" s="229">
        <v>5.1000000000000004E-3</v>
      </c>
      <c r="EC169" s="229">
        <v>0.12509999999999999</v>
      </c>
      <c r="ED169" s="228">
        <v>1.02</v>
      </c>
      <c r="EE169" s="229">
        <v>6.0000000000000001E-3</v>
      </c>
      <c r="EF169" s="230">
        <v>1249324</v>
      </c>
      <c r="EG169" s="230">
        <v>1753817</v>
      </c>
      <c r="EH169" s="229">
        <v>-0.28770000000000001</v>
      </c>
      <c r="EI169" s="229">
        <v>0.45190000000000002</v>
      </c>
      <c r="EJ169" s="231">
        <v>14794.98</v>
      </c>
      <c r="EK169" s="231">
        <v>5531.94</v>
      </c>
      <c r="EL169" s="231">
        <v>6834.87</v>
      </c>
      <c r="EM169" s="231">
        <v>2242</v>
      </c>
      <c r="EN169" s="231">
        <v>27161.79</v>
      </c>
      <c r="EO169" s="231">
        <v>38346.04</v>
      </c>
      <c r="EP169" s="231">
        <v>-11184.25</v>
      </c>
      <c r="EQ169" s="229">
        <v>-0.29170000000000001</v>
      </c>
      <c r="ER169" s="231">
        <v>34298</v>
      </c>
      <c r="ES169" s="231">
        <v>13642</v>
      </c>
      <c r="ET169" s="231">
        <v>47800</v>
      </c>
      <c r="EU169" s="231">
        <v>120138597</v>
      </c>
      <c r="EV169" s="231">
        <v>95740</v>
      </c>
      <c r="EW169" s="231">
        <v>96225</v>
      </c>
      <c r="EX169" s="228">
        <v>-485</v>
      </c>
      <c r="EY169" s="229">
        <v>-5.0000000000000001E-3</v>
      </c>
      <c r="EZ169" s="229">
        <v>0.45119999999999999</v>
      </c>
      <c r="FA169" s="227" t="s">
        <v>568</v>
      </c>
      <c r="FB169" s="161">
        <f t="shared" si="4"/>
        <v>0</v>
      </c>
    </row>
    <row r="170" spans="1:158" ht="17.25" thickBot="1" x14ac:dyDescent="0.3">
      <c r="A170" s="226">
        <v>46008</v>
      </c>
      <c r="B170" s="227" t="s">
        <v>206</v>
      </c>
      <c r="C170" s="227" t="s">
        <v>605</v>
      </c>
      <c r="D170" s="228">
        <v>450</v>
      </c>
      <c r="E170" s="231">
        <v>1613.2</v>
      </c>
      <c r="F170" s="231">
        <v>1628</v>
      </c>
      <c r="G170" s="228">
        <v>-14.8</v>
      </c>
      <c r="H170" s="229">
        <v>-9.1000000000000004E-3</v>
      </c>
      <c r="I170" s="231">
        <v>1607.4</v>
      </c>
      <c r="J170" s="231">
        <v>1627.9</v>
      </c>
      <c r="K170" s="228">
        <v>-20.5</v>
      </c>
      <c r="L170" s="229">
        <v>-1.26E-2</v>
      </c>
      <c r="M170" s="231">
        <v>1613.2</v>
      </c>
      <c r="N170" s="231">
        <v>1628</v>
      </c>
      <c r="O170" s="228">
        <v>-14.8</v>
      </c>
      <c r="P170" s="229">
        <v>-9.1000000000000004E-3</v>
      </c>
      <c r="Q170" s="231">
        <v>1621.3</v>
      </c>
      <c r="R170" s="231">
        <v>1635.4</v>
      </c>
      <c r="S170" s="228">
        <v>-14.1</v>
      </c>
      <c r="T170" s="229">
        <v>-8.6E-3</v>
      </c>
      <c r="U170" s="231">
        <v>1632.5</v>
      </c>
      <c r="V170" s="231">
        <v>1641</v>
      </c>
      <c r="W170" s="228">
        <v>-8.5</v>
      </c>
      <c r="X170" s="229">
        <v>-5.1999999999999998E-3</v>
      </c>
      <c r="Y170" s="228">
        <v>5.8</v>
      </c>
      <c r="Z170" s="228">
        <v>0.1</v>
      </c>
      <c r="AA170" s="228">
        <v>5.7</v>
      </c>
      <c r="AB170" s="229">
        <v>3.5999999999999999E-3</v>
      </c>
      <c r="AC170" s="228">
        <v>5.8</v>
      </c>
      <c r="AD170" s="228">
        <v>0.1</v>
      </c>
      <c r="AE170" s="228">
        <v>5.7</v>
      </c>
      <c r="AF170" s="229">
        <v>3.5999999999999999E-3</v>
      </c>
      <c r="AG170" s="228">
        <v>13.9</v>
      </c>
      <c r="AH170" s="228">
        <v>7.5</v>
      </c>
      <c r="AI170" s="228">
        <v>6.4</v>
      </c>
      <c r="AJ170" s="229">
        <v>8.6E-3</v>
      </c>
      <c r="AK170" s="228">
        <v>25.1</v>
      </c>
      <c r="AL170" s="228">
        <v>13.1</v>
      </c>
      <c r="AM170" s="228">
        <v>12</v>
      </c>
      <c r="AN170" s="229">
        <v>1.5599999999999999E-2</v>
      </c>
      <c r="AO170" s="231">
        <v>1615.19</v>
      </c>
      <c r="AP170" s="231">
        <v>1624.57</v>
      </c>
      <c r="AQ170" s="228">
        <v>0</v>
      </c>
      <c r="AR170" s="230">
        <v>381150</v>
      </c>
      <c r="AS170" s="230">
        <v>553050</v>
      </c>
      <c r="AT170" s="230">
        <v>-171900</v>
      </c>
      <c r="AU170" s="229">
        <v>-0.31080000000000002</v>
      </c>
      <c r="AV170" s="230">
        <v>313200</v>
      </c>
      <c r="AW170" s="230">
        <v>521100</v>
      </c>
      <c r="AX170" s="230">
        <v>-207900</v>
      </c>
      <c r="AY170" s="229">
        <v>-0.39900000000000002</v>
      </c>
      <c r="AZ170" s="230">
        <v>65700</v>
      </c>
      <c r="BA170" s="230">
        <v>30600</v>
      </c>
      <c r="BB170" s="230">
        <v>35100</v>
      </c>
      <c r="BC170" s="229">
        <v>1.1471</v>
      </c>
      <c r="BD170" s="230">
        <v>2250</v>
      </c>
      <c r="BE170" s="230">
        <v>1350</v>
      </c>
      <c r="BF170" s="228">
        <v>900</v>
      </c>
      <c r="BG170" s="229">
        <v>0.66669999999999996</v>
      </c>
      <c r="BH170" s="230">
        <v>918450</v>
      </c>
      <c r="BI170" s="230">
        <v>1574550</v>
      </c>
      <c r="BJ170" s="230">
        <v>-656100</v>
      </c>
      <c r="BK170" s="229">
        <v>-0.41670000000000001</v>
      </c>
      <c r="BL170" s="230">
        <v>468450</v>
      </c>
      <c r="BM170" s="230">
        <v>835200</v>
      </c>
      <c r="BN170" s="230">
        <v>-366750</v>
      </c>
      <c r="BO170" s="229">
        <v>-0.43909999999999999</v>
      </c>
      <c r="BP170" s="230">
        <v>1768050</v>
      </c>
      <c r="BQ170" s="230">
        <v>2962800</v>
      </c>
      <c r="BR170" s="230">
        <v>-1194750</v>
      </c>
      <c r="BS170" s="229">
        <v>-0.40329999999999999</v>
      </c>
      <c r="BT170" s="230">
        <v>449283</v>
      </c>
      <c r="BU170" s="230">
        <v>377957</v>
      </c>
      <c r="BV170" s="230">
        <v>71326</v>
      </c>
      <c r="BW170" s="229">
        <v>0.18870000000000001</v>
      </c>
      <c r="BX170" s="230">
        <v>4110300</v>
      </c>
      <c r="BY170" s="230">
        <v>4063950</v>
      </c>
      <c r="BZ170" s="230">
        <v>46350</v>
      </c>
      <c r="CA170" s="229">
        <v>1.14E-2</v>
      </c>
      <c r="CB170" s="230">
        <v>4010850</v>
      </c>
      <c r="CC170" s="230">
        <v>3999600</v>
      </c>
      <c r="CD170" s="230">
        <v>11250</v>
      </c>
      <c r="CE170" s="229">
        <v>2.8E-3</v>
      </c>
      <c r="CF170" s="230">
        <v>88200</v>
      </c>
      <c r="CG170" s="230">
        <v>53550</v>
      </c>
      <c r="CH170" s="230">
        <v>34650</v>
      </c>
      <c r="CI170" s="229">
        <v>0.64710000000000001</v>
      </c>
      <c r="CJ170" s="230">
        <v>11250</v>
      </c>
      <c r="CK170" s="230">
        <v>10800</v>
      </c>
      <c r="CL170" s="228">
        <v>450</v>
      </c>
      <c r="CM170" s="229">
        <v>4.1700000000000001E-2</v>
      </c>
      <c r="CN170" s="230">
        <v>2034900</v>
      </c>
      <c r="CO170" s="230">
        <v>1976850</v>
      </c>
      <c r="CP170" s="230">
        <v>58050</v>
      </c>
      <c r="CQ170" s="229">
        <v>2.9399999999999999E-2</v>
      </c>
      <c r="CR170" s="230">
        <v>1315800</v>
      </c>
      <c r="CS170" s="230">
        <v>1321200</v>
      </c>
      <c r="CT170" s="230">
        <v>-5400</v>
      </c>
      <c r="CU170" s="229">
        <v>-4.1000000000000003E-3</v>
      </c>
      <c r="CV170" s="230">
        <v>7461000</v>
      </c>
      <c r="CW170" s="230">
        <v>7362000</v>
      </c>
      <c r="CX170" s="230">
        <v>99000</v>
      </c>
      <c r="CY170" s="229">
        <v>1.34E-2</v>
      </c>
      <c r="CZ170" s="228">
        <v>28.83</v>
      </c>
      <c r="DA170" s="228">
        <v>28.09</v>
      </c>
      <c r="DB170" s="228">
        <v>0.74</v>
      </c>
      <c r="DC170" s="228">
        <v>0.74</v>
      </c>
      <c r="DD170" s="228">
        <v>44.8</v>
      </c>
      <c r="DE170" s="228">
        <v>44.89</v>
      </c>
      <c r="DF170" s="228">
        <v>-15.97</v>
      </c>
      <c r="DG170" s="228">
        <v>-0.09</v>
      </c>
      <c r="DH170" s="228">
        <v>29.43</v>
      </c>
      <c r="DI170" s="228">
        <v>28.78</v>
      </c>
      <c r="DJ170" s="228">
        <v>0.65</v>
      </c>
      <c r="DK170" s="228">
        <v>0.65</v>
      </c>
      <c r="DL170" s="228">
        <v>27.66</v>
      </c>
      <c r="DM170" s="228">
        <v>26.78</v>
      </c>
      <c r="DN170" s="228">
        <v>0.88</v>
      </c>
      <c r="DO170" s="228">
        <v>0.88</v>
      </c>
      <c r="DP170" s="228">
        <v>0.65</v>
      </c>
      <c r="DQ170" s="228">
        <v>0.67</v>
      </c>
      <c r="DR170" s="228">
        <v>-0.02</v>
      </c>
      <c r="DS170" s="229">
        <v>-2.9899999999999999E-2</v>
      </c>
      <c r="DT170" s="231">
        <v>1700</v>
      </c>
      <c r="DU170" s="231">
        <v>1540</v>
      </c>
      <c r="DV170" s="228">
        <v>0.51</v>
      </c>
      <c r="DW170" s="228">
        <v>0.53</v>
      </c>
      <c r="DX170" s="228">
        <v>-0.02</v>
      </c>
      <c r="DY170" s="229">
        <v>-3.7699999999999997E-2</v>
      </c>
      <c r="DZ170" s="229">
        <v>2.4199999999999999E-2</v>
      </c>
      <c r="EA170" s="230">
        <v>64350</v>
      </c>
      <c r="EB170" s="229">
        <v>5.0000000000000001E-3</v>
      </c>
      <c r="EC170" s="229">
        <v>2.4199999999999999E-2</v>
      </c>
      <c r="ED170" s="228">
        <v>9.3800000000000008</v>
      </c>
      <c r="EE170" s="229">
        <v>5.7999999999999996E-3</v>
      </c>
      <c r="EF170" s="230">
        <v>297662</v>
      </c>
      <c r="EG170" s="230">
        <v>185909</v>
      </c>
      <c r="EH170" s="229">
        <v>0.60109999999999997</v>
      </c>
      <c r="EI170" s="229">
        <v>0.66249999999999998</v>
      </c>
      <c r="EJ170" s="231">
        <v>15751.58</v>
      </c>
      <c r="EK170" s="231">
        <v>7483.36</v>
      </c>
      <c r="EL170" s="231">
        <v>6162.93</v>
      </c>
      <c r="EM170" s="231">
        <v>1747</v>
      </c>
      <c r="EN170" s="231">
        <v>29397.87</v>
      </c>
      <c r="EO170" s="231">
        <v>49733.64</v>
      </c>
      <c r="EP170" s="231">
        <v>-20335.77</v>
      </c>
      <c r="EQ170" s="229">
        <v>-0.40889999999999999</v>
      </c>
      <c r="ER170" s="231">
        <v>35255</v>
      </c>
      <c r="ES170" s="231">
        <v>20848</v>
      </c>
      <c r="ET170" s="231">
        <v>66317</v>
      </c>
      <c r="EU170" s="231">
        <v>25234534</v>
      </c>
      <c r="EV170" s="231">
        <v>122420</v>
      </c>
      <c r="EW170" s="231">
        <v>121435</v>
      </c>
      <c r="EX170" s="228">
        <v>985</v>
      </c>
      <c r="EY170" s="229">
        <v>8.0999999999999996E-3</v>
      </c>
      <c r="EZ170" s="229">
        <v>0.29570000000000002</v>
      </c>
      <c r="FA170" s="227" t="s">
        <v>567</v>
      </c>
      <c r="FB170" s="161">
        <f t="shared" si="4"/>
        <v>0</v>
      </c>
    </row>
    <row r="171" spans="1:158" ht="17.25" thickBot="1" x14ac:dyDescent="0.3">
      <c r="A171" s="226">
        <v>46008</v>
      </c>
      <c r="B171" s="227" t="s">
        <v>172</v>
      </c>
      <c r="C171" s="227" t="s">
        <v>279</v>
      </c>
      <c r="D171" s="228">
        <v>3175</v>
      </c>
      <c r="E171" s="228">
        <v>298</v>
      </c>
      <c r="F171" s="228">
        <v>301.75</v>
      </c>
      <c r="G171" s="228">
        <v>-3.75</v>
      </c>
      <c r="H171" s="229">
        <v>-1.24E-2</v>
      </c>
      <c r="I171" s="228">
        <v>296.95</v>
      </c>
      <c r="J171" s="228">
        <v>300.7</v>
      </c>
      <c r="K171" s="228">
        <v>-3.75</v>
      </c>
      <c r="L171" s="229">
        <v>-1.2500000000000001E-2</v>
      </c>
      <c r="M171" s="228">
        <v>298</v>
      </c>
      <c r="N171" s="228">
        <v>301.75</v>
      </c>
      <c r="O171" s="228">
        <v>-3.75</v>
      </c>
      <c r="P171" s="229">
        <v>-1.24E-2</v>
      </c>
      <c r="Q171" s="228">
        <v>299.89999999999998</v>
      </c>
      <c r="R171" s="228">
        <v>303.45</v>
      </c>
      <c r="S171" s="228">
        <v>-3.55</v>
      </c>
      <c r="T171" s="229">
        <v>-1.17E-2</v>
      </c>
      <c r="U171" s="228">
        <v>301.7</v>
      </c>
      <c r="V171" s="228">
        <v>305.55</v>
      </c>
      <c r="W171" s="228">
        <v>-3.85</v>
      </c>
      <c r="X171" s="229">
        <v>-1.26E-2</v>
      </c>
      <c r="Y171" s="228">
        <v>1.05</v>
      </c>
      <c r="Z171" s="228">
        <v>1.05</v>
      </c>
      <c r="AA171" s="228">
        <v>0</v>
      </c>
      <c r="AB171" s="229">
        <v>3.5000000000000001E-3</v>
      </c>
      <c r="AC171" s="228">
        <v>1.05</v>
      </c>
      <c r="AD171" s="228">
        <v>1.05</v>
      </c>
      <c r="AE171" s="228">
        <v>0</v>
      </c>
      <c r="AF171" s="229">
        <v>3.5000000000000001E-3</v>
      </c>
      <c r="AG171" s="228">
        <v>2.95</v>
      </c>
      <c r="AH171" s="228">
        <v>2.75</v>
      </c>
      <c r="AI171" s="228">
        <v>0.2</v>
      </c>
      <c r="AJ171" s="229">
        <v>9.9000000000000008E-3</v>
      </c>
      <c r="AK171" s="228">
        <v>4.75</v>
      </c>
      <c r="AL171" s="228">
        <v>4.8499999999999996</v>
      </c>
      <c r="AM171" s="228">
        <v>-0.1</v>
      </c>
      <c r="AN171" s="229">
        <v>1.6E-2</v>
      </c>
      <c r="AO171" s="228">
        <v>299.04000000000002</v>
      </c>
      <c r="AP171" s="228">
        <v>300.94</v>
      </c>
      <c r="AQ171" s="228">
        <v>0</v>
      </c>
      <c r="AR171" s="230">
        <v>15843250</v>
      </c>
      <c r="AS171" s="230">
        <v>12271375</v>
      </c>
      <c r="AT171" s="230">
        <v>3571875</v>
      </c>
      <c r="AU171" s="229">
        <v>0.29110000000000003</v>
      </c>
      <c r="AV171" s="230">
        <v>14004925</v>
      </c>
      <c r="AW171" s="230">
        <v>11045825</v>
      </c>
      <c r="AX171" s="230">
        <v>2959100</v>
      </c>
      <c r="AY171" s="229">
        <v>0.26790000000000003</v>
      </c>
      <c r="AZ171" s="230">
        <v>1800225</v>
      </c>
      <c r="BA171" s="230">
        <v>1162050</v>
      </c>
      <c r="BB171" s="230">
        <v>638175</v>
      </c>
      <c r="BC171" s="229">
        <v>0.54920000000000002</v>
      </c>
      <c r="BD171" s="230">
        <v>38100</v>
      </c>
      <c r="BE171" s="230">
        <v>63500</v>
      </c>
      <c r="BF171" s="230">
        <v>-25400</v>
      </c>
      <c r="BG171" s="229">
        <v>-0.4</v>
      </c>
      <c r="BH171" s="230">
        <v>15074900</v>
      </c>
      <c r="BI171" s="230">
        <v>15290800</v>
      </c>
      <c r="BJ171" s="230">
        <v>-215900</v>
      </c>
      <c r="BK171" s="229">
        <v>-1.41E-2</v>
      </c>
      <c r="BL171" s="230">
        <v>14601825</v>
      </c>
      <c r="BM171" s="230">
        <v>10956925</v>
      </c>
      <c r="BN171" s="230">
        <v>3644900</v>
      </c>
      <c r="BO171" s="229">
        <v>0.3327</v>
      </c>
      <c r="BP171" s="230">
        <v>45519975</v>
      </c>
      <c r="BQ171" s="230">
        <v>38519100</v>
      </c>
      <c r="BR171" s="230">
        <v>7000875</v>
      </c>
      <c r="BS171" s="229">
        <v>0.18179999999999999</v>
      </c>
      <c r="BT171" s="230">
        <v>5630116</v>
      </c>
      <c r="BU171" s="230">
        <v>5023322</v>
      </c>
      <c r="BV171" s="230">
        <v>606794</v>
      </c>
      <c r="BW171" s="229">
        <v>0.1208</v>
      </c>
      <c r="BX171" s="230">
        <v>77479525</v>
      </c>
      <c r="BY171" s="230">
        <v>75752325</v>
      </c>
      <c r="BZ171" s="230">
        <v>1727200</v>
      </c>
      <c r="CA171" s="229">
        <v>2.2800000000000001E-2</v>
      </c>
      <c r="CB171" s="230">
        <v>74615675</v>
      </c>
      <c r="CC171" s="230">
        <v>73555225</v>
      </c>
      <c r="CD171" s="230">
        <v>1060450</v>
      </c>
      <c r="CE171" s="229">
        <v>1.44E-2</v>
      </c>
      <c r="CF171" s="230">
        <v>2730500</v>
      </c>
      <c r="CG171" s="230">
        <v>2076450</v>
      </c>
      <c r="CH171" s="230">
        <v>654050</v>
      </c>
      <c r="CI171" s="229">
        <v>0.315</v>
      </c>
      <c r="CJ171" s="230">
        <v>133350</v>
      </c>
      <c r="CK171" s="230">
        <v>120650</v>
      </c>
      <c r="CL171" s="230">
        <v>12700</v>
      </c>
      <c r="CM171" s="229">
        <v>0.1053</v>
      </c>
      <c r="CN171" s="230">
        <v>27406600</v>
      </c>
      <c r="CO171" s="230">
        <v>25117425</v>
      </c>
      <c r="CP171" s="230">
        <v>2289175</v>
      </c>
      <c r="CQ171" s="229">
        <v>9.11E-2</v>
      </c>
      <c r="CR171" s="230">
        <v>17211675</v>
      </c>
      <c r="CS171" s="230">
        <v>15713075</v>
      </c>
      <c r="CT171" s="230">
        <v>1498600</v>
      </c>
      <c r="CU171" s="229">
        <v>9.5399999999999999E-2</v>
      </c>
      <c r="CV171" s="230">
        <v>122097800</v>
      </c>
      <c r="CW171" s="230">
        <v>116582825</v>
      </c>
      <c r="CX171" s="230">
        <v>5514975</v>
      </c>
      <c r="CY171" s="229">
        <v>4.7300000000000002E-2</v>
      </c>
      <c r="CZ171" s="228">
        <v>28.68</v>
      </c>
      <c r="DA171" s="228">
        <v>26.97</v>
      </c>
      <c r="DB171" s="228">
        <v>1.71</v>
      </c>
      <c r="DC171" s="228">
        <v>1.71</v>
      </c>
      <c r="DD171" s="228">
        <v>44.74</v>
      </c>
      <c r="DE171" s="228">
        <v>44.82</v>
      </c>
      <c r="DF171" s="228">
        <v>-16.059999999999999</v>
      </c>
      <c r="DG171" s="228">
        <v>-0.08</v>
      </c>
      <c r="DH171" s="228">
        <v>29.5</v>
      </c>
      <c r="DI171" s="228">
        <v>27.21</v>
      </c>
      <c r="DJ171" s="228">
        <v>2.29</v>
      </c>
      <c r="DK171" s="228">
        <v>2.29</v>
      </c>
      <c r="DL171" s="228">
        <v>27.84</v>
      </c>
      <c r="DM171" s="228">
        <v>26.64</v>
      </c>
      <c r="DN171" s="228">
        <v>1.2</v>
      </c>
      <c r="DO171" s="228">
        <v>1.2</v>
      </c>
      <c r="DP171" s="228">
        <v>0.63</v>
      </c>
      <c r="DQ171" s="228">
        <v>0.63</v>
      </c>
      <c r="DR171" s="228">
        <v>0</v>
      </c>
      <c r="DS171" s="229">
        <v>0</v>
      </c>
      <c r="DT171" s="228">
        <v>315</v>
      </c>
      <c r="DU171" s="228">
        <v>300</v>
      </c>
      <c r="DV171" s="228">
        <v>0.97</v>
      </c>
      <c r="DW171" s="228">
        <v>0.72</v>
      </c>
      <c r="DX171" s="228">
        <v>0.25</v>
      </c>
      <c r="DY171" s="229">
        <v>0.34720000000000001</v>
      </c>
      <c r="DZ171" s="229">
        <v>3.6999999999999998E-2</v>
      </c>
      <c r="EA171" s="230">
        <v>2197100</v>
      </c>
      <c r="EB171" s="229">
        <v>6.4000000000000003E-3</v>
      </c>
      <c r="EC171" s="229">
        <v>3.6999999999999998E-2</v>
      </c>
      <c r="ED171" s="228">
        <v>1.9</v>
      </c>
      <c r="EE171" s="229">
        <v>6.4000000000000003E-3</v>
      </c>
      <c r="EF171" s="230">
        <v>1642448</v>
      </c>
      <c r="EG171" s="230">
        <v>1561163</v>
      </c>
      <c r="EH171" s="229">
        <v>5.21E-2</v>
      </c>
      <c r="EI171" s="229">
        <v>0.29170000000000001</v>
      </c>
      <c r="EJ171" s="231">
        <v>47203.25</v>
      </c>
      <c r="EK171" s="231">
        <v>43286.879999999997</v>
      </c>
      <c r="EL171" s="231">
        <v>47413.27</v>
      </c>
      <c r="EM171" s="231">
        <v>2653</v>
      </c>
      <c r="EN171" s="231">
        <v>137903.4</v>
      </c>
      <c r="EO171" s="231">
        <v>118112.36</v>
      </c>
      <c r="EP171" s="231">
        <v>19791.04</v>
      </c>
      <c r="EQ171" s="229">
        <v>0.1676</v>
      </c>
      <c r="ER171" s="231">
        <v>86553</v>
      </c>
      <c r="ES171" s="231">
        <v>51667</v>
      </c>
      <c r="ET171" s="231">
        <v>230946</v>
      </c>
      <c r="EU171" s="231">
        <v>91351468</v>
      </c>
      <c r="EV171" s="231">
        <v>369165</v>
      </c>
      <c r="EW171" s="231">
        <v>355643</v>
      </c>
      <c r="EX171" s="231">
        <v>13522</v>
      </c>
      <c r="EY171" s="229">
        <v>3.7999999999999999E-2</v>
      </c>
      <c r="EZ171" s="229">
        <v>1.3366</v>
      </c>
      <c r="FA171" s="227" t="s">
        <v>567</v>
      </c>
      <c r="FB171" s="161">
        <f t="shared" si="4"/>
        <v>0</v>
      </c>
    </row>
    <row r="172" spans="1:158" ht="17.25" thickBot="1" x14ac:dyDescent="0.3">
      <c r="A172" s="226">
        <v>46008</v>
      </c>
      <c r="B172" s="227" t="s">
        <v>175</v>
      </c>
      <c r="C172" s="227" t="s">
        <v>280</v>
      </c>
      <c r="D172" s="228">
        <v>1275</v>
      </c>
      <c r="E172" s="228">
        <v>334.5</v>
      </c>
      <c r="F172" s="228">
        <v>335.95</v>
      </c>
      <c r="G172" s="228">
        <v>-1.45</v>
      </c>
      <c r="H172" s="229">
        <v>-4.3E-3</v>
      </c>
      <c r="I172" s="228">
        <v>333.95</v>
      </c>
      <c r="J172" s="228">
        <v>335.4</v>
      </c>
      <c r="K172" s="228">
        <v>-1.45</v>
      </c>
      <c r="L172" s="229">
        <v>-4.3E-3</v>
      </c>
      <c r="M172" s="228">
        <v>334.5</v>
      </c>
      <c r="N172" s="228">
        <v>335.95</v>
      </c>
      <c r="O172" s="228">
        <v>-1.45</v>
      </c>
      <c r="P172" s="229">
        <v>-4.3E-3</v>
      </c>
      <c r="Q172" s="228">
        <v>336.5</v>
      </c>
      <c r="R172" s="228">
        <v>338.25</v>
      </c>
      <c r="S172" s="228">
        <v>-1.75</v>
      </c>
      <c r="T172" s="229">
        <v>-5.1999999999999998E-3</v>
      </c>
      <c r="U172" s="228">
        <v>335.9</v>
      </c>
      <c r="V172" s="228">
        <v>338.65</v>
      </c>
      <c r="W172" s="228">
        <v>-2.75</v>
      </c>
      <c r="X172" s="229">
        <v>-8.0999999999999996E-3</v>
      </c>
      <c r="Y172" s="228">
        <v>0.55000000000000004</v>
      </c>
      <c r="Z172" s="228">
        <v>0.55000000000000004</v>
      </c>
      <c r="AA172" s="228">
        <v>0</v>
      </c>
      <c r="AB172" s="229">
        <v>1.6000000000000001E-3</v>
      </c>
      <c r="AC172" s="228">
        <v>0.55000000000000004</v>
      </c>
      <c r="AD172" s="228">
        <v>0.55000000000000004</v>
      </c>
      <c r="AE172" s="228">
        <v>0</v>
      </c>
      <c r="AF172" s="229">
        <v>1.6000000000000001E-3</v>
      </c>
      <c r="AG172" s="228">
        <v>2.5499999999999998</v>
      </c>
      <c r="AH172" s="228">
        <v>2.85</v>
      </c>
      <c r="AI172" s="228">
        <v>-0.3</v>
      </c>
      <c r="AJ172" s="229">
        <v>7.6E-3</v>
      </c>
      <c r="AK172" s="228">
        <v>1.95</v>
      </c>
      <c r="AL172" s="228">
        <v>3.25</v>
      </c>
      <c r="AM172" s="228">
        <v>-1.3</v>
      </c>
      <c r="AN172" s="229">
        <v>5.7999999999999996E-3</v>
      </c>
      <c r="AO172" s="228">
        <v>335.12</v>
      </c>
      <c r="AP172" s="228">
        <v>337.09</v>
      </c>
      <c r="AQ172" s="228">
        <v>0</v>
      </c>
      <c r="AR172" s="230">
        <v>7016325</v>
      </c>
      <c r="AS172" s="230">
        <v>10449900</v>
      </c>
      <c r="AT172" s="230">
        <v>-3433575</v>
      </c>
      <c r="AU172" s="229">
        <v>-0.3286</v>
      </c>
      <c r="AV172" s="230">
        <v>5119125</v>
      </c>
      <c r="AW172" s="230">
        <v>8075850</v>
      </c>
      <c r="AX172" s="230">
        <v>-2956725</v>
      </c>
      <c r="AY172" s="229">
        <v>-0.36609999999999998</v>
      </c>
      <c r="AZ172" s="230">
        <v>1467525</v>
      </c>
      <c r="BA172" s="230">
        <v>1871700</v>
      </c>
      <c r="BB172" s="230">
        <v>-404175</v>
      </c>
      <c r="BC172" s="229">
        <v>-0.21590000000000001</v>
      </c>
      <c r="BD172" s="230">
        <v>429675</v>
      </c>
      <c r="BE172" s="230">
        <v>502350</v>
      </c>
      <c r="BF172" s="230">
        <v>-72675</v>
      </c>
      <c r="BG172" s="229">
        <v>-0.1447</v>
      </c>
      <c r="BH172" s="230">
        <v>31229850</v>
      </c>
      <c r="BI172" s="230">
        <v>30045375</v>
      </c>
      <c r="BJ172" s="230">
        <v>1184475</v>
      </c>
      <c r="BK172" s="229">
        <v>3.9399999999999998E-2</v>
      </c>
      <c r="BL172" s="230">
        <v>14155050</v>
      </c>
      <c r="BM172" s="230">
        <v>13358175</v>
      </c>
      <c r="BN172" s="230">
        <v>796875</v>
      </c>
      <c r="BO172" s="229">
        <v>5.9700000000000003E-2</v>
      </c>
      <c r="BP172" s="230">
        <v>52401225</v>
      </c>
      <c r="BQ172" s="230">
        <v>53853450</v>
      </c>
      <c r="BR172" s="230">
        <v>-1452225</v>
      </c>
      <c r="BS172" s="229">
        <v>-2.7E-2</v>
      </c>
      <c r="BT172" s="230">
        <v>4706395</v>
      </c>
      <c r="BU172" s="230">
        <v>6573745</v>
      </c>
      <c r="BV172" s="230">
        <v>-1867350</v>
      </c>
      <c r="BW172" s="229">
        <v>-0.28410000000000002</v>
      </c>
      <c r="BX172" s="230">
        <v>102975925</v>
      </c>
      <c r="BY172" s="230">
        <v>102544775</v>
      </c>
      <c r="BZ172" s="230">
        <v>431150</v>
      </c>
      <c r="CA172" s="229">
        <v>4.1999999999999997E-3</v>
      </c>
      <c r="CB172" s="230">
        <v>91931325</v>
      </c>
      <c r="CC172" s="230">
        <v>92030775</v>
      </c>
      <c r="CD172" s="230">
        <v>-99450</v>
      </c>
      <c r="CE172" s="229">
        <v>-1.1000000000000001E-3</v>
      </c>
      <c r="CF172" s="230">
        <v>9163000</v>
      </c>
      <c r="CG172" s="230">
        <v>8793400</v>
      </c>
      <c r="CH172" s="230">
        <v>369600</v>
      </c>
      <c r="CI172" s="229">
        <v>4.2000000000000003E-2</v>
      </c>
      <c r="CJ172" s="230">
        <v>1881600</v>
      </c>
      <c r="CK172" s="230">
        <v>1720600</v>
      </c>
      <c r="CL172" s="230">
        <v>161000</v>
      </c>
      <c r="CM172" s="229">
        <v>9.3600000000000003E-2</v>
      </c>
      <c r="CN172" s="230">
        <v>50973275</v>
      </c>
      <c r="CO172" s="230">
        <v>49479675</v>
      </c>
      <c r="CP172" s="230">
        <v>1493600</v>
      </c>
      <c r="CQ172" s="229">
        <v>3.0200000000000001E-2</v>
      </c>
      <c r="CR172" s="230">
        <v>31080275</v>
      </c>
      <c r="CS172" s="230">
        <v>30139650</v>
      </c>
      <c r="CT172" s="230">
        <v>940625</v>
      </c>
      <c r="CU172" s="229">
        <v>3.1199999999999999E-2</v>
      </c>
      <c r="CV172" s="230">
        <v>185029475</v>
      </c>
      <c r="CW172" s="230">
        <v>182164100</v>
      </c>
      <c r="CX172" s="230">
        <v>2865375</v>
      </c>
      <c r="CY172" s="229">
        <v>1.5699999999999999E-2</v>
      </c>
      <c r="CZ172" s="228">
        <v>22.9</v>
      </c>
      <c r="DA172" s="228">
        <v>23.62</v>
      </c>
      <c r="DB172" s="228">
        <v>-0.72</v>
      </c>
      <c r="DC172" s="228">
        <v>-0.72</v>
      </c>
      <c r="DD172" s="228">
        <v>42.08</v>
      </c>
      <c r="DE172" s="228">
        <v>42.18</v>
      </c>
      <c r="DF172" s="228">
        <v>-19.18</v>
      </c>
      <c r="DG172" s="228">
        <v>-0.1</v>
      </c>
      <c r="DH172" s="228">
        <v>23.32</v>
      </c>
      <c r="DI172" s="228">
        <v>24.59</v>
      </c>
      <c r="DJ172" s="228">
        <v>-1.27</v>
      </c>
      <c r="DK172" s="228">
        <v>-1.27</v>
      </c>
      <c r="DL172" s="228">
        <v>21.95</v>
      </c>
      <c r="DM172" s="228">
        <v>21.45</v>
      </c>
      <c r="DN172" s="228">
        <v>0.5</v>
      </c>
      <c r="DO172" s="228">
        <v>0.5</v>
      </c>
      <c r="DP172" s="228">
        <v>0.61</v>
      </c>
      <c r="DQ172" s="228">
        <v>0.61</v>
      </c>
      <c r="DR172" s="228">
        <v>0</v>
      </c>
      <c r="DS172" s="229">
        <v>0</v>
      </c>
      <c r="DT172" s="228">
        <v>360</v>
      </c>
      <c r="DU172" s="228">
        <v>360</v>
      </c>
      <c r="DV172" s="228">
        <v>0.45</v>
      </c>
      <c r="DW172" s="228">
        <v>0.44</v>
      </c>
      <c r="DX172" s="228">
        <v>0.01</v>
      </c>
      <c r="DY172" s="229">
        <v>2.2700000000000001E-2</v>
      </c>
      <c r="DZ172" s="229">
        <v>0.10730000000000001</v>
      </c>
      <c r="EA172" s="230">
        <v>10514000</v>
      </c>
      <c r="EB172" s="229">
        <v>6.0000000000000001E-3</v>
      </c>
      <c r="EC172" s="229">
        <v>0.10730000000000001</v>
      </c>
      <c r="ED172" s="228">
        <v>1.97</v>
      </c>
      <c r="EE172" s="229">
        <v>5.8999999999999999E-3</v>
      </c>
      <c r="EF172" s="230">
        <v>2456635</v>
      </c>
      <c r="EG172" s="230">
        <v>4283846</v>
      </c>
      <c r="EH172" s="229">
        <v>-0.42649999999999999</v>
      </c>
      <c r="EI172" s="229">
        <v>0.52200000000000002</v>
      </c>
      <c r="EJ172" s="231">
        <v>111547.04</v>
      </c>
      <c r="EK172" s="231">
        <v>48417.08</v>
      </c>
      <c r="EL172" s="231">
        <v>24174.58</v>
      </c>
      <c r="EM172" s="231">
        <v>6010</v>
      </c>
      <c r="EN172" s="231">
        <v>184138.7</v>
      </c>
      <c r="EO172" s="231">
        <v>189669.83</v>
      </c>
      <c r="EP172" s="231">
        <v>-5531.13</v>
      </c>
      <c r="EQ172" s="229">
        <v>-2.92E-2</v>
      </c>
      <c r="ER172" s="231">
        <v>186973</v>
      </c>
      <c r="ES172" s="231">
        <v>109856</v>
      </c>
      <c r="ET172" s="231">
        <v>344664</v>
      </c>
      <c r="EU172" s="231">
        <v>187084550</v>
      </c>
      <c r="EV172" s="231">
        <v>641493</v>
      </c>
      <c r="EW172" s="231">
        <v>633640</v>
      </c>
      <c r="EX172" s="231">
        <v>7853</v>
      </c>
      <c r="EY172" s="229">
        <v>1.24E-2</v>
      </c>
      <c r="EZ172" s="229">
        <v>0.98899999999999999</v>
      </c>
      <c r="FA172" s="227" t="s">
        <v>567</v>
      </c>
      <c r="FB172" s="161">
        <f t="shared" si="4"/>
        <v>0</v>
      </c>
    </row>
    <row r="173" spans="1:158" ht="17.25" thickBot="1" x14ac:dyDescent="0.3">
      <c r="A173" s="226">
        <v>46008</v>
      </c>
      <c r="B173" s="227" t="s">
        <v>193</v>
      </c>
      <c r="C173" s="227" t="s">
        <v>281</v>
      </c>
      <c r="D173" s="228">
        <v>500</v>
      </c>
      <c r="E173" s="231">
        <v>1548.8</v>
      </c>
      <c r="F173" s="231">
        <v>1546.5</v>
      </c>
      <c r="G173" s="228">
        <v>2.2999999999999998</v>
      </c>
      <c r="H173" s="229">
        <v>1.5E-3</v>
      </c>
      <c r="I173" s="231">
        <v>1544.4</v>
      </c>
      <c r="J173" s="231">
        <v>1542.3</v>
      </c>
      <c r="K173" s="228">
        <v>2.1</v>
      </c>
      <c r="L173" s="229">
        <v>1.4E-3</v>
      </c>
      <c r="M173" s="231">
        <v>1548.8</v>
      </c>
      <c r="N173" s="231">
        <v>1546.5</v>
      </c>
      <c r="O173" s="228">
        <v>2.2999999999999998</v>
      </c>
      <c r="P173" s="229">
        <v>1.5E-3</v>
      </c>
      <c r="Q173" s="231">
        <v>1558.5</v>
      </c>
      <c r="R173" s="231">
        <v>1555.8</v>
      </c>
      <c r="S173" s="228">
        <v>2.7</v>
      </c>
      <c r="T173" s="229">
        <v>1.6999999999999999E-3</v>
      </c>
      <c r="U173" s="231">
        <v>1566.4</v>
      </c>
      <c r="V173" s="231">
        <v>1564.7</v>
      </c>
      <c r="W173" s="228">
        <v>1.7</v>
      </c>
      <c r="X173" s="229">
        <v>1.1000000000000001E-3</v>
      </c>
      <c r="Y173" s="228">
        <v>4.4000000000000004</v>
      </c>
      <c r="Z173" s="228">
        <v>4.2</v>
      </c>
      <c r="AA173" s="228">
        <v>0.2</v>
      </c>
      <c r="AB173" s="229">
        <v>2.8E-3</v>
      </c>
      <c r="AC173" s="228">
        <v>4.4000000000000004</v>
      </c>
      <c r="AD173" s="228">
        <v>4.2</v>
      </c>
      <c r="AE173" s="228">
        <v>0.2</v>
      </c>
      <c r="AF173" s="229">
        <v>2.8E-3</v>
      </c>
      <c r="AG173" s="228">
        <v>14.1</v>
      </c>
      <c r="AH173" s="228">
        <v>13.5</v>
      </c>
      <c r="AI173" s="228">
        <v>0.6</v>
      </c>
      <c r="AJ173" s="229">
        <v>9.1000000000000004E-3</v>
      </c>
      <c r="AK173" s="228">
        <v>22</v>
      </c>
      <c r="AL173" s="228">
        <v>22.4</v>
      </c>
      <c r="AM173" s="228">
        <v>-0.4</v>
      </c>
      <c r="AN173" s="229">
        <v>1.4200000000000001E-2</v>
      </c>
      <c r="AO173" s="231">
        <v>1548.61</v>
      </c>
      <c r="AP173" s="231">
        <v>1558.14</v>
      </c>
      <c r="AQ173" s="228">
        <v>0</v>
      </c>
      <c r="AR173" s="230">
        <v>7563500</v>
      </c>
      <c r="AS173" s="230">
        <v>10380000</v>
      </c>
      <c r="AT173" s="230">
        <v>-2816500</v>
      </c>
      <c r="AU173" s="229">
        <v>-0.27129999999999999</v>
      </c>
      <c r="AV173" s="230">
        <v>5677000</v>
      </c>
      <c r="AW173" s="230">
        <v>9146500</v>
      </c>
      <c r="AX173" s="230">
        <v>-3469500</v>
      </c>
      <c r="AY173" s="229">
        <v>-0.37930000000000003</v>
      </c>
      <c r="AZ173" s="230">
        <v>1810000</v>
      </c>
      <c r="BA173" s="230">
        <v>1168000</v>
      </c>
      <c r="BB173" s="230">
        <v>642000</v>
      </c>
      <c r="BC173" s="229">
        <v>0.54969999999999997</v>
      </c>
      <c r="BD173" s="230">
        <v>76500</v>
      </c>
      <c r="BE173" s="230">
        <v>65500</v>
      </c>
      <c r="BF173" s="230">
        <v>11000</v>
      </c>
      <c r="BG173" s="229">
        <v>0.16789999999999999</v>
      </c>
      <c r="BH173" s="230">
        <v>33318000</v>
      </c>
      <c r="BI173" s="230">
        <v>37880000</v>
      </c>
      <c r="BJ173" s="230">
        <v>-4562000</v>
      </c>
      <c r="BK173" s="229">
        <v>-0.12039999999999999</v>
      </c>
      <c r="BL173" s="230">
        <v>20220000</v>
      </c>
      <c r="BM173" s="230">
        <v>25944000</v>
      </c>
      <c r="BN173" s="230">
        <v>-5724000</v>
      </c>
      <c r="BO173" s="229">
        <v>-0.22059999999999999</v>
      </c>
      <c r="BP173" s="230">
        <v>61101500</v>
      </c>
      <c r="BQ173" s="230">
        <v>74204000</v>
      </c>
      <c r="BR173" s="230">
        <v>-13102500</v>
      </c>
      <c r="BS173" s="229">
        <v>-0.17660000000000001</v>
      </c>
      <c r="BT173" s="230">
        <v>7357454</v>
      </c>
      <c r="BU173" s="230">
        <v>11858789</v>
      </c>
      <c r="BV173" s="230">
        <v>-4501335</v>
      </c>
      <c r="BW173" s="229">
        <v>-0.37959999999999999</v>
      </c>
      <c r="BX173" s="230">
        <v>99199000</v>
      </c>
      <c r="BY173" s="230">
        <v>99414000</v>
      </c>
      <c r="BZ173" s="230">
        <v>-215000</v>
      </c>
      <c r="CA173" s="229">
        <v>-2.2000000000000001E-3</v>
      </c>
      <c r="CB173" s="230">
        <v>87623000</v>
      </c>
      <c r="CC173" s="230">
        <v>89203500</v>
      </c>
      <c r="CD173" s="230">
        <v>-1580500</v>
      </c>
      <c r="CE173" s="229">
        <v>-1.77E-2</v>
      </c>
      <c r="CF173" s="230">
        <v>10574500</v>
      </c>
      <c r="CG173" s="230">
        <v>9249000</v>
      </c>
      <c r="CH173" s="230">
        <v>1325500</v>
      </c>
      <c r="CI173" s="229">
        <v>0.14330000000000001</v>
      </c>
      <c r="CJ173" s="230">
        <v>1001500</v>
      </c>
      <c r="CK173" s="230">
        <v>961500</v>
      </c>
      <c r="CL173" s="230">
        <v>40000</v>
      </c>
      <c r="CM173" s="229">
        <v>4.1599999999999998E-2</v>
      </c>
      <c r="CN173" s="230">
        <v>51853000</v>
      </c>
      <c r="CO173" s="230">
        <v>51890500</v>
      </c>
      <c r="CP173" s="230">
        <v>-37500</v>
      </c>
      <c r="CQ173" s="229">
        <v>-6.9999999999999999E-4</v>
      </c>
      <c r="CR173" s="230">
        <v>27538500</v>
      </c>
      <c r="CS173" s="230">
        <v>26724500</v>
      </c>
      <c r="CT173" s="230">
        <v>814000</v>
      </c>
      <c r="CU173" s="229">
        <v>3.0499999999999999E-2</v>
      </c>
      <c r="CV173" s="230">
        <v>178590500</v>
      </c>
      <c r="CW173" s="230">
        <v>178029000</v>
      </c>
      <c r="CX173" s="230">
        <v>561500</v>
      </c>
      <c r="CY173" s="229">
        <v>3.2000000000000002E-3</v>
      </c>
      <c r="CZ173" s="228">
        <v>15.29</v>
      </c>
      <c r="DA173" s="228">
        <v>15.53</v>
      </c>
      <c r="DB173" s="228">
        <v>-0.24</v>
      </c>
      <c r="DC173" s="228">
        <v>-0.24</v>
      </c>
      <c r="DD173" s="228">
        <v>23.34</v>
      </c>
      <c r="DE173" s="228">
        <v>23.4</v>
      </c>
      <c r="DF173" s="228">
        <v>-8.0500000000000007</v>
      </c>
      <c r="DG173" s="228">
        <v>-0.06</v>
      </c>
      <c r="DH173" s="228">
        <v>15.01</v>
      </c>
      <c r="DI173" s="228">
        <v>15.44</v>
      </c>
      <c r="DJ173" s="228">
        <v>-0.43</v>
      </c>
      <c r="DK173" s="228">
        <v>-0.43</v>
      </c>
      <c r="DL173" s="228">
        <v>15.74</v>
      </c>
      <c r="DM173" s="228">
        <v>15.68</v>
      </c>
      <c r="DN173" s="228">
        <v>0.06</v>
      </c>
      <c r="DO173" s="228">
        <v>0.06</v>
      </c>
      <c r="DP173" s="228">
        <v>0.53</v>
      </c>
      <c r="DQ173" s="228">
        <v>0.52</v>
      </c>
      <c r="DR173" s="228">
        <v>0.01</v>
      </c>
      <c r="DS173" s="229">
        <v>1.9199999999999998E-2</v>
      </c>
      <c r="DT173" s="231">
        <v>1600</v>
      </c>
      <c r="DU173" s="231">
        <v>1500</v>
      </c>
      <c r="DV173" s="228">
        <v>0.61</v>
      </c>
      <c r="DW173" s="228">
        <v>0.68</v>
      </c>
      <c r="DX173" s="228">
        <v>-7.0000000000000007E-2</v>
      </c>
      <c r="DY173" s="229">
        <v>-0.10290000000000001</v>
      </c>
      <c r="DZ173" s="229">
        <v>0.1167</v>
      </c>
      <c r="EA173" s="230">
        <v>10210500</v>
      </c>
      <c r="EB173" s="229">
        <v>6.3E-3</v>
      </c>
      <c r="EC173" s="229">
        <v>0.1167</v>
      </c>
      <c r="ED173" s="228">
        <v>9.5299999999999994</v>
      </c>
      <c r="EE173" s="229">
        <v>6.1999999999999998E-3</v>
      </c>
      <c r="EF173" s="230">
        <v>3907222</v>
      </c>
      <c r="EG173" s="230">
        <v>4468989</v>
      </c>
      <c r="EH173" s="229">
        <v>-0.12570000000000001</v>
      </c>
      <c r="EI173" s="229">
        <v>0.53110000000000002</v>
      </c>
      <c r="EJ173" s="231">
        <v>527030.36</v>
      </c>
      <c r="EK173" s="231">
        <v>311132.45</v>
      </c>
      <c r="EL173" s="231">
        <v>117315.87</v>
      </c>
      <c r="EM173" s="231">
        <v>17263</v>
      </c>
      <c r="EN173" s="231">
        <v>955478.68</v>
      </c>
      <c r="EO173" s="231">
        <v>1159954.29</v>
      </c>
      <c r="EP173" s="231">
        <v>-204475.61</v>
      </c>
      <c r="EQ173" s="229">
        <v>-0.17630000000000001</v>
      </c>
      <c r="ER173" s="231">
        <v>818208</v>
      </c>
      <c r="ES173" s="231">
        <v>415448</v>
      </c>
      <c r="ET173" s="231">
        <v>1537596</v>
      </c>
      <c r="EU173" s="231">
        <v>662701060</v>
      </c>
      <c r="EV173" s="231">
        <v>2771252</v>
      </c>
      <c r="EW173" s="231">
        <v>2759968</v>
      </c>
      <c r="EX173" s="231">
        <v>11284</v>
      </c>
      <c r="EY173" s="229">
        <v>4.1000000000000003E-3</v>
      </c>
      <c r="EZ173" s="229">
        <v>0.26950000000000002</v>
      </c>
      <c r="FA173" s="227" t="s">
        <v>556</v>
      </c>
      <c r="FB173" s="161">
        <f t="shared" si="4"/>
        <v>0</v>
      </c>
    </row>
    <row r="174" spans="1:158" ht="17.25" thickBot="1" x14ac:dyDescent="0.3">
      <c r="A174" s="226">
        <v>46008</v>
      </c>
      <c r="B174" s="227" t="s">
        <v>215</v>
      </c>
      <c r="C174" s="227" t="s">
        <v>676</v>
      </c>
      <c r="D174" s="228">
        <v>1375</v>
      </c>
      <c r="E174" s="228">
        <v>305.39999999999998</v>
      </c>
      <c r="F174" s="228">
        <v>308.05</v>
      </c>
      <c r="G174" s="228">
        <v>-2.65</v>
      </c>
      <c r="H174" s="229">
        <v>-8.6E-3</v>
      </c>
      <c r="I174" s="228">
        <v>307.25</v>
      </c>
      <c r="J174" s="228">
        <v>309.39999999999998</v>
      </c>
      <c r="K174" s="228">
        <v>-2.15</v>
      </c>
      <c r="L174" s="229">
        <v>-6.8999999999999999E-3</v>
      </c>
      <c r="M174" s="228">
        <v>305.39999999999998</v>
      </c>
      <c r="N174" s="228">
        <v>308.05</v>
      </c>
      <c r="O174" s="228">
        <v>-2.65</v>
      </c>
      <c r="P174" s="229">
        <v>-8.6E-3</v>
      </c>
      <c r="Q174" s="228">
        <v>299.95</v>
      </c>
      <c r="R174" s="228">
        <v>303.5</v>
      </c>
      <c r="S174" s="228">
        <v>-3.55</v>
      </c>
      <c r="T174" s="229">
        <v>-1.17E-2</v>
      </c>
      <c r="U174" s="228">
        <v>295.2</v>
      </c>
      <c r="V174" s="228">
        <v>298.95</v>
      </c>
      <c r="W174" s="228">
        <v>-3.75</v>
      </c>
      <c r="X174" s="229">
        <v>-1.2500000000000001E-2</v>
      </c>
      <c r="Y174" s="228">
        <v>-1.85</v>
      </c>
      <c r="Z174" s="228">
        <v>-1.35</v>
      </c>
      <c r="AA174" s="228">
        <v>-0.5</v>
      </c>
      <c r="AB174" s="229">
        <v>-6.0000000000000001E-3</v>
      </c>
      <c r="AC174" s="228">
        <v>-1.85</v>
      </c>
      <c r="AD174" s="228">
        <v>-1.35</v>
      </c>
      <c r="AE174" s="228">
        <v>-0.5</v>
      </c>
      <c r="AF174" s="229">
        <v>-6.0000000000000001E-3</v>
      </c>
      <c r="AG174" s="228">
        <v>-7.3</v>
      </c>
      <c r="AH174" s="228">
        <v>-5.9</v>
      </c>
      <c r="AI174" s="228">
        <v>-1.4</v>
      </c>
      <c r="AJ174" s="229">
        <v>-2.3800000000000002E-2</v>
      </c>
      <c r="AK174" s="228">
        <v>-12.05</v>
      </c>
      <c r="AL174" s="228">
        <v>-10.45</v>
      </c>
      <c r="AM174" s="228">
        <v>-1.6</v>
      </c>
      <c r="AN174" s="229">
        <v>-3.9199999999999999E-2</v>
      </c>
      <c r="AO174" s="228">
        <v>306.57</v>
      </c>
      <c r="AP174" s="228">
        <v>301.24</v>
      </c>
      <c r="AQ174" s="228">
        <v>0</v>
      </c>
      <c r="AR174" s="230">
        <v>4434375</v>
      </c>
      <c r="AS174" s="230">
        <v>3515875</v>
      </c>
      <c r="AT174" s="230">
        <v>918500</v>
      </c>
      <c r="AU174" s="229">
        <v>0.26119999999999999</v>
      </c>
      <c r="AV174" s="230">
        <v>2832500</v>
      </c>
      <c r="AW174" s="230">
        <v>2492875</v>
      </c>
      <c r="AX174" s="230">
        <v>339625</v>
      </c>
      <c r="AY174" s="229">
        <v>0.13619999999999999</v>
      </c>
      <c r="AZ174" s="230">
        <v>1441000</v>
      </c>
      <c r="BA174" s="230">
        <v>906125</v>
      </c>
      <c r="BB174" s="230">
        <v>534875</v>
      </c>
      <c r="BC174" s="229">
        <v>0.59030000000000005</v>
      </c>
      <c r="BD174" s="230">
        <v>160875</v>
      </c>
      <c r="BE174" s="230">
        <v>116875</v>
      </c>
      <c r="BF174" s="230">
        <v>44000</v>
      </c>
      <c r="BG174" s="229">
        <v>0.3765</v>
      </c>
      <c r="BH174" s="230">
        <v>9099750</v>
      </c>
      <c r="BI174" s="230">
        <v>7441500</v>
      </c>
      <c r="BJ174" s="230">
        <v>1658250</v>
      </c>
      <c r="BK174" s="229">
        <v>0.2228</v>
      </c>
      <c r="BL174" s="230">
        <v>1988250</v>
      </c>
      <c r="BM174" s="230">
        <v>2924625</v>
      </c>
      <c r="BN174" s="230">
        <v>-936375</v>
      </c>
      <c r="BO174" s="229">
        <v>-0.32019999999999998</v>
      </c>
      <c r="BP174" s="230">
        <v>15522375</v>
      </c>
      <c r="BQ174" s="230">
        <v>13882000</v>
      </c>
      <c r="BR174" s="230">
        <v>1640375</v>
      </c>
      <c r="BS174" s="229">
        <v>0.1182</v>
      </c>
      <c r="BT174" s="230">
        <v>2155109</v>
      </c>
      <c r="BU174" s="230">
        <v>1690128</v>
      </c>
      <c r="BV174" s="230">
        <v>464981</v>
      </c>
      <c r="BW174" s="229">
        <v>0.27510000000000001</v>
      </c>
      <c r="BX174" s="230">
        <v>48076325</v>
      </c>
      <c r="BY174" s="230">
        <v>47184000</v>
      </c>
      <c r="BZ174" s="230">
        <v>892325</v>
      </c>
      <c r="CA174" s="229">
        <v>1.89E-2</v>
      </c>
      <c r="CB174" s="230">
        <v>39051375</v>
      </c>
      <c r="CC174" s="230">
        <v>38941375</v>
      </c>
      <c r="CD174" s="230">
        <v>110000</v>
      </c>
      <c r="CE174" s="229">
        <v>2.8E-3</v>
      </c>
      <c r="CF174" s="230">
        <v>8000150</v>
      </c>
      <c r="CG174" s="230">
        <v>7301700</v>
      </c>
      <c r="CH174" s="230">
        <v>698450</v>
      </c>
      <c r="CI174" s="229">
        <v>9.5699999999999993E-2</v>
      </c>
      <c r="CJ174" s="230">
        <v>1024800</v>
      </c>
      <c r="CK174" s="230">
        <v>940925</v>
      </c>
      <c r="CL174" s="230">
        <v>83875</v>
      </c>
      <c r="CM174" s="229">
        <v>8.9099999999999999E-2</v>
      </c>
      <c r="CN174" s="230">
        <v>21544725</v>
      </c>
      <c r="CO174" s="230">
        <v>20356500</v>
      </c>
      <c r="CP174" s="230">
        <v>1188225</v>
      </c>
      <c r="CQ174" s="229">
        <v>5.8400000000000001E-2</v>
      </c>
      <c r="CR174" s="230">
        <v>9829150</v>
      </c>
      <c r="CS174" s="230">
        <v>9883275</v>
      </c>
      <c r="CT174" s="230">
        <v>-54125</v>
      </c>
      <c r="CU174" s="229">
        <v>-5.4999999999999997E-3</v>
      </c>
      <c r="CV174" s="230">
        <v>79450200</v>
      </c>
      <c r="CW174" s="230">
        <v>77423775</v>
      </c>
      <c r="CX174" s="230">
        <v>2026425</v>
      </c>
      <c r="CY174" s="229">
        <v>2.6200000000000001E-2</v>
      </c>
      <c r="CZ174" s="228">
        <v>30.68</v>
      </c>
      <c r="DA174" s="228">
        <v>30.6</v>
      </c>
      <c r="DB174" s="228">
        <v>0.08</v>
      </c>
      <c r="DC174" s="228">
        <v>0.08</v>
      </c>
      <c r="DD174" s="228">
        <v>53.97</v>
      </c>
      <c r="DE174" s="228">
        <v>54.1</v>
      </c>
      <c r="DF174" s="228">
        <v>-23.29</v>
      </c>
      <c r="DG174" s="228">
        <v>-0.13</v>
      </c>
      <c r="DH174" s="228">
        <v>31.25</v>
      </c>
      <c r="DI174" s="228">
        <v>31.35</v>
      </c>
      <c r="DJ174" s="228">
        <v>-0.1</v>
      </c>
      <c r="DK174" s="228">
        <v>-0.1</v>
      </c>
      <c r="DL174" s="228">
        <v>28.08</v>
      </c>
      <c r="DM174" s="228">
        <v>28.69</v>
      </c>
      <c r="DN174" s="228">
        <v>-0.61</v>
      </c>
      <c r="DO174" s="228">
        <v>-0.61</v>
      </c>
      <c r="DP174" s="228">
        <v>0.46</v>
      </c>
      <c r="DQ174" s="228">
        <v>0.49</v>
      </c>
      <c r="DR174" s="228">
        <v>-0.03</v>
      </c>
      <c r="DS174" s="229">
        <v>-6.1199999999999997E-2</v>
      </c>
      <c r="DT174" s="228">
        <v>330</v>
      </c>
      <c r="DU174" s="228">
        <v>290</v>
      </c>
      <c r="DV174" s="228">
        <v>0.22</v>
      </c>
      <c r="DW174" s="228">
        <v>0.39</v>
      </c>
      <c r="DX174" s="228">
        <v>-0.17</v>
      </c>
      <c r="DY174" s="229">
        <v>-0.43590000000000001</v>
      </c>
      <c r="DZ174" s="229">
        <v>0.18770000000000001</v>
      </c>
      <c r="EA174" s="230">
        <v>8242625</v>
      </c>
      <c r="EB174" s="229">
        <v>-1.78E-2</v>
      </c>
      <c r="EC174" s="229">
        <v>0.18770000000000001</v>
      </c>
      <c r="ED174" s="228">
        <v>-5.33</v>
      </c>
      <c r="EE174" s="229">
        <v>-1.7399999999999999E-2</v>
      </c>
      <c r="EF174" s="230">
        <v>830614</v>
      </c>
      <c r="EG174" s="230">
        <v>745983</v>
      </c>
      <c r="EH174" s="229">
        <v>0.1134</v>
      </c>
      <c r="EI174" s="229">
        <v>0.38540000000000002</v>
      </c>
      <c r="EJ174" s="231">
        <v>29971.26</v>
      </c>
      <c r="EK174" s="231">
        <v>6120.45</v>
      </c>
      <c r="EL174" s="231">
        <v>14025.79</v>
      </c>
      <c r="EM174" s="231">
        <v>2875</v>
      </c>
      <c r="EN174" s="231">
        <v>50117.5</v>
      </c>
      <c r="EO174" s="231">
        <v>44777.56</v>
      </c>
      <c r="EP174" s="231">
        <v>5339.94</v>
      </c>
      <c r="EQ174" s="229">
        <v>0.1193</v>
      </c>
      <c r="ER174" s="231">
        <v>70775</v>
      </c>
      <c r="ES174" s="231">
        <v>29798</v>
      </c>
      <c r="ET174" s="231">
        <v>146285</v>
      </c>
      <c r="EU174" s="231">
        <v>84941460</v>
      </c>
      <c r="EV174" s="231">
        <v>246857</v>
      </c>
      <c r="EW174" s="231">
        <v>241950</v>
      </c>
      <c r="EX174" s="231">
        <v>4907</v>
      </c>
      <c r="EY174" s="229">
        <v>2.0299999999999999E-2</v>
      </c>
      <c r="EZ174" s="229">
        <v>0.93540000000000001</v>
      </c>
      <c r="FA174" s="227" t="s">
        <v>567</v>
      </c>
      <c r="FB174" s="161">
        <f t="shared" si="4"/>
        <v>0</v>
      </c>
    </row>
    <row r="175" spans="1:158" ht="17.25" thickBot="1" x14ac:dyDescent="0.3">
      <c r="A175" s="226">
        <v>46008</v>
      </c>
      <c r="B175" s="227" t="s">
        <v>227</v>
      </c>
      <c r="C175" s="227" t="s">
        <v>282</v>
      </c>
      <c r="D175" s="228">
        <v>4700</v>
      </c>
      <c r="E175" s="228">
        <v>130.31</v>
      </c>
      <c r="F175" s="228">
        <v>129.81</v>
      </c>
      <c r="G175" s="228">
        <v>0.5</v>
      </c>
      <c r="H175" s="229">
        <v>3.8999999999999998E-3</v>
      </c>
      <c r="I175" s="228">
        <v>130.19999999999999</v>
      </c>
      <c r="J175" s="228">
        <v>129.68</v>
      </c>
      <c r="K175" s="228">
        <v>0.52</v>
      </c>
      <c r="L175" s="229">
        <v>4.0000000000000001E-3</v>
      </c>
      <c r="M175" s="228">
        <v>130.31</v>
      </c>
      <c r="N175" s="228">
        <v>129.81</v>
      </c>
      <c r="O175" s="228">
        <v>0.5</v>
      </c>
      <c r="P175" s="229">
        <v>3.8999999999999998E-3</v>
      </c>
      <c r="Q175" s="228">
        <v>131.13999999999999</v>
      </c>
      <c r="R175" s="228">
        <v>130.76</v>
      </c>
      <c r="S175" s="228">
        <v>0.38</v>
      </c>
      <c r="T175" s="229">
        <v>2.8999999999999998E-3</v>
      </c>
      <c r="U175" s="228">
        <v>131.72999999999999</v>
      </c>
      <c r="V175" s="228">
        <v>131.44</v>
      </c>
      <c r="W175" s="228">
        <v>0.28999999999999998</v>
      </c>
      <c r="X175" s="229">
        <v>2.2000000000000001E-3</v>
      </c>
      <c r="Y175" s="228">
        <v>0.11</v>
      </c>
      <c r="Z175" s="228">
        <v>0.13</v>
      </c>
      <c r="AA175" s="228">
        <v>-0.02</v>
      </c>
      <c r="AB175" s="229">
        <v>8.0000000000000004E-4</v>
      </c>
      <c r="AC175" s="228">
        <v>0.11</v>
      </c>
      <c r="AD175" s="228">
        <v>0.13</v>
      </c>
      <c r="AE175" s="228">
        <v>-0.02</v>
      </c>
      <c r="AF175" s="229">
        <v>8.0000000000000004E-4</v>
      </c>
      <c r="AG175" s="228">
        <v>0.94</v>
      </c>
      <c r="AH175" s="228">
        <v>1.08</v>
      </c>
      <c r="AI175" s="228">
        <v>-0.14000000000000001</v>
      </c>
      <c r="AJ175" s="229">
        <v>7.1999999999999998E-3</v>
      </c>
      <c r="AK175" s="228">
        <v>1.53</v>
      </c>
      <c r="AL175" s="228">
        <v>1.76</v>
      </c>
      <c r="AM175" s="228">
        <v>-0.23</v>
      </c>
      <c r="AN175" s="229">
        <v>1.18E-2</v>
      </c>
      <c r="AO175" s="228">
        <v>129.97999999999999</v>
      </c>
      <c r="AP175" s="228">
        <v>130.75</v>
      </c>
      <c r="AQ175" s="228">
        <v>0</v>
      </c>
      <c r="AR175" s="230">
        <v>14245700</v>
      </c>
      <c r="AS175" s="230">
        <v>24435300</v>
      </c>
      <c r="AT175" s="230">
        <v>-10189600</v>
      </c>
      <c r="AU175" s="229">
        <v>-0.41699999999999998</v>
      </c>
      <c r="AV175" s="230">
        <v>11073200</v>
      </c>
      <c r="AW175" s="230">
        <v>17587400</v>
      </c>
      <c r="AX175" s="230">
        <v>-6514200</v>
      </c>
      <c r="AY175" s="229">
        <v>-0.37040000000000001</v>
      </c>
      <c r="AZ175" s="230">
        <v>2603800</v>
      </c>
      <c r="BA175" s="230">
        <v>4925600</v>
      </c>
      <c r="BB175" s="230">
        <v>-2321800</v>
      </c>
      <c r="BC175" s="229">
        <v>-0.47139999999999999</v>
      </c>
      <c r="BD175" s="230">
        <v>568700</v>
      </c>
      <c r="BE175" s="230">
        <v>1922300</v>
      </c>
      <c r="BF175" s="230">
        <v>-1353600</v>
      </c>
      <c r="BG175" s="229">
        <v>-0.70420000000000005</v>
      </c>
      <c r="BH175" s="230">
        <v>21695200</v>
      </c>
      <c r="BI175" s="230">
        <v>32961100</v>
      </c>
      <c r="BJ175" s="230">
        <v>-11265900</v>
      </c>
      <c r="BK175" s="229">
        <v>-0.34179999999999999</v>
      </c>
      <c r="BL175" s="230">
        <v>6688100</v>
      </c>
      <c r="BM175" s="230">
        <v>13301000</v>
      </c>
      <c r="BN175" s="230">
        <v>-6612900</v>
      </c>
      <c r="BO175" s="229">
        <v>-0.49719999999999998</v>
      </c>
      <c r="BP175" s="230">
        <v>42629000</v>
      </c>
      <c r="BQ175" s="230">
        <v>70697400</v>
      </c>
      <c r="BR175" s="230">
        <v>-28068400</v>
      </c>
      <c r="BS175" s="229">
        <v>-0.39700000000000002</v>
      </c>
      <c r="BT175" s="230">
        <v>8790384</v>
      </c>
      <c r="BU175" s="230">
        <v>13894583</v>
      </c>
      <c r="BV175" s="230">
        <v>-5104199</v>
      </c>
      <c r="BW175" s="229">
        <v>-0.3674</v>
      </c>
      <c r="BX175" s="230">
        <v>175822300</v>
      </c>
      <c r="BY175" s="230">
        <v>177617700</v>
      </c>
      <c r="BZ175" s="230">
        <v>-1795400</v>
      </c>
      <c r="CA175" s="229">
        <v>-1.01E-2</v>
      </c>
      <c r="CB175" s="230">
        <v>156580500</v>
      </c>
      <c r="CC175" s="230">
        <v>159518000</v>
      </c>
      <c r="CD175" s="230">
        <v>-2937500</v>
      </c>
      <c r="CE175" s="229">
        <v>-1.84E-2</v>
      </c>
      <c r="CF175" s="230">
        <v>15782600</v>
      </c>
      <c r="CG175" s="230">
        <v>14711000</v>
      </c>
      <c r="CH175" s="230">
        <v>1071600</v>
      </c>
      <c r="CI175" s="229">
        <v>7.2800000000000004E-2</v>
      </c>
      <c r="CJ175" s="230">
        <v>3459200</v>
      </c>
      <c r="CK175" s="230">
        <v>3388700</v>
      </c>
      <c r="CL175" s="230">
        <v>70500</v>
      </c>
      <c r="CM175" s="229">
        <v>2.0799999999999999E-2</v>
      </c>
      <c r="CN175" s="230">
        <v>52846800</v>
      </c>
      <c r="CO175" s="230">
        <v>53255700</v>
      </c>
      <c r="CP175" s="230">
        <v>-408900</v>
      </c>
      <c r="CQ175" s="229">
        <v>-7.7000000000000002E-3</v>
      </c>
      <c r="CR175" s="230">
        <v>29812100</v>
      </c>
      <c r="CS175" s="230">
        <v>29783900</v>
      </c>
      <c r="CT175" s="230">
        <v>28200</v>
      </c>
      <c r="CU175" s="229">
        <v>8.9999999999999998E-4</v>
      </c>
      <c r="CV175" s="230">
        <v>258481200</v>
      </c>
      <c r="CW175" s="230">
        <v>260657300</v>
      </c>
      <c r="CX175" s="230">
        <v>-2176100</v>
      </c>
      <c r="CY175" s="229">
        <v>-8.3000000000000001E-3</v>
      </c>
      <c r="CZ175" s="228">
        <v>28.21</v>
      </c>
      <c r="DA175" s="228">
        <v>30.2</v>
      </c>
      <c r="DB175" s="228">
        <v>-1.99</v>
      </c>
      <c r="DC175" s="228">
        <v>-1.99</v>
      </c>
      <c r="DD175" s="228">
        <v>43.35</v>
      </c>
      <c r="DE175" s="228">
        <v>43.46</v>
      </c>
      <c r="DF175" s="228">
        <v>-15.14</v>
      </c>
      <c r="DG175" s="228">
        <v>-0.11</v>
      </c>
      <c r="DH175" s="228">
        <v>28.58</v>
      </c>
      <c r="DI175" s="228">
        <v>30.92</v>
      </c>
      <c r="DJ175" s="228">
        <v>-2.34</v>
      </c>
      <c r="DK175" s="228">
        <v>-2.34</v>
      </c>
      <c r="DL175" s="228">
        <v>27.03</v>
      </c>
      <c r="DM175" s="228">
        <v>28.4</v>
      </c>
      <c r="DN175" s="228">
        <v>-1.37</v>
      </c>
      <c r="DO175" s="228">
        <v>-1.37</v>
      </c>
      <c r="DP175" s="228">
        <v>0.56000000000000005</v>
      </c>
      <c r="DQ175" s="228">
        <v>0.56000000000000005</v>
      </c>
      <c r="DR175" s="228">
        <v>0</v>
      </c>
      <c r="DS175" s="229">
        <v>0</v>
      </c>
      <c r="DT175" s="228">
        <v>140</v>
      </c>
      <c r="DU175" s="228">
        <v>125</v>
      </c>
      <c r="DV175" s="228">
        <v>0.31</v>
      </c>
      <c r="DW175" s="228">
        <v>0.4</v>
      </c>
      <c r="DX175" s="228">
        <v>-0.09</v>
      </c>
      <c r="DY175" s="229">
        <v>-0.22500000000000001</v>
      </c>
      <c r="DZ175" s="229">
        <v>0.1094</v>
      </c>
      <c r="EA175" s="230">
        <v>18099700</v>
      </c>
      <c r="EB175" s="229">
        <v>6.4000000000000003E-3</v>
      </c>
      <c r="EC175" s="229">
        <v>0.1094</v>
      </c>
      <c r="ED175" s="228">
        <v>0.77</v>
      </c>
      <c r="EE175" s="229">
        <v>5.8999999999999999E-3</v>
      </c>
      <c r="EF175" s="230">
        <v>4118739</v>
      </c>
      <c r="EG175" s="230">
        <v>6302117</v>
      </c>
      <c r="EH175" s="229">
        <v>-0.34649999999999997</v>
      </c>
      <c r="EI175" s="229">
        <v>0.46860000000000002</v>
      </c>
      <c r="EJ175" s="231">
        <v>29628.36</v>
      </c>
      <c r="EK175" s="231">
        <v>8696.9</v>
      </c>
      <c r="EL175" s="231">
        <v>18544.38</v>
      </c>
      <c r="EM175" s="231">
        <v>4090</v>
      </c>
      <c r="EN175" s="231">
        <v>56869.64</v>
      </c>
      <c r="EO175" s="231">
        <v>94083.31</v>
      </c>
      <c r="EP175" s="231">
        <v>-37213.67</v>
      </c>
      <c r="EQ175" s="229">
        <v>-0.39550000000000002</v>
      </c>
      <c r="ER175" s="231">
        <v>73726</v>
      </c>
      <c r="ES175" s="231">
        <v>38693</v>
      </c>
      <c r="ET175" s="231">
        <v>229294</v>
      </c>
      <c r="EU175" s="231">
        <v>216861410</v>
      </c>
      <c r="EV175" s="231">
        <v>341713</v>
      </c>
      <c r="EW175" s="231">
        <v>343813</v>
      </c>
      <c r="EX175" s="231">
        <v>-2100</v>
      </c>
      <c r="EY175" s="229">
        <v>-6.1000000000000004E-3</v>
      </c>
      <c r="EZ175" s="229">
        <v>1.1919</v>
      </c>
      <c r="FA175" s="227" t="s">
        <v>556</v>
      </c>
      <c r="FB175" s="161">
        <f t="shared" si="4"/>
        <v>0</v>
      </c>
    </row>
    <row r="176" spans="1:158" ht="17.25" thickBot="1" x14ac:dyDescent="0.3">
      <c r="A176" s="226">
        <v>46008</v>
      </c>
      <c r="B176" s="227" t="s">
        <v>175</v>
      </c>
      <c r="C176" s="227" t="s">
        <v>687</v>
      </c>
      <c r="D176" s="228">
        <v>4300</v>
      </c>
      <c r="E176" s="228">
        <v>146.19</v>
      </c>
      <c r="F176" s="228">
        <v>147.51</v>
      </c>
      <c r="G176" s="228">
        <v>-1.32</v>
      </c>
      <c r="H176" s="229">
        <v>-8.8999999999999999E-3</v>
      </c>
      <c r="I176" s="228">
        <v>145.78</v>
      </c>
      <c r="J176" s="228">
        <v>146.88999999999999</v>
      </c>
      <c r="K176" s="228">
        <v>-1.1100000000000001</v>
      </c>
      <c r="L176" s="229">
        <v>-7.6E-3</v>
      </c>
      <c r="M176" s="228">
        <v>146.19</v>
      </c>
      <c r="N176" s="228">
        <v>147.51</v>
      </c>
      <c r="O176" s="228">
        <v>-1.32</v>
      </c>
      <c r="P176" s="229">
        <v>-8.8999999999999999E-3</v>
      </c>
      <c r="Q176" s="228">
        <v>147.16999999999999</v>
      </c>
      <c r="R176" s="228">
        <v>148.44999999999999</v>
      </c>
      <c r="S176" s="228">
        <v>-1.28</v>
      </c>
      <c r="T176" s="229">
        <v>-8.6E-3</v>
      </c>
      <c r="U176" s="228">
        <v>147.65</v>
      </c>
      <c r="V176" s="228">
        <v>149.46</v>
      </c>
      <c r="W176" s="228">
        <v>-1.81</v>
      </c>
      <c r="X176" s="229">
        <v>-1.21E-2</v>
      </c>
      <c r="Y176" s="228">
        <v>0.41</v>
      </c>
      <c r="Z176" s="228">
        <v>0.62</v>
      </c>
      <c r="AA176" s="228">
        <v>-0.21</v>
      </c>
      <c r="AB176" s="229">
        <v>2.8E-3</v>
      </c>
      <c r="AC176" s="228">
        <v>0.41</v>
      </c>
      <c r="AD176" s="228">
        <v>0.62</v>
      </c>
      <c r="AE176" s="228">
        <v>-0.21</v>
      </c>
      <c r="AF176" s="229">
        <v>2.8E-3</v>
      </c>
      <c r="AG176" s="228">
        <v>1.39</v>
      </c>
      <c r="AH176" s="228">
        <v>1.56</v>
      </c>
      <c r="AI176" s="228">
        <v>-0.17</v>
      </c>
      <c r="AJ176" s="229">
        <v>9.4999999999999998E-3</v>
      </c>
      <c r="AK176" s="228">
        <v>1.87</v>
      </c>
      <c r="AL176" s="228">
        <v>2.57</v>
      </c>
      <c r="AM176" s="228">
        <v>-0.7</v>
      </c>
      <c r="AN176" s="229">
        <v>1.2800000000000001E-2</v>
      </c>
      <c r="AO176" s="228">
        <v>147.46</v>
      </c>
      <c r="AP176" s="228">
        <v>148</v>
      </c>
      <c r="AQ176" s="228">
        <v>0</v>
      </c>
      <c r="AR176" s="230">
        <v>81992400</v>
      </c>
      <c r="AS176" s="230">
        <v>17587000</v>
      </c>
      <c r="AT176" s="230">
        <v>64405400</v>
      </c>
      <c r="AU176" s="229">
        <v>3.6621000000000001</v>
      </c>
      <c r="AV176" s="230">
        <v>58652000</v>
      </c>
      <c r="AW176" s="230">
        <v>12040000</v>
      </c>
      <c r="AX176" s="230">
        <v>46612000</v>
      </c>
      <c r="AY176" s="229">
        <v>3.8714</v>
      </c>
      <c r="AZ176" s="230">
        <v>22123500</v>
      </c>
      <c r="BA176" s="230">
        <v>5435200</v>
      </c>
      <c r="BB176" s="230">
        <v>16688300</v>
      </c>
      <c r="BC176" s="229">
        <v>3.0703999999999998</v>
      </c>
      <c r="BD176" s="230">
        <v>1216900</v>
      </c>
      <c r="BE176" s="230">
        <v>111800</v>
      </c>
      <c r="BF176" s="230">
        <v>1105100</v>
      </c>
      <c r="BG176" s="229">
        <v>9.8846000000000007</v>
      </c>
      <c r="BH176" s="230">
        <v>215111800</v>
      </c>
      <c r="BI176" s="230">
        <v>34860100</v>
      </c>
      <c r="BJ176" s="230">
        <v>180251700</v>
      </c>
      <c r="BK176" s="229">
        <v>5.1707000000000001</v>
      </c>
      <c r="BL176" s="230">
        <v>121991000</v>
      </c>
      <c r="BM176" s="230">
        <v>11300400</v>
      </c>
      <c r="BN176" s="230">
        <v>110690600</v>
      </c>
      <c r="BO176" s="229">
        <v>9.7952999999999992</v>
      </c>
      <c r="BP176" s="230">
        <v>419095200</v>
      </c>
      <c r="BQ176" s="230">
        <v>63747500</v>
      </c>
      <c r="BR176" s="230">
        <v>355347700</v>
      </c>
      <c r="BS176" s="229">
        <v>5.5743</v>
      </c>
      <c r="BT176" s="230">
        <v>41847304</v>
      </c>
      <c r="BU176" s="230">
        <v>7762087</v>
      </c>
      <c r="BV176" s="230">
        <v>34085217</v>
      </c>
      <c r="BW176" s="229">
        <v>4.3912000000000004</v>
      </c>
      <c r="BX176" s="230">
        <v>114190800</v>
      </c>
      <c r="BY176" s="230">
        <v>105096300</v>
      </c>
      <c r="BZ176" s="230">
        <v>9094500</v>
      </c>
      <c r="CA176" s="229">
        <v>8.6499999999999994E-2</v>
      </c>
      <c r="CB176" s="230">
        <v>85303400</v>
      </c>
      <c r="CC176" s="230">
        <v>89500200</v>
      </c>
      <c r="CD176" s="230">
        <v>-4196800</v>
      </c>
      <c r="CE176" s="229">
        <v>-4.6899999999999997E-2</v>
      </c>
      <c r="CF176" s="230">
        <v>27713500</v>
      </c>
      <c r="CG176" s="230">
        <v>15333800</v>
      </c>
      <c r="CH176" s="230">
        <v>12379700</v>
      </c>
      <c r="CI176" s="229">
        <v>0.80730000000000002</v>
      </c>
      <c r="CJ176" s="230">
        <v>1173900</v>
      </c>
      <c r="CK176" s="230">
        <v>262300</v>
      </c>
      <c r="CL176" s="230">
        <v>911600</v>
      </c>
      <c r="CM176" s="229">
        <v>3.4754</v>
      </c>
      <c r="CN176" s="230">
        <v>65299800</v>
      </c>
      <c r="CO176" s="230">
        <v>54339100</v>
      </c>
      <c r="CP176" s="230">
        <v>10960700</v>
      </c>
      <c r="CQ176" s="229">
        <v>0.20169999999999999</v>
      </c>
      <c r="CR176" s="230">
        <v>41073600</v>
      </c>
      <c r="CS176" s="230">
        <v>29614100</v>
      </c>
      <c r="CT176" s="230">
        <v>11459500</v>
      </c>
      <c r="CU176" s="229">
        <v>0.38700000000000001</v>
      </c>
      <c r="CV176" s="230">
        <v>220564200</v>
      </c>
      <c r="CW176" s="230">
        <v>189049500</v>
      </c>
      <c r="CX176" s="230">
        <v>31514700</v>
      </c>
      <c r="CY176" s="229">
        <v>0.16669999999999999</v>
      </c>
      <c r="CZ176" s="228">
        <v>46.62</v>
      </c>
      <c r="DA176" s="228">
        <v>55.05</v>
      </c>
      <c r="DB176" s="228">
        <v>-8.43</v>
      </c>
      <c r="DC176" s="228">
        <v>-8.43</v>
      </c>
      <c r="DD176" s="228">
        <v>57.49</v>
      </c>
      <c r="DE176" s="228">
        <v>57.63</v>
      </c>
      <c r="DF176" s="228">
        <v>-10.87</v>
      </c>
      <c r="DG176" s="228">
        <v>-0.14000000000000001</v>
      </c>
      <c r="DH176" s="228">
        <v>47.54</v>
      </c>
      <c r="DI176" s="228">
        <v>55.13</v>
      </c>
      <c r="DJ176" s="228">
        <v>-7.59</v>
      </c>
      <c r="DK176" s="228">
        <v>-7.59</v>
      </c>
      <c r="DL176" s="228">
        <v>45</v>
      </c>
      <c r="DM176" s="228">
        <v>54.78</v>
      </c>
      <c r="DN176" s="228">
        <v>-9.7799999999999994</v>
      </c>
      <c r="DO176" s="228">
        <v>-9.7799999999999994</v>
      </c>
      <c r="DP176" s="228">
        <v>0.63</v>
      </c>
      <c r="DQ176" s="228">
        <v>0.54</v>
      </c>
      <c r="DR176" s="228">
        <v>0.09</v>
      </c>
      <c r="DS176" s="229">
        <v>0.16669999999999999</v>
      </c>
      <c r="DT176" s="228">
        <v>155</v>
      </c>
      <c r="DU176" s="228">
        <v>140</v>
      </c>
      <c r="DV176" s="228">
        <v>0.56999999999999995</v>
      </c>
      <c r="DW176" s="228">
        <v>0.32</v>
      </c>
      <c r="DX176" s="228">
        <v>0.25</v>
      </c>
      <c r="DY176" s="229">
        <v>0.78120000000000001</v>
      </c>
      <c r="DZ176" s="229">
        <v>0.253</v>
      </c>
      <c r="EA176" s="230">
        <v>15596100</v>
      </c>
      <c r="EB176" s="229">
        <v>6.7000000000000002E-3</v>
      </c>
      <c r="EC176" s="229">
        <v>0.253</v>
      </c>
      <c r="ED176" s="228">
        <v>0.54</v>
      </c>
      <c r="EE176" s="229">
        <v>3.7000000000000002E-3</v>
      </c>
      <c r="EF176" s="230">
        <v>8582370</v>
      </c>
      <c r="EG176" s="230">
        <v>2793159</v>
      </c>
      <c r="EH176" s="229">
        <v>2.0726</v>
      </c>
      <c r="EI176" s="229">
        <v>0.2051</v>
      </c>
      <c r="EJ176" s="231">
        <v>348096.69</v>
      </c>
      <c r="EK176" s="231">
        <v>176383.89</v>
      </c>
      <c r="EL176" s="231">
        <v>121038.97</v>
      </c>
      <c r="EM176" s="231">
        <v>4701</v>
      </c>
      <c r="EN176" s="231">
        <v>645519.55000000005</v>
      </c>
      <c r="EO176" s="231">
        <v>99535.64</v>
      </c>
      <c r="EP176" s="231">
        <v>545983.91</v>
      </c>
      <c r="EQ176" s="229">
        <v>5.4852999999999996</v>
      </c>
      <c r="ER176" s="231">
        <v>109267</v>
      </c>
      <c r="ES176" s="231">
        <v>61954</v>
      </c>
      <c r="ET176" s="231">
        <v>167224</v>
      </c>
      <c r="EU176" s="231">
        <v>122326971</v>
      </c>
      <c r="EV176" s="231">
        <v>338445</v>
      </c>
      <c r="EW176" s="231">
        <v>293056</v>
      </c>
      <c r="EX176" s="231">
        <v>45389</v>
      </c>
      <c r="EY176" s="229">
        <v>0.15490000000000001</v>
      </c>
      <c r="EZ176" s="229">
        <v>1.8030999999999999</v>
      </c>
      <c r="FA176" s="227" t="s">
        <v>567</v>
      </c>
      <c r="FB176" s="161">
        <f t="shared" si="4"/>
        <v>0</v>
      </c>
    </row>
    <row r="177" spans="1:158" ht="17.25" thickBot="1" x14ac:dyDescent="0.3">
      <c r="A177" s="226">
        <v>46008</v>
      </c>
      <c r="B177" s="227" t="s">
        <v>175</v>
      </c>
      <c r="C177" s="227" t="s">
        <v>536</v>
      </c>
      <c r="D177" s="228">
        <v>800</v>
      </c>
      <c r="E177" s="228">
        <v>836.55</v>
      </c>
      <c r="F177" s="228">
        <v>847.6</v>
      </c>
      <c r="G177" s="228">
        <v>-11.05</v>
      </c>
      <c r="H177" s="229">
        <v>-1.2999999999999999E-2</v>
      </c>
      <c r="I177" s="228">
        <v>834.4</v>
      </c>
      <c r="J177" s="228">
        <v>847.7</v>
      </c>
      <c r="K177" s="228">
        <v>-13.3</v>
      </c>
      <c r="L177" s="229">
        <v>-1.5699999999999999E-2</v>
      </c>
      <c r="M177" s="228">
        <v>836.55</v>
      </c>
      <c r="N177" s="228">
        <v>847.6</v>
      </c>
      <c r="O177" s="228">
        <v>-11.05</v>
      </c>
      <c r="P177" s="229">
        <v>-1.2999999999999999E-2</v>
      </c>
      <c r="Q177" s="228">
        <v>836.75</v>
      </c>
      <c r="R177" s="228">
        <v>848.6</v>
      </c>
      <c r="S177" s="228">
        <v>-11.85</v>
      </c>
      <c r="T177" s="229">
        <v>-1.4E-2</v>
      </c>
      <c r="U177" s="228">
        <v>838</v>
      </c>
      <c r="V177" s="228">
        <v>849.85</v>
      </c>
      <c r="W177" s="228">
        <v>-11.85</v>
      </c>
      <c r="X177" s="229">
        <v>-1.3899999999999999E-2</v>
      </c>
      <c r="Y177" s="228">
        <v>2.15</v>
      </c>
      <c r="Z177" s="228">
        <v>-0.1</v>
      </c>
      <c r="AA177" s="228">
        <v>2.25</v>
      </c>
      <c r="AB177" s="229">
        <v>2.5999999999999999E-3</v>
      </c>
      <c r="AC177" s="228">
        <v>2.15</v>
      </c>
      <c r="AD177" s="228">
        <v>-0.1</v>
      </c>
      <c r="AE177" s="228">
        <v>2.25</v>
      </c>
      <c r="AF177" s="229">
        <v>2.5999999999999999E-3</v>
      </c>
      <c r="AG177" s="228">
        <v>2.35</v>
      </c>
      <c r="AH177" s="228">
        <v>0.9</v>
      </c>
      <c r="AI177" s="228">
        <v>1.45</v>
      </c>
      <c r="AJ177" s="229">
        <v>2.8E-3</v>
      </c>
      <c r="AK177" s="228">
        <v>3.6</v>
      </c>
      <c r="AL177" s="228">
        <v>2.15</v>
      </c>
      <c r="AM177" s="228">
        <v>1.45</v>
      </c>
      <c r="AN177" s="229">
        <v>4.3E-3</v>
      </c>
      <c r="AO177" s="228">
        <v>839.75</v>
      </c>
      <c r="AP177" s="228">
        <v>840.28</v>
      </c>
      <c r="AQ177" s="228">
        <v>0</v>
      </c>
      <c r="AR177" s="230">
        <v>2464800</v>
      </c>
      <c r="AS177" s="230">
        <v>2704000</v>
      </c>
      <c r="AT177" s="230">
        <v>-239200</v>
      </c>
      <c r="AU177" s="229">
        <v>-8.8499999999999995E-2</v>
      </c>
      <c r="AV177" s="230">
        <v>2014400</v>
      </c>
      <c r="AW177" s="230">
        <v>2186400</v>
      </c>
      <c r="AX177" s="230">
        <v>-172000</v>
      </c>
      <c r="AY177" s="229">
        <v>-7.8700000000000006E-2</v>
      </c>
      <c r="AZ177" s="230">
        <v>428800</v>
      </c>
      <c r="BA177" s="230">
        <v>452000</v>
      </c>
      <c r="BB177" s="230">
        <v>-23200</v>
      </c>
      <c r="BC177" s="229">
        <v>-5.1299999999999998E-2</v>
      </c>
      <c r="BD177" s="230">
        <v>21600</v>
      </c>
      <c r="BE177" s="230">
        <v>65600</v>
      </c>
      <c r="BF177" s="230">
        <v>-44000</v>
      </c>
      <c r="BG177" s="229">
        <v>-0.67069999999999996</v>
      </c>
      <c r="BH177" s="230">
        <v>7242400</v>
      </c>
      <c r="BI177" s="230">
        <v>6535200</v>
      </c>
      <c r="BJ177" s="230">
        <v>707200</v>
      </c>
      <c r="BK177" s="229">
        <v>0.1082</v>
      </c>
      <c r="BL177" s="230">
        <v>6460800</v>
      </c>
      <c r="BM177" s="230">
        <v>3588000</v>
      </c>
      <c r="BN177" s="230">
        <v>2872800</v>
      </c>
      <c r="BO177" s="229">
        <v>0.80069999999999997</v>
      </c>
      <c r="BP177" s="230">
        <v>16168000</v>
      </c>
      <c r="BQ177" s="230">
        <v>12827200</v>
      </c>
      <c r="BR177" s="230">
        <v>3340800</v>
      </c>
      <c r="BS177" s="229">
        <v>0.26040000000000002</v>
      </c>
      <c r="BT177" s="230">
        <v>912830</v>
      </c>
      <c r="BU177" s="230">
        <v>829183</v>
      </c>
      <c r="BV177" s="230">
        <v>83647</v>
      </c>
      <c r="BW177" s="229">
        <v>0.1009</v>
      </c>
      <c r="BX177" s="230">
        <v>16902400</v>
      </c>
      <c r="BY177" s="230">
        <v>16606400</v>
      </c>
      <c r="BZ177" s="230">
        <v>296000</v>
      </c>
      <c r="CA177" s="229">
        <v>1.78E-2</v>
      </c>
      <c r="CB177" s="230">
        <v>15490400</v>
      </c>
      <c r="CC177" s="230">
        <v>15343200</v>
      </c>
      <c r="CD177" s="230">
        <v>147200</v>
      </c>
      <c r="CE177" s="229">
        <v>9.5999999999999992E-3</v>
      </c>
      <c r="CF177" s="230">
        <v>1301600</v>
      </c>
      <c r="CG177" s="230">
        <v>1159200</v>
      </c>
      <c r="CH177" s="230">
        <v>142400</v>
      </c>
      <c r="CI177" s="229">
        <v>0.12280000000000001</v>
      </c>
      <c r="CJ177" s="230">
        <v>110400</v>
      </c>
      <c r="CK177" s="230">
        <v>104000</v>
      </c>
      <c r="CL177" s="230">
        <v>6400</v>
      </c>
      <c r="CM177" s="229">
        <v>6.1499999999999999E-2</v>
      </c>
      <c r="CN177" s="230">
        <v>6587200</v>
      </c>
      <c r="CO177" s="230">
        <v>6160800</v>
      </c>
      <c r="CP177" s="230">
        <v>426400</v>
      </c>
      <c r="CQ177" s="229">
        <v>6.9199999999999998E-2</v>
      </c>
      <c r="CR177" s="230">
        <v>4354400</v>
      </c>
      <c r="CS177" s="230">
        <v>4320800</v>
      </c>
      <c r="CT177" s="230">
        <v>33600</v>
      </c>
      <c r="CU177" s="229">
        <v>7.7999999999999996E-3</v>
      </c>
      <c r="CV177" s="230">
        <v>27844000</v>
      </c>
      <c r="CW177" s="230">
        <v>27088000</v>
      </c>
      <c r="CX177" s="230">
        <v>756000</v>
      </c>
      <c r="CY177" s="229">
        <v>2.7900000000000001E-2</v>
      </c>
      <c r="CZ177" s="228">
        <v>23.93</v>
      </c>
      <c r="DA177" s="228">
        <v>24.01</v>
      </c>
      <c r="DB177" s="228">
        <v>-0.08</v>
      </c>
      <c r="DC177" s="228">
        <v>-0.08</v>
      </c>
      <c r="DD177" s="228">
        <v>29.3</v>
      </c>
      <c r="DE177" s="228">
        <v>29.3</v>
      </c>
      <c r="DF177" s="228">
        <v>-5.37</v>
      </c>
      <c r="DG177" s="228">
        <v>0</v>
      </c>
      <c r="DH177" s="228">
        <v>25.19</v>
      </c>
      <c r="DI177" s="228">
        <v>24.67</v>
      </c>
      <c r="DJ177" s="228">
        <v>0.52</v>
      </c>
      <c r="DK177" s="228">
        <v>0.52</v>
      </c>
      <c r="DL177" s="228">
        <v>22.53</v>
      </c>
      <c r="DM177" s="228">
        <v>22.8</v>
      </c>
      <c r="DN177" s="228">
        <v>-0.27</v>
      </c>
      <c r="DO177" s="228">
        <v>-0.27</v>
      </c>
      <c r="DP177" s="228">
        <v>0.66</v>
      </c>
      <c r="DQ177" s="228">
        <v>0.7</v>
      </c>
      <c r="DR177" s="228">
        <v>-0.04</v>
      </c>
      <c r="DS177" s="229">
        <v>-5.7099999999999998E-2</v>
      </c>
      <c r="DT177" s="228">
        <v>900</v>
      </c>
      <c r="DU177" s="228">
        <v>800</v>
      </c>
      <c r="DV177" s="228">
        <v>0.89</v>
      </c>
      <c r="DW177" s="228">
        <v>0.55000000000000004</v>
      </c>
      <c r="DX177" s="228">
        <v>0.34</v>
      </c>
      <c r="DY177" s="229">
        <v>0.61819999999999997</v>
      </c>
      <c r="DZ177" s="229">
        <v>8.3500000000000005E-2</v>
      </c>
      <c r="EA177" s="230">
        <v>1263200</v>
      </c>
      <c r="EB177" s="229">
        <v>2.0000000000000001E-4</v>
      </c>
      <c r="EC177" s="229">
        <v>8.3500000000000005E-2</v>
      </c>
      <c r="ED177" s="228">
        <v>0.53</v>
      </c>
      <c r="EE177" s="229">
        <v>5.9999999999999995E-4</v>
      </c>
      <c r="EF177" s="230">
        <v>536389</v>
      </c>
      <c r="EG177" s="230">
        <v>383977</v>
      </c>
      <c r="EH177" s="229">
        <v>0.39689999999999998</v>
      </c>
      <c r="EI177" s="229">
        <v>0.58760000000000001</v>
      </c>
      <c r="EJ177" s="231">
        <v>64068.639999999999</v>
      </c>
      <c r="EK177" s="231">
        <v>54362.69</v>
      </c>
      <c r="EL177" s="231">
        <v>20700.62</v>
      </c>
      <c r="EM177" s="231">
        <v>2851</v>
      </c>
      <c r="EN177" s="231">
        <v>139131.95000000001</v>
      </c>
      <c r="EO177" s="231">
        <v>112263.49</v>
      </c>
      <c r="EP177" s="231">
        <v>26868.46</v>
      </c>
      <c r="EQ177" s="229">
        <v>0.23930000000000001</v>
      </c>
      <c r="ER177" s="231">
        <v>59731</v>
      </c>
      <c r="ES177" s="231">
        <v>36281</v>
      </c>
      <c r="ET177" s="231">
        <v>141401</v>
      </c>
      <c r="EU177" s="231">
        <v>39583537</v>
      </c>
      <c r="EV177" s="231">
        <v>237413</v>
      </c>
      <c r="EW177" s="231">
        <v>233245</v>
      </c>
      <c r="EX177" s="231">
        <v>4168</v>
      </c>
      <c r="EY177" s="229">
        <v>1.7899999999999999E-2</v>
      </c>
      <c r="EZ177" s="229">
        <v>0.70340000000000003</v>
      </c>
      <c r="FA177" s="227" t="s">
        <v>567</v>
      </c>
      <c r="FB177" s="161">
        <f t="shared" si="4"/>
        <v>0</v>
      </c>
    </row>
    <row r="178" spans="1:158" ht="17.25" thickBot="1" x14ac:dyDescent="0.3">
      <c r="A178" s="226">
        <v>46008</v>
      </c>
      <c r="B178" s="227" t="s">
        <v>175</v>
      </c>
      <c r="C178" s="227" t="s">
        <v>462</v>
      </c>
      <c r="D178" s="228">
        <v>375</v>
      </c>
      <c r="E178" s="231">
        <v>2016.3</v>
      </c>
      <c r="F178" s="231">
        <v>2035.8</v>
      </c>
      <c r="G178" s="228">
        <v>-19.5</v>
      </c>
      <c r="H178" s="229">
        <v>-9.5999999999999992E-3</v>
      </c>
      <c r="I178" s="231">
        <v>2010.2</v>
      </c>
      <c r="J178" s="231">
        <v>2036</v>
      </c>
      <c r="K178" s="228">
        <v>-25.8</v>
      </c>
      <c r="L178" s="229">
        <v>-1.2699999999999999E-2</v>
      </c>
      <c r="M178" s="231">
        <v>2016.3</v>
      </c>
      <c r="N178" s="231">
        <v>2035.8</v>
      </c>
      <c r="O178" s="228">
        <v>-19.5</v>
      </c>
      <c r="P178" s="229">
        <v>-9.5999999999999992E-3</v>
      </c>
      <c r="Q178" s="231">
        <v>2028.3</v>
      </c>
      <c r="R178" s="231">
        <v>2048.3000000000002</v>
      </c>
      <c r="S178" s="228">
        <v>-20</v>
      </c>
      <c r="T178" s="229">
        <v>-9.7999999999999997E-3</v>
      </c>
      <c r="U178" s="231">
        <v>2040.7</v>
      </c>
      <c r="V178" s="231">
        <v>2061.3000000000002</v>
      </c>
      <c r="W178" s="228">
        <v>-20.6</v>
      </c>
      <c r="X178" s="229">
        <v>-0.01</v>
      </c>
      <c r="Y178" s="228">
        <v>6.1</v>
      </c>
      <c r="Z178" s="228">
        <v>-0.2</v>
      </c>
      <c r="AA178" s="228">
        <v>6.3</v>
      </c>
      <c r="AB178" s="229">
        <v>3.0000000000000001E-3</v>
      </c>
      <c r="AC178" s="228">
        <v>6.1</v>
      </c>
      <c r="AD178" s="228">
        <v>-0.2</v>
      </c>
      <c r="AE178" s="228">
        <v>6.3</v>
      </c>
      <c r="AF178" s="229">
        <v>3.0000000000000001E-3</v>
      </c>
      <c r="AG178" s="228">
        <v>18.100000000000001</v>
      </c>
      <c r="AH178" s="228">
        <v>12.3</v>
      </c>
      <c r="AI178" s="228">
        <v>5.8</v>
      </c>
      <c r="AJ178" s="229">
        <v>8.9999999999999993E-3</v>
      </c>
      <c r="AK178" s="228">
        <v>30.5</v>
      </c>
      <c r="AL178" s="228">
        <v>25.3</v>
      </c>
      <c r="AM178" s="228">
        <v>5.2</v>
      </c>
      <c r="AN178" s="229">
        <v>1.52E-2</v>
      </c>
      <c r="AO178" s="231">
        <v>2015.55</v>
      </c>
      <c r="AP178" s="231">
        <v>2030.17</v>
      </c>
      <c r="AQ178" s="228">
        <v>0</v>
      </c>
      <c r="AR178" s="230">
        <v>1524000</v>
      </c>
      <c r="AS178" s="230">
        <v>1264500</v>
      </c>
      <c r="AT178" s="230">
        <v>259500</v>
      </c>
      <c r="AU178" s="229">
        <v>0.20519999999999999</v>
      </c>
      <c r="AV178" s="230">
        <v>1333125</v>
      </c>
      <c r="AW178" s="230">
        <v>1133250</v>
      </c>
      <c r="AX178" s="230">
        <v>199875</v>
      </c>
      <c r="AY178" s="229">
        <v>0.1764</v>
      </c>
      <c r="AZ178" s="230">
        <v>172125</v>
      </c>
      <c r="BA178" s="230">
        <v>107250</v>
      </c>
      <c r="BB178" s="230">
        <v>64875</v>
      </c>
      <c r="BC178" s="229">
        <v>0.60489999999999999</v>
      </c>
      <c r="BD178" s="230">
        <v>18750</v>
      </c>
      <c r="BE178" s="230">
        <v>24000</v>
      </c>
      <c r="BF178" s="230">
        <v>-5250</v>
      </c>
      <c r="BG178" s="229">
        <v>-0.21879999999999999</v>
      </c>
      <c r="BH178" s="230">
        <v>5845125</v>
      </c>
      <c r="BI178" s="230">
        <v>7215750</v>
      </c>
      <c r="BJ178" s="230">
        <v>-1370625</v>
      </c>
      <c r="BK178" s="229">
        <v>-0.18990000000000001</v>
      </c>
      <c r="BL178" s="230">
        <v>5976000</v>
      </c>
      <c r="BM178" s="230">
        <v>2382375</v>
      </c>
      <c r="BN178" s="230">
        <v>3593625</v>
      </c>
      <c r="BO178" s="229">
        <v>1.5084</v>
      </c>
      <c r="BP178" s="230">
        <v>13345125</v>
      </c>
      <c r="BQ178" s="230">
        <v>10862625</v>
      </c>
      <c r="BR178" s="230">
        <v>2482500</v>
      </c>
      <c r="BS178" s="229">
        <v>0.22850000000000001</v>
      </c>
      <c r="BT178" s="230">
        <v>1004015</v>
      </c>
      <c r="BU178" s="230">
        <v>824016</v>
      </c>
      <c r="BV178" s="230">
        <v>179999</v>
      </c>
      <c r="BW178" s="229">
        <v>0.21840000000000001</v>
      </c>
      <c r="BX178" s="230">
        <v>7909125</v>
      </c>
      <c r="BY178" s="230">
        <v>7964625</v>
      </c>
      <c r="BZ178" s="230">
        <v>-55500</v>
      </c>
      <c r="CA178" s="229">
        <v>-7.0000000000000001E-3</v>
      </c>
      <c r="CB178" s="230">
        <v>7478625</v>
      </c>
      <c r="CC178" s="230">
        <v>7614375</v>
      </c>
      <c r="CD178" s="230">
        <v>-135750</v>
      </c>
      <c r="CE178" s="229">
        <v>-1.78E-2</v>
      </c>
      <c r="CF178" s="230">
        <v>364125</v>
      </c>
      <c r="CG178" s="230">
        <v>291375</v>
      </c>
      <c r="CH178" s="230">
        <v>72750</v>
      </c>
      <c r="CI178" s="229">
        <v>0.24970000000000001</v>
      </c>
      <c r="CJ178" s="230">
        <v>66375</v>
      </c>
      <c r="CK178" s="230">
        <v>58875</v>
      </c>
      <c r="CL178" s="230">
        <v>7500</v>
      </c>
      <c r="CM178" s="229">
        <v>0.12740000000000001</v>
      </c>
      <c r="CN178" s="230">
        <v>4411500</v>
      </c>
      <c r="CO178" s="230">
        <v>4662375</v>
      </c>
      <c r="CP178" s="230">
        <v>-250875</v>
      </c>
      <c r="CQ178" s="229">
        <v>-5.3800000000000001E-2</v>
      </c>
      <c r="CR178" s="230">
        <v>2124750</v>
      </c>
      <c r="CS178" s="230">
        <v>2457375</v>
      </c>
      <c r="CT178" s="230">
        <v>-332625</v>
      </c>
      <c r="CU178" s="229">
        <v>-0.13539999999999999</v>
      </c>
      <c r="CV178" s="230">
        <v>14445375</v>
      </c>
      <c r="CW178" s="230">
        <v>15084375</v>
      </c>
      <c r="CX178" s="230">
        <v>-639000</v>
      </c>
      <c r="CY178" s="229">
        <v>-4.24E-2</v>
      </c>
      <c r="CZ178" s="228">
        <v>15.66</v>
      </c>
      <c r="DA178" s="228">
        <v>15.45</v>
      </c>
      <c r="DB178" s="228">
        <v>0.21</v>
      </c>
      <c r="DC178" s="228">
        <v>0.21</v>
      </c>
      <c r="DD178" s="228">
        <v>24.38</v>
      </c>
      <c r="DE178" s="228">
        <v>24.38</v>
      </c>
      <c r="DF178" s="228">
        <v>-8.7200000000000006</v>
      </c>
      <c r="DG178" s="228">
        <v>0</v>
      </c>
      <c r="DH178" s="228">
        <v>15.69</v>
      </c>
      <c r="DI178" s="228">
        <v>15.3</v>
      </c>
      <c r="DJ178" s="228">
        <v>0.39</v>
      </c>
      <c r="DK178" s="228">
        <v>0.39</v>
      </c>
      <c r="DL178" s="228">
        <v>15.63</v>
      </c>
      <c r="DM178" s="228">
        <v>15.91</v>
      </c>
      <c r="DN178" s="228">
        <v>-0.28000000000000003</v>
      </c>
      <c r="DO178" s="228">
        <v>-0.28000000000000003</v>
      </c>
      <c r="DP178" s="228">
        <v>0.48</v>
      </c>
      <c r="DQ178" s="228">
        <v>0.53</v>
      </c>
      <c r="DR178" s="228">
        <v>-0.05</v>
      </c>
      <c r="DS178" s="229">
        <v>-9.4299999999999995E-2</v>
      </c>
      <c r="DT178" s="231">
        <v>2040</v>
      </c>
      <c r="DU178" s="231">
        <v>1840</v>
      </c>
      <c r="DV178" s="228">
        <v>1.02</v>
      </c>
      <c r="DW178" s="228">
        <v>0.33</v>
      </c>
      <c r="DX178" s="228">
        <v>0.69</v>
      </c>
      <c r="DY178" s="229">
        <v>2.0909</v>
      </c>
      <c r="DZ178" s="229">
        <v>5.4399999999999997E-2</v>
      </c>
      <c r="EA178" s="230">
        <v>350250</v>
      </c>
      <c r="EB178" s="229">
        <v>6.0000000000000001E-3</v>
      </c>
      <c r="EC178" s="229">
        <v>5.4399999999999997E-2</v>
      </c>
      <c r="ED178" s="228">
        <v>14.62</v>
      </c>
      <c r="EE178" s="229">
        <v>7.3000000000000001E-3</v>
      </c>
      <c r="EF178" s="230">
        <v>695607</v>
      </c>
      <c r="EG178" s="230">
        <v>507092</v>
      </c>
      <c r="EH178" s="229">
        <v>0.37180000000000002</v>
      </c>
      <c r="EI178" s="229">
        <v>0.69279999999999997</v>
      </c>
      <c r="EJ178" s="231">
        <v>121093.09</v>
      </c>
      <c r="EK178" s="231">
        <v>120358.11</v>
      </c>
      <c r="EL178" s="231">
        <v>30746.799999999999</v>
      </c>
      <c r="EM178" s="231">
        <v>2563</v>
      </c>
      <c r="EN178" s="231">
        <v>272198</v>
      </c>
      <c r="EO178" s="231">
        <v>224632.85</v>
      </c>
      <c r="EP178" s="231">
        <v>47565.15</v>
      </c>
      <c r="EQ178" s="229">
        <v>0.2117</v>
      </c>
      <c r="ER178" s="231">
        <v>91640</v>
      </c>
      <c r="ES178" s="231">
        <v>41223</v>
      </c>
      <c r="ET178" s="231">
        <v>159532</v>
      </c>
      <c r="EU178" s="231">
        <v>44735132</v>
      </c>
      <c r="EV178" s="231">
        <v>292394</v>
      </c>
      <c r="EW178" s="231">
        <v>306966</v>
      </c>
      <c r="EX178" s="231">
        <v>-14572</v>
      </c>
      <c r="EY178" s="229">
        <v>-4.7500000000000001E-2</v>
      </c>
      <c r="EZ178" s="229">
        <v>0.32290000000000002</v>
      </c>
      <c r="FA178" s="227" t="s">
        <v>568</v>
      </c>
      <c r="FB178" s="161">
        <f t="shared" si="4"/>
        <v>0</v>
      </c>
    </row>
    <row r="179" spans="1:158" ht="17.25" thickBot="1" x14ac:dyDescent="0.3">
      <c r="A179" s="226">
        <v>46008</v>
      </c>
      <c r="B179" s="227" t="s">
        <v>172</v>
      </c>
      <c r="C179" s="227" t="s">
        <v>283</v>
      </c>
      <c r="D179" s="228">
        <v>750</v>
      </c>
      <c r="E179" s="228">
        <v>977.5</v>
      </c>
      <c r="F179" s="228">
        <v>962.9</v>
      </c>
      <c r="G179" s="228">
        <v>14.6</v>
      </c>
      <c r="H179" s="229">
        <v>1.52E-2</v>
      </c>
      <c r="I179" s="228">
        <v>975.85</v>
      </c>
      <c r="J179" s="228">
        <v>961.15</v>
      </c>
      <c r="K179" s="228">
        <v>14.7</v>
      </c>
      <c r="L179" s="229">
        <v>1.5299999999999999E-2</v>
      </c>
      <c r="M179" s="228">
        <v>977.5</v>
      </c>
      <c r="N179" s="228">
        <v>962.9</v>
      </c>
      <c r="O179" s="228">
        <v>14.6</v>
      </c>
      <c r="P179" s="229">
        <v>1.52E-2</v>
      </c>
      <c r="Q179" s="228">
        <v>983.55</v>
      </c>
      <c r="R179" s="228">
        <v>968.6</v>
      </c>
      <c r="S179" s="228">
        <v>14.95</v>
      </c>
      <c r="T179" s="229">
        <v>1.54E-2</v>
      </c>
      <c r="U179" s="228">
        <v>988.95</v>
      </c>
      <c r="V179" s="228">
        <v>973.95</v>
      </c>
      <c r="W179" s="228">
        <v>15</v>
      </c>
      <c r="X179" s="229">
        <v>1.54E-2</v>
      </c>
      <c r="Y179" s="228">
        <v>1.65</v>
      </c>
      <c r="Z179" s="228">
        <v>1.75</v>
      </c>
      <c r="AA179" s="228">
        <v>-0.1</v>
      </c>
      <c r="AB179" s="229">
        <v>1.6999999999999999E-3</v>
      </c>
      <c r="AC179" s="228">
        <v>1.65</v>
      </c>
      <c r="AD179" s="228">
        <v>1.75</v>
      </c>
      <c r="AE179" s="228">
        <v>-0.1</v>
      </c>
      <c r="AF179" s="229">
        <v>1.6999999999999999E-3</v>
      </c>
      <c r="AG179" s="228">
        <v>7.7</v>
      </c>
      <c r="AH179" s="228">
        <v>7.45</v>
      </c>
      <c r="AI179" s="228">
        <v>0.25</v>
      </c>
      <c r="AJ179" s="229">
        <v>7.9000000000000008E-3</v>
      </c>
      <c r="AK179" s="228">
        <v>13.1</v>
      </c>
      <c r="AL179" s="228">
        <v>12.8</v>
      </c>
      <c r="AM179" s="228">
        <v>0.3</v>
      </c>
      <c r="AN179" s="229">
        <v>1.34E-2</v>
      </c>
      <c r="AO179" s="228">
        <v>975.62</v>
      </c>
      <c r="AP179" s="228">
        <v>981.95</v>
      </c>
      <c r="AQ179" s="228">
        <v>0</v>
      </c>
      <c r="AR179" s="230">
        <v>18019500</v>
      </c>
      <c r="AS179" s="230">
        <v>12000000</v>
      </c>
      <c r="AT179" s="230">
        <v>6019500</v>
      </c>
      <c r="AU179" s="229">
        <v>0.50160000000000005</v>
      </c>
      <c r="AV179" s="230">
        <v>14348250</v>
      </c>
      <c r="AW179" s="230">
        <v>9871500</v>
      </c>
      <c r="AX179" s="230">
        <v>4476750</v>
      </c>
      <c r="AY179" s="229">
        <v>0.45350000000000001</v>
      </c>
      <c r="AZ179" s="230">
        <v>3486000</v>
      </c>
      <c r="BA179" s="230">
        <v>2086500</v>
      </c>
      <c r="BB179" s="230">
        <v>1399500</v>
      </c>
      <c r="BC179" s="229">
        <v>0.67069999999999996</v>
      </c>
      <c r="BD179" s="230">
        <v>185250</v>
      </c>
      <c r="BE179" s="230">
        <v>42000</v>
      </c>
      <c r="BF179" s="230">
        <v>143250</v>
      </c>
      <c r="BG179" s="229">
        <v>3.4106999999999998</v>
      </c>
      <c r="BH179" s="230">
        <v>104275500</v>
      </c>
      <c r="BI179" s="230">
        <v>37721250</v>
      </c>
      <c r="BJ179" s="230">
        <v>66554250</v>
      </c>
      <c r="BK179" s="229">
        <v>1.7644</v>
      </c>
      <c r="BL179" s="230">
        <v>61443750</v>
      </c>
      <c r="BM179" s="230">
        <v>24686250</v>
      </c>
      <c r="BN179" s="230">
        <v>36757500</v>
      </c>
      <c r="BO179" s="229">
        <v>1.4890000000000001</v>
      </c>
      <c r="BP179" s="230">
        <v>183738750</v>
      </c>
      <c r="BQ179" s="230">
        <v>74407500</v>
      </c>
      <c r="BR179" s="230">
        <v>109331250</v>
      </c>
      <c r="BS179" s="229">
        <v>1.4694</v>
      </c>
      <c r="BT179" s="230">
        <v>8583243</v>
      </c>
      <c r="BU179" s="230">
        <v>4986867</v>
      </c>
      <c r="BV179" s="230">
        <v>3596376</v>
      </c>
      <c r="BW179" s="229">
        <v>0.72119999999999995</v>
      </c>
      <c r="BX179" s="230">
        <v>73964250</v>
      </c>
      <c r="BY179" s="230">
        <v>75521250</v>
      </c>
      <c r="BZ179" s="230">
        <v>-1557000</v>
      </c>
      <c r="CA179" s="229">
        <v>-2.06E-2</v>
      </c>
      <c r="CB179" s="230">
        <v>60308250</v>
      </c>
      <c r="CC179" s="230">
        <v>64145250</v>
      </c>
      <c r="CD179" s="230">
        <v>-3837000</v>
      </c>
      <c r="CE179" s="229">
        <v>-5.9799999999999999E-2</v>
      </c>
      <c r="CF179" s="230">
        <v>12814500</v>
      </c>
      <c r="CG179" s="230">
        <v>10581750</v>
      </c>
      <c r="CH179" s="230">
        <v>2232750</v>
      </c>
      <c r="CI179" s="229">
        <v>0.21099999999999999</v>
      </c>
      <c r="CJ179" s="230">
        <v>841500</v>
      </c>
      <c r="CK179" s="230">
        <v>794250</v>
      </c>
      <c r="CL179" s="230">
        <v>47250</v>
      </c>
      <c r="CM179" s="229">
        <v>5.9499999999999997E-2</v>
      </c>
      <c r="CN179" s="230">
        <v>48264000</v>
      </c>
      <c r="CO179" s="230">
        <v>53363250</v>
      </c>
      <c r="CP179" s="230">
        <v>-5099250</v>
      </c>
      <c r="CQ179" s="229">
        <v>-9.5600000000000004E-2</v>
      </c>
      <c r="CR179" s="230">
        <v>34032000</v>
      </c>
      <c r="CS179" s="230">
        <v>32382750</v>
      </c>
      <c r="CT179" s="230">
        <v>1649250</v>
      </c>
      <c r="CU179" s="229">
        <v>5.0900000000000001E-2</v>
      </c>
      <c r="CV179" s="230">
        <v>156260250</v>
      </c>
      <c r="CW179" s="230">
        <v>161267250</v>
      </c>
      <c r="CX179" s="230">
        <v>-5007000</v>
      </c>
      <c r="CY179" s="229">
        <v>-3.1E-2</v>
      </c>
      <c r="CZ179" s="228">
        <v>15.72</v>
      </c>
      <c r="DA179" s="228">
        <v>16.13</v>
      </c>
      <c r="DB179" s="228">
        <v>-0.41</v>
      </c>
      <c r="DC179" s="228">
        <v>-0.41</v>
      </c>
      <c r="DD179" s="228">
        <v>24.82</v>
      </c>
      <c r="DE179" s="228">
        <v>24.8</v>
      </c>
      <c r="DF179" s="228">
        <v>-9.1</v>
      </c>
      <c r="DG179" s="228">
        <v>0.02</v>
      </c>
      <c r="DH179" s="228">
        <v>15.62</v>
      </c>
      <c r="DI179" s="228">
        <v>16.57</v>
      </c>
      <c r="DJ179" s="228">
        <v>-0.95</v>
      </c>
      <c r="DK179" s="228">
        <v>-0.95</v>
      </c>
      <c r="DL179" s="228">
        <v>15.9</v>
      </c>
      <c r="DM179" s="228">
        <v>15.46</v>
      </c>
      <c r="DN179" s="228">
        <v>0.44</v>
      </c>
      <c r="DO179" s="228">
        <v>0.44</v>
      </c>
      <c r="DP179" s="228">
        <v>0.71</v>
      </c>
      <c r="DQ179" s="228">
        <v>0.61</v>
      </c>
      <c r="DR179" s="228">
        <v>0.1</v>
      </c>
      <c r="DS179" s="229">
        <v>0.16389999999999999</v>
      </c>
      <c r="DT179" s="231">
        <v>1000</v>
      </c>
      <c r="DU179" s="228">
        <v>950</v>
      </c>
      <c r="DV179" s="228">
        <v>0.59</v>
      </c>
      <c r="DW179" s="228">
        <v>0.65</v>
      </c>
      <c r="DX179" s="228">
        <v>-0.06</v>
      </c>
      <c r="DY179" s="229">
        <v>-9.2299999999999993E-2</v>
      </c>
      <c r="DZ179" s="229">
        <v>0.18459999999999999</v>
      </c>
      <c r="EA179" s="230">
        <v>11376000</v>
      </c>
      <c r="EB179" s="229">
        <v>6.1999999999999998E-3</v>
      </c>
      <c r="EC179" s="229">
        <v>0.18459999999999999</v>
      </c>
      <c r="ED179" s="228">
        <v>6.33</v>
      </c>
      <c r="EE179" s="229">
        <v>6.4999999999999997E-3</v>
      </c>
      <c r="EF179" s="230">
        <v>4806961</v>
      </c>
      <c r="EG179" s="230">
        <v>2717788</v>
      </c>
      <c r="EH179" s="229">
        <v>0.76870000000000005</v>
      </c>
      <c r="EI179" s="229">
        <v>0.56000000000000005</v>
      </c>
      <c r="EJ179" s="231">
        <v>1038369.27</v>
      </c>
      <c r="EK179" s="231">
        <v>594374.91</v>
      </c>
      <c r="EL179" s="231">
        <v>176044.59</v>
      </c>
      <c r="EM179" s="231">
        <v>12433</v>
      </c>
      <c r="EN179" s="231">
        <v>1808788.77</v>
      </c>
      <c r="EO179" s="231">
        <v>726769.81</v>
      </c>
      <c r="EP179" s="231">
        <v>1082018.96</v>
      </c>
      <c r="EQ179" s="229">
        <v>1.4887999999999999</v>
      </c>
      <c r="ER179" s="231">
        <v>481162</v>
      </c>
      <c r="ES179" s="231">
        <v>322575</v>
      </c>
      <c r="ET179" s="231">
        <v>723872</v>
      </c>
      <c r="EU179" s="231">
        <v>407307212</v>
      </c>
      <c r="EV179" s="231">
        <v>1527610</v>
      </c>
      <c r="EW179" s="231">
        <v>1565244</v>
      </c>
      <c r="EX179" s="231">
        <v>-37634</v>
      </c>
      <c r="EY179" s="229">
        <v>-2.4E-2</v>
      </c>
      <c r="EZ179" s="229">
        <v>0.3836</v>
      </c>
      <c r="FA179" s="227" t="s">
        <v>556</v>
      </c>
      <c r="FB179" s="161">
        <f t="shared" si="4"/>
        <v>0</v>
      </c>
    </row>
    <row r="180" spans="1:158" ht="17.25" thickBot="1" x14ac:dyDescent="0.3">
      <c r="A180" s="226">
        <v>46008</v>
      </c>
      <c r="B180" s="227" t="s">
        <v>157</v>
      </c>
      <c r="C180" s="227" t="s">
        <v>284</v>
      </c>
      <c r="D180" s="228">
        <v>25</v>
      </c>
      <c r="E180" s="231">
        <v>26080</v>
      </c>
      <c r="F180" s="231">
        <v>26110</v>
      </c>
      <c r="G180" s="228">
        <v>-30</v>
      </c>
      <c r="H180" s="229">
        <v>-1.1000000000000001E-3</v>
      </c>
      <c r="I180" s="231">
        <v>26045</v>
      </c>
      <c r="J180" s="231">
        <v>25990</v>
      </c>
      <c r="K180" s="228">
        <v>55</v>
      </c>
      <c r="L180" s="229">
        <v>2.0999999999999999E-3</v>
      </c>
      <c r="M180" s="231">
        <v>26080</v>
      </c>
      <c r="N180" s="231">
        <v>26110</v>
      </c>
      <c r="O180" s="228">
        <v>-30</v>
      </c>
      <c r="P180" s="229">
        <v>-1.1000000000000001E-3</v>
      </c>
      <c r="Q180" s="231">
        <v>26140</v>
      </c>
      <c r="R180" s="231">
        <v>26185</v>
      </c>
      <c r="S180" s="228">
        <v>-45</v>
      </c>
      <c r="T180" s="229">
        <v>-1.6999999999999999E-3</v>
      </c>
      <c r="U180" s="231">
        <v>26270</v>
      </c>
      <c r="V180" s="231">
        <v>26260</v>
      </c>
      <c r="W180" s="228">
        <v>10</v>
      </c>
      <c r="X180" s="229">
        <v>4.0000000000000002E-4</v>
      </c>
      <c r="Y180" s="228">
        <v>35</v>
      </c>
      <c r="Z180" s="228">
        <v>120</v>
      </c>
      <c r="AA180" s="228">
        <v>-85</v>
      </c>
      <c r="AB180" s="229">
        <v>1.2999999999999999E-3</v>
      </c>
      <c r="AC180" s="228">
        <v>35</v>
      </c>
      <c r="AD180" s="228">
        <v>120</v>
      </c>
      <c r="AE180" s="228">
        <v>-85</v>
      </c>
      <c r="AF180" s="229">
        <v>1.2999999999999999E-3</v>
      </c>
      <c r="AG180" s="228">
        <v>95</v>
      </c>
      <c r="AH180" s="228">
        <v>195</v>
      </c>
      <c r="AI180" s="228">
        <v>-100</v>
      </c>
      <c r="AJ180" s="229">
        <v>3.5999999999999999E-3</v>
      </c>
      <c r="AK180" s="228">
        <v>225</v>
      </c>
      <c r="AL180" s="228">
        <v>270</v>
      </c>
      <c r="AM180" s="228">
        <v>-45</v>
      </c>
      <c r="AN180" s="229">
        <v>8.6E-3</v>
      </c>
      <c r="AO180" s="231">
        <v>26110.46</v>
      </c>
      <c r="AP180" s="231">
        <v>26176.05</v>
      </c>
      <c r="AQ180" s="228">
        <v>0</v>
      </c>
      <c r="AR180" s="230">
        <v>37650</v>
      </c>
      <c r="AS180" s="230">
        <v>69925</v>
      </c>
      <c r="AT180" s="230">
        <v>-32275</v>
      </c>
      <c r="AU180" s="229">
        <v>-0.46160000000000001</v>
      </c>
      <c r="AV180" s="230">
        <v>33550</v>
      </c>
      <c r="AW180" s="230">
        <v>57600</v>
      </c>
      <c r="AX180" s="230">
        <v>-24050</v>
      </c>
      <c r="AY180" s="229">
        <v>-0.41749999999999998</v>
      </c>
      <c r="AZ180" s="230">
        <v>4050</v>
      </c>
      <c r="BA180" s="230">
        <v>11775</v>
      </c>
      <c r="BB180" s="230">
        <v>-7725</v>
      </c>
      <c r="BC180" s="229">
        <v>-0.65610000000000002</v>
      </c>
      <c r="BD180" s="228">
        <v>50</v>
      </c>
      <c r="BE180" s="228">
        <v>550</v>
      </c>
      <c r="BF180" s="228">
        <v>-500</v>
      </c>
      <c r="BG180" s="229">
        <v>-0.90910000000000002</v>
      </c>
      <c r="BH180" s="230">
        <v>110725</v>
      </c>
      <c r="BI180" s="230">
        <v>300250</v>
      </c>
      <c r="BJ180" s="230">
        <v>-189525</v>
      </c>
      <c r="BK180" s="229">
        <v>-0.63119999999999998</v>
      </c>
      <c r="BL180" s="230">
        <v>20425</v>
      </c>
      <c r="BM180" s="230">
        <v>163175</v>
      </c>
      <c r="BN180" s="230">
        <v>-142750</v>
      </c>
      <c r="BO180" s="229">
        <v>-0.87480000000000002</v>
      </c>
      <c r="BP180" s="230">
        <v>168800</v>
      </c>
      <c r="BQ180" s="230">
        <v>533350</v>
      </c>
      <c r="BR180" s="230">
        <v>-364550</v>
      </c>
      <c r="BS180" s="229">
        <v>-0.6835</v>
      </c>
      <c r="BT180" s="230">
        <v>64632</v>
      </c>
      <c r="BU180" s="230">
        <v>30652</v>
      </c>
      <c r="BV180" s="230">
        <v>33980</v>
      </c>
      <c r="BW180" s="229">
        <v>1.1086</v>
      </c>
      <c r="BX180" s="230">
        <v>325625</v>
      </c>
      <c r="BY180" s="230">
        <v>320125</v>
      </c>
      <c r="BZ180" s="230">
        <v>5500</v>
      </c>
      <c r="CA180" s="229">
        <v>1.72E-2</v>
      </c>
      <c r="CB180" s="230">
        <v>291525</v>
      </c>
      <c r="CC180" s="230">
        <v>287575</v>
      </c>
      <c r="CD180" s="230">
        <v>3950</v>
      </c>
      <c r="CE180" s="229">
        <v>1.37E-2</v>
      </c>
      <c r="CF180" s="230">
        <v>32200</v>
      </c>
      <c r="CG180" s="230">
        <v>30650</v>
      </c>
      <c r="CH180" s="230">
        <v>1550</v>
      </c>
      <c r="CI180" s="229">
        <v>5.0599999999999999E-2</v>
      </c>
      <c r="CJ180" s="230">
        <v>1900</v>
      </c>
      <c r="CK180" s="230">
        <v>1900</v>
      </c>
      <c r="CL180" s="228">
        <v>0</v>
      </c>
      <c r="CM180" s="229">
        <v>0</v>
      </c>
      <c r="CN180" s="230">
        <v>138650</v>
      </c>
      <c r="CO180" s="230">
        <v>149875</v>
      </c>
      <c r="CP180" s="230">
        <v>-11225</v>
      </c>
      <c r="CQ180" s="229">
        <v>-7.4899999999999994E-2</v>
      </c>
      <c r="CR180" s="230">
        <v>60925</v>
      </c>
      <c r="CS180" s="230">
        <v>62150</v>
      </c>
      <c r="CT180" s="230">
        <v>-1225</v>
      </c>
      <c r="CU180" s="229">
        <v>-1.9699999999999999E-2</v>
      </c>
      <c r="CV180" s="230">
        <v>525200</v>
      </c>
      <c r="CW180" s="230">
        <v>532150</v>
      </c>
      <c r="CX180" s="230">
        <v>-6950</v>
      </c>
      <c r="CY180" s="229">
        <v>-1.3100000000000001E-2</v>
      </c>
      <c r="CZ180" s="228">
        <v>22.49</v>
      </c>
      <c r="DA180" s="228">
        <v>21.45</v>
      </c>
      <c r="DB180" s="228">
        <v>1.04</v>
      </c>
      <c r="DC180" s="228">
        <v>1.04</v>
      </c>
      <c r="DD180" s="228">
        <v>24.75</v>
      </c>
      <c r="DE180" s="228">
        <v>24.81</v>
      </c>
      <c r="DF180" s="228">
        <v>-2.2599999999999998</v>
      </c>
      <c r="DG180" s="228">
        <v>-0.06</v>
      </c>
      <c r="DH180" s="228">
        <v>22.81</v>
      </c>
      <c r="DI180" s="228">
        <v>22.07</v>
      </c>
      <c r="DJ180" s="228">
        <v>0.74</v>
      </c>
      <c r="DK180" s="228">
        <v>0.74</v>
      </c>
      <c r="DL180" s="228">
        <v>20.76</v>
      </c>
      <c r="DM180" s="228">
        <v>20.3</v>
      </c>
      <c r="DN180" s="228">
        <v>0.46</v>
      </c>
      <c r="DO180" s="228">
        <v>0.46</v>
      </c>
      <c r="DP180" s="228">
        <v>0.44</v>
      </c>
      <c r="DQ180" s="228">
        <v>0.41</v>
      </c>
      <c r="DR180" s="228">
        <v>0.03</v>
      </c>
      <c r="DS180" s="229">
        <v>7.3200000000000001E-2</v>
      </c>
      <c r="DT180" s="231">
        <v>27000</v>
      </c>
      <c r="DU180" s="231">
        <v>26500</v>
      </c>
      <c r="DV180" s="228">
        <v>0.18</v>
      </c>
      <c r="DW180" s="228">
        <v>0.54</v>
      </c>
      <c r="DX180" s="228">
        <v>-0.36</v>
      </c>
      <c r="DY180" s="229">
        <v>-0.66669999999999996</v>
      </c>
      <c r="DZ180" s="229">
        <v>0.1047</v>
      </c>
      <c r="EA180" s="230">
        <v>32550</v>
      </c>
      <c r="EB180" s="229">
        <v>2.3E-3</v>
      </c>
      <c r="EC180" s="229">
        <v>0.1047</v>
      </c>
      <c r="ED180" s="228">
        <v>65.59</v>
      </c>
      <c r="EE180" s="229">
        <v>2.5000000000000001E-3</v>
      </c>
      <c r="EF180" s="230">
        <v>54319</v>
      </c>
      <c r="EG180" s="230">
        <v>19463</v>
      </c>
      <c r="EH180" s="229">
        <v>1.7908999999999999</v>
      </c>
      <c r="EI180" s="229">
        <v>0.84040000000000004</v>
      </c>
      <c r="EJ180" s="231">
        <v>30647.89</v>
      </c>
      <c r="EK180" s="231">
        <v>5213.34</v>
      </c>
      <c r="EL180" s="231">
        <v>9833.35</v>
      </c>
      <c r="EM180" s="231">
        <v>1925</v>
      </c>
      <c r="EN180" s="231">
        <v>45694.58</v>
      </c>
      <c r="EO180" s="231">
        <v>143438.01999999999</v>
      </c>
      <c r="EP180" s="231">
        <v>-97743.44</v>
      </c>
      <c r="EQ180" s="229">
        <v>-0.68140000000000001</v>
      </c>
      <c r="ER180" s="231">
        <v>38075</v>
      </c>
      <c r="ES180" s="231">
        <v>15757</v>
      </c>
      <c r="ET180" s="231">
        <v>84946</v>
      </c>
      <c r="EU180" s="231">
        <v>1548028</v>
      </c>
      <c r="EV180" s="231">
        <v>138778</v>
      </c>
      <c r="EW180" s="231">
        <v>140785</v>
      </c>
      <c r="EX180" s="231">
        <v>-2007</v>
      </c>
      <c r="EY180" s="229">
        <v>-1.43E-2</v>
      </c>
      <c r="EZ180" s="229">
        <v>0.33929999999999999</v>
      </c>
      <c r="FA180" s="227" t="s">
        <v>567</v>
      </c>
      <c r="FB180" s="161">
        <f t="shared" si="4"/>
        <v>0</v>
      </c>
    </row>
    <row r="181" spans="1:158" ht="17.25" thickBot="1" x14ac:dyDescent="0.3">
      <c r="A181" s="226">
        <v>46008</v>
      </c>
      <c r="B181" s="227" t="s">
        <v>175</v>
      </c>
      <c r="C181" s="227" t="s">
        <v>562</v>
      </c>
      <c r="D181" s="228">
        <v>825</v>
      </c>
      <c r="E181" s="228">
        <v>867.95</v>
      </c>
      <c r="F181" s="228">
        <v>850</v>
      </c>
      <c r="G181" s="228">
        <v>17.95</v>
      </c>
      <c r="H181" s="229">
        <v>2.1100000000000001E-2</v>
      </c>
      <c r="I181" s="228">
        <v>864.2</v>
      </c>
      <c r="J181" s="228">
        <v>848.4</v>
      </c>
      <c r="K181" s="228">
        <v>15.8</v>
      </c>
      <c r="L181" s="229">
        <v>1.8599999999999998E-2</v>
      </c>
      <c r="M181" s="228">
        <v>867.95</v>
      </c>
      <c r="N181" s="228">
        <v>850</v>
      </c>
      <c r="O181" s="228">
        <v>17.95</v>
      </c>
      <c r="P181" s="229">
        <v>2.1100000000000001E-2</v>
      </c>
      <c r="Q181" s="228">
        <v>872.95</v>
      </c>
      <c r="R181" s="228">
        <v>855.4</v>
      </c>
      <c r="S181" s="228">
        <v>17.55</v>
      </c>
      <c r="T181" s="229">
        <v>2.0500000000000001E-2</v>
      </c>
      <c r="U181" s="228">
        <v>874.05</v>
      </c>
      <c r="V181" s="228">
        <v>856.15</v>
      </c>
      <c r="W181" s="228">
        <v>17.899999999999999</v>
      </c>
      <c r="X181" s="229">
        <v>2.0899999999999998E-2</v>
      </c>
      <c r="Y181" s="228">
        <v>3.75</v>
      </c>
      <c r="Z181" s="228">
        <v>1.6</v>
      </c>
      <c r="AA181" s="228">
        <v>2.15</v>
      </c>
      <c r="AB181" s="229">
        <v>4.3E-3</v>
      </c>
      <c r="AC181" s="228">
        <v>3.75</v>
      </c>
      <c r="AD181" s="228">
        <v>1.6</v>
      </c>
      <c r="AE181" s="228">
        <v>2.15</v>
      </c>
      <c r="AF181" s="229">
        <v>4.3E-3</v>
      </c>
      <c r="AG181" s="228">
        <v>8.75</v>
      </c>
      <c r="AH181" s="228">
        <v>7</v>
      </c>
      <c r="AI181" s="228">
        <v>1.75</v>
      </c>
      <c r="AJ181" s="229">
        <v>1.01E-2</v>
      </c>
      <c r="AK181" s="228">
        <v>9.85</v>
      </c>
      <c r="AL181" s="228">
        <v>7.75</v>
      </c>
      <c r="AM181" s="228">
        <v>2.1</v>
      </c>
      <c r="AN181" s="229">
        <v>1.14E-2</v>
      </c>
      <c r="AO181" s="228">
        <v>866.87</v>
      </c>
      <c r="AP181" s="228">
        <v>871.46</v>
      </c>
      <c r="AQ181" s="228">
        <v>0</v>
      </c>
      <c r="AR181" s="230">
        <v>15138750</v>
      </c>
      <c r="AS181" s="230">
        <v>6526575</v>
      </c>
      <c r="AT181" s="230">
        <v>8612175</v>
      </c>
      <c r="AU181" s="229">
        <v>1.3196000000000001</v>
      </c>
      <c r="AV181" s="230">
        <v>12438525</v>
      </c>
      <c r="AW181" s="230">
        <v>5913600</v>
      </c>
      <c r="AX181" s="230">
        <v>6524925</v>
      </c>
      <c r="AY181" s="229">
        <v>1.1033999999999999</v>
      </c>
      <c r="AZ181" s="230">
        <v>2573175</v>
      </c>
      <c r="BA181" s="230">
        <v>584100</v>
      </c>
      <c r="BB181" s="230">
        <v>1989075</v>
      </c>
      <c r="BC181" s="229">
        <v>3.4054000000000002</v>
      </c>
      <c r="BD181" s="230">
        <v>127050</v>
      </c>
      <c r="BE181" s="230">
        <v>28875</v>
      </c>
      <c r="BF181" s="230">
        <v>98175</v>
      </c>
      <c r="BG181" s="229">
        <v>3.4</v>
      </c>
      <c r="BH181" s="230">
        <v>77833800</v>
      </c>
      <c r="BI181" s="230">
        <v>17235900</v>
      </c>
      <c r="BJ181" s="230">
        <v>60597900</v>
      </c>
      <c r="BK181" s="229">
        <v>3.5158</v>
      </c>
      <c r="BL181" s="230">
        <v>27264600</v>
      </c>
      <c r="BM181" s="230">
        <v>8792025</v>
      </c>
      <c r="BN181" s="230">
        <v>18472575</v>
      </c>
      <c r="BO181" s="229">
        <v>2.1011000000000002</v>
      </c>
      <c r="BP181" s="230">
        <v>120237150</v>
      </c>
      <c r="BQ181" s="230">
        <v>32554500</v>
      </c>
      <c r="BR181" s="230">
        <v>87682650</v>
      </c>
      <c r="BS181" s="229">
        <v>2.6934</v>
      </c>
      <c r="BT181" s="230">
        <v>12360141</v>
      </c>
      <c r="BU181" s="230">
        <v>6046361</v>
      </c>
      <c r="BV181" s="230">
        <v>6313780</v>
      </c>
      <c r="BW181" s="229">
        <v>1.0442</v>
      </c>
      <c r="BX181" s="230">
        <v>67734975</v>
      </c>
      <c r="BY181" s="230">
        <v>66597300</v>
      </c>
      <c r="BZ181" s="230">
        <v>1137675</v>
      </c>
      <c r="CA181" s="229">
        <v>1.7100000000000001E-2</v>
      </c>
      <c r="CB181" s="230">
        <v>63834375</v>
      </c>
      <c r="CC181" s="230">
        <v>63627300</v>
      </c>
      <c r="CD181" s="230">
        <v>207075</v>
      </c>
      <c r="CE181" s="229">
        <v>3.3E-3</v>
      </c>
      <c r="CF181" s="230">
        <v>3634950</v>
      </c>
      <c r="CG181" s="230">
        <v>2739825</v>
      </c>
      <c r="CH181" s="230">
        <v>895125</v>
      </c>
      <c r="CI181" s="229">
        <v>0.32669999999999999</v>
      </c>
      <c r="CJ181" s="230">
        <v>265650</v>
      </c>
      <c r="CK181" s="230">
        <v>230175</v>
      </c>
      <c r="CL181" s="230">
        <v>35475</v>
      </c>
      <c r="CM181" s="229">
        <v>0.15409999999999999</v>
      </c>
      <c r="CN181" s="230">
        <v>22420200</v>
      </c>
      <c r="CO181" s="230">
        <v>18894975</v>
      </c>
      <c r="CP181" s="230">
        <v>3525225</v>
      </c>
      <c r="CQ181" s="229">
        <v>0.18659999999999999</v>
      </c>
      <c r="CR181" s="230">
        <v>12798225</v>
      </c>
      <c r="CS181" s="230">
        <v>11294250</v>
      </c>
      <c r="CT181" s="230">
        <v>1503975</v>
      </c>
      <c r="CU181" s="229">
        <v>0.13320000000000001</v>
      </c>
      <c r="CV181" s="230">
        <v>102953400</v>
      </c>
      <c r="CW181" s="230">
        <v>96786525</v>
      </c>
      <c r="CX181" s="230">
        <v>6166875</v>
      </c>
      <c r="CY181" s="229">
        <v>6.3700000000000007E-2</v>
      </c>
      <c r="CZ181" s="228">
        <v>33.799999999999997</v>
      </c>
      <c r="DA181" s="228">
        <v>30.43</v>
      </c>
      <c r="DB181" s="228">
        <v>3.37</v>
      </c>
      <c r="DC181" s="228">
        <v>3.37</v>
      </c>
      <c r="DD181" s="228">
        <v>39.130000000000003</v>
      </c>
      <c r="DE181" s="228">
        <v>39.15</v>
      </c>
      <c r="DF181" s="228">
        <v>-5.33</v>
      </c>
      <c r="DG181" s="228">
        <v>-0.02</v>
      </c>
      <c r="DH181" s="228">
        <v>33.93</v>
      </c>
      <c r="DI181" s="228">
        <v>30.39</v>
      </c>
      <c r="DJ181" s="228">
        <v>3.54</v>
      </c>
      <c r="DK181" s="228">
        <v>3.54</v>
      </c>
      <c r="DL181" s="228">
        <v>33.450000000000003</v>
      </c>
      <c r="DM181" s="228">
        <v>30.49</v>
      </c>
      <c r="DN181" s="228">
        <v>2.96</v>
      </c>
      <c r="DO181" s="228">
        <v>2.96</v>
      </c>
      <c r="DP181" s="228">
        <v>0.56999999999999995</v>
      </c>
      <c r="DQ181" s="228">
        <v>0.6</v>
      </c>
      <c r="DR181" s="228">
        <v>-0.03</v>
      </c>
      <c r="DS181" s="229">
        <v>-0.05</v>
      </c>
      <c r="DT181" s="228">
        <v>880</v>
      </c>
      <c r="DU181" s="228">
        <v>800</v>
      </c>
      <c r="DV181" s="228">
        <v>0.35</v>
      </c>
      <c r="DW181" s="228">
        <v>0.51</v>
      </c>
      <c r="DX181" s="228">
        <v>-0.16</v>
      </c>
      <c r="DY181" s="229">
        <v>-0.31369999999999998</v>
      </c>
      <c r="DZ181" s="229">
        <v>5.7599999999999998E-2</v>
      </c>
      <c r="EA181" s="230">
        <v>2970000</v>
      </c>
      <c r="EB181" s="229">
        <v>5.7999999999999996E-3</v>
      </c>
      <c r="EC181" s="229">
        <v>5.7599999999999998E-2</v>
      </c>
      <c r="ED181" s="228">
        <v>4.59</v>
      </c>
      <c r="EE181" s="229">
        <v>5.3E-3</v>
      </c>
      <c r="EF181" s="230">
        <v>6903921</v>
      </c>
      <c r="EG181" s="230">
        <v>3984097</v>
      </c>
      <c r="EH181" s="229">
        <v>0.7329</v>
      </c>
      <c r="EI181" s="229">
        <v>0.55859999999999999</v>
      </c>
      <c r="EJ181" s="231">
        <v>701508.88</v>
      </c>
      <c r="EK181" s="231">
        <v>233425.23</v>
      </c>
      <c r="EL181" s="231">
        <v>131359.85</v>
      </c>
      <c r="EM181" s="231">
        <v>8872</v>
      </c>
      <c r="EN181" s="231">
        <v>1066293.96</v>
      </c>
      <c r="EO181" s="231">
        <v>283840.37</v>
      </c>
      <c r="EP181" s="231">
        <v>782453.59</v>
      </c>
      <c r="EQ181" s="229">
        <v>2.7566999999999999</v>
      </c>
      <c r="ER181" s="231">
        <v>199049</v>
      </c>
      <c r="ES181" s="231">
        <v>105131</v>
      </c>
      <c r="ET181" s="231">
        <v>588104</v>
      </c>
      <c r="EU181" s="231">
        <v>210459276</v>
      </c>
      <c r="EV181" s="231">
        <v>892283</v>
      </c>
      <c r="EW181" s="231">
        <v>825336</v>
      </c>
      <c r="EX181" s="231">
        <v>66947</v>
      </c>
      <c r="EY181" s="229">
        <v>8.1100000000000005E-2</v>
      </c>
      <c r="EZ181" s="229">
        <v>0.48920000000000002</v>
      </c>
      <c r="FA181" s="227" t="s">
        <v>555</v>
      </c>
      <c r="FB181" s="161">
        <f t="shared" si="4"/>
        <v>0</v>
      </c>
    </row>
    <row r="182" spans="1:158" ht="17.25" thickBot="1" x14ac:dyDescent="0.3">
      <c r="A182" s="226">
        <v>46008</v>
      </c>
      <c r="B182" s="227" t="s">
        <v>184</v>
      </c>
      <c r="C182" s="227" t="s">
        <v>285</v>
      </c>
      <c r="D182" s="228">
        <v>125</v>
      </c>
      <c r="E182" s="231">
        <v>3152.3</v>
      </c>
      <c r="F182" s="231">
        <v>3165.7</v>
      </c>
      <c r="G182" s="228">
        <v>-13.4</v>
      </c>
      <c r="H182" s="229">
        <v>-4.1999999999999997E-3</v>
      </c>
      <c r="I182" s="231">
        <v>3140.1</v>
      </c>
      <c r="J182" s="231">
        <v>3161.4</v>
      </c>
      <c r="K182" s="228">
        <v>-21.3</v>
      </c>
      <c r="L182" s="229">
        <v>-6.7000000000000002E-3</v>
      </c>
      <c r="M182" s="231">
        <v>3152.3</v>
      </c>
      <c r="N182" s="231">
        <v>3165.7</v>
      </c>
      <c r="O182" s="228">
        <v>-13.4</v>
      </c>
      <c r="P182" s="229">
        <v>-4.1999999999999997E-3</v>
      </c>
      <c r="Q182" s="231">
        <v>3163.3</v>
      </c>
      <c r="R182" s="231">
        <v>3175.8</v>
      </c>
      <c r="S182" s="228">
        <v>-12.5</v>
      </c>
      <c r="T182" s="229">
        <v>-3.8999999999999998E-3</v>
      </c>
      <c r="U182" s="231">
        <v>3183</v>
      </c>
      <c r="V182" s="231">
        <v>3189.2</v>
      </c>
      <c r="W182" s="228">
        <v>-6.2</v>
      </c>
      <c r="X182" s="229">
        <v>-1.9E-3</v>
      </c>
      <c r="Y182" s="228">
        <v>12.2</v>
      </c>
      <c r="Z182" s="228">
        <v>4.3</v>
      </c>
      <c r="AA182" s="228">
        <v>7.9</v>
      </c>
      <c r="AB182" s="229">
        <v>3.8999999999999998E-3</v>
      </c>
      <c r="AC182" s="228">
        <v>12.2</v>
      </c>
      <c r="AD182" s="228">
        <v>4.3</v>
      </c>
      <c r="AE182" s="228">
        <v>7.9</v>
      </c>
      <c r="AF182" s="229">
        <v>3.8999999999999998E-3</v>
      </c>
      <c r="AG182" s="228">
        <v>23.2</v>
      </c>
      <c r="AH182" s="228">
        <v>14.4</v>
      </c>
      <c r="AI182" s="228">
        <v>8.8000000000000007</v>
      </c>
      <c r="AJ182" s="229">
        <v>7.4000000000000003E-3</v>
      </c>
      <c r="AK182" s="228">
        <v>42.9</v>
      </c>
      <c r="AL182" s="228">
        <v>27.8</v>
      </c>
      <c r="AM182" s="228">
        <v>15.1</v>
      </c>
      <c r="AN182" s="229">
        <v>1.37E-2</v>
      </c>
      <c r="AO182" s="231">
        <v>3158.46</v>
      </c>
      <c r="AP182" s="231">
        <v>3170.13</v>
      </c>
      <c r="AQ182" s="228">
        <v>0</v>
      </c>
      <c r="AR182" s="230">
        <v>309625</v>
      </c>
      <c r="AS182" s="230">
        <v>445375</v>
      </c>
      <c r="AT182" s="230">
        <v>-135750</v>
      </c>
      <c r="AU182" s="229">
        <v>-0.30480000000000002</v>
      </c>
      <c r="AV182" s="230">
        <v>289000</v>
      </c>
      <c r="AW182" s="230">
        <v>414375</v>
      </c>
      <c r="AX182" s="230">
        <v>-125375</v>
      </c>
      <c r="AY182" s="229">
        <v>-0.30259999999999998</v>
      </c>
      <c r="AZ182" s="230">
        <v>20375</v>
      </c>
      <c r="BA182" s="230">
        <v>29500</v>
      </c>
      <c r="BB182" s="230">
        <v>-9125</v>
      </c>
      <c r="BC182" s="229">
        <v>-0.30930000000000002</v>
      </c>
      <c r="BD182" s="228">
        <v>250</v>
      </c>
      <c r="BE182" s="230">
        <v>1500</v>
      </c>
      <c r="BF182" s="230">
        <v>-1250</v>
      </c>
      <c r="BG182" s="229">
        <v>-0.83330000000000004</v>
      </c>
      <c r="BH182" s="230">
        <v>1455000</v>
      </c>
      <c r="BI182" s="230">
        <v>1684625</v>
      </c>
      <c r="BJ182" s="230">
        <v>-229625</v>
      </c>
      <c r="BK182" s="229">
        <v>-0.1363</v>
      </c>
      <c r="BL182" s="230">
        <v>585625</v>
      </c>
      <c r="BM182" s="230">
        <v>879500</v>
      </c>
      <c r="BN182" s="230">
        <v>-293875</v>
      </c>
      <c r="BO182" s="229">
        <v>-0.33410000000000001</v>
      </c>
      <c r="BP182" s="230">
        <v>2350250</v>
      </c>
      <c r="BQ182" s="230">
        <v>3009500</v>
      </c>
      <c r="BR182" s="230">
        <v>-659250</v>
      </c>
      <c r="BS182" s="229">
        <v>-0.21909999999999999</v>
      </c>
      <c r="BT182" s="230">
        <v>298668</v>
      </c>
      <c r="BU182" s="230">
        <v>260106</v>
      </c>
      <c r="BV182" s="230">
        <v>38562</v>
      </c>
      <c r="BW182" s="229">
        <v>0.14829999999999999</v>
      </c>
      <c r="BX182" s="230">
        <v>3059800</v>
      </c>
      <c r="BY182" s="230">
        <v>3124625</v>
      </c>
      <c r="BZ182" s="230">
        <v>-64825</v>
      </c>
      <c r="CA182" s="229">
        <v>-2.07E-2</v>
      </c>
      <c r="CB182" s="230">
        <v>2714000</v>
      </c>
      <c r="CC182" s="230">
        <v>2779000</v>
      </c>
      <c r="CD182" s="230">
        <v>-65000</v>
      </c>
      <c r="CE182" s="229">
        <v>-2.3400000000000001E-2</v>
      </c>
      <c r="CF182" s="230">
        <v>332325</v>
      </c>
      <c r="CG182" s="230">
        <v>331975</v>
      </c>
      <c r="CH182" s="228">
        <v>350</v>
      </c>
      <c r="CI182" s="229">
        <v>1.1000000000000001E-3</v>
      </c>
      <c r="CJ182" s="230">
        <v>13475</v>
      </c>
      <c r="CK182" s="230">
        <v>13650</v>
      </c>
      <c r="CL182" s="228">
        <v>-175</v>
      </c>
      <c r="CM182" s="229">
        <v>-1.2800000000000001E-2</v>
      </c>
      <c r="CN182" s="230">
        <v>2298950</v>
      </c>
      <c r="CO182" s="230">
        <v>2317925</v>
      </c>
      <c r="CP182" s="230">
        <v>-18975</v>
      </c>
      <c r="CQ182" s="229">
        <v>-8.2000000000000007E-3</v>
      </c>
      <c r="CR182" s="230">
        <v>1204050</v>
      </c>
      <c r="CS182" s="230">
        <v>1192575</v>
      </c>
      <c r="CT182" s="230">
        <v>11475</v>
      </c>
      <c r="CU182" s="229">
        <v>9.5999999999999992E-3</v>
      </c>
      <c r="CV182" s="230">
        <v>6562800</v>
      </c>
      <c r="CW182" s="230">
        <v>6635125</v>
      </c>
      <c r="CX182" s="230">
        <v>-72325</v>
      </c>
      <c r="CY182" s="229">
        <v>-1.09E-2</v>
      </c>
      <c r="CZ182" s="228">
        <v>26.01</v>
      </c>
      <c r="DA182" s="228">
        <v>25.87</v>
      </c>
      <c r="DB182" s="228">
        <v>0.14000000000000001</v>
      </c>
      <c r="DC182" s="228">
        <v>0.14000000000000001</v>
      </c>
      <c r="DD182" s="228">
        <v>37.799999999999997</v>
      </c>
      <c r="DE182" s="228">
        <v>37.880000000000003</v>
      </c>
      <c r="DF182" s="228">
        <v>-11.79</v>
      </c>
      <c r="DG182" s="228">
        <v>-0.08</v>
      </c>
      <c r="DH182" s="228">
        <v>26.32</v>
      </c>
      <c r="DI182" s="228">
        <v>25.71</v>
      </c>
      <c r="DJ182" s="228">
        <v>0.61</v>
      </c>
      <c r="DK182" s="228">
        <v>0.61</v>
      </c>
      <c r="DL182" s="228">
        <v>25.26</v>
      </c>
      <c r="DM182" s="228">
        <v>26.18</v>
      </c>
      <c r="DN182" s="228">
        <v>-0.92</v>
      </c>
      <c r="DO182" s="228">
        <v>-0.92</v>
      </c>
      <c r="DP182" s="228">
        <v>0.52</v>
      </c>
      <c r="DQ182" s="228">
        <v>0.51</v>
      </c>
      <c r="DR182" s="228">
        <v>0.01</v>
      </c>
      <c r="DS182" s="229">
        <v>1.9599999999999999E-2</v>
      </c>
      <c r="DT182" s="231">
        <v>3300</v>
      </c>
      <c r="DU182" s="231">
        <v>3000</v>
      </c>
      <c r="DV182" s="228">
        <v>0.4</v>
      </c>
      <c r="DW182" s="228">
        <v>0.52</v>
      </c>
      <c r="DX182" s="228">
        <v>-0.12</v>
      </c>
      <c r="DY182" s="229">
        <v>-0.23080000000000001</v>
      </c>
      <c r="DZ182" s="229">
        <v>0.113</v>
      </c>
      <c r="EA182" s="230">
        <v>345625</v>
      </c>
      <c r="EB182" s="229">
        <v>3.5000000000000001E-3</v>
      </c>
      <c r="EC182" s="229">
        <v>0.113</v>
      </c>
      <c r="ED182" s="228">
        <v>11.67</v>
      </c>
      <c r="EE182" s="229">
        <v>3.7000000000000002E-3</v>
      </c>
      <c r="EF182" s="230">
        <v>186621</v>
      </c>
      <c r="EG182" s="230">
        <v>133278</v>
      </c>
      <c r="EH182" s="229">
        <v>0.4002</v>
      </c>
      <c r="EI182" s="229">
        <v>0.62480000000000002</v>
      </c>
      <c r="EJ182" s="231">
        <v>48330.82</v>
      </c>
      <c r="EK182" s="231">
        <v>18078.72</v>
      </c>
      <c r="EL182" s="231">
        <v>10043.370000000001</v>
      </c>
      <c r="EM182" s="231">
        <v>8247</v>
      </c>
      <c r="EN182" s="231">
        <v>76452.91</v>
      </c>
      <c r="EO182" s="231">
        <v>97236.19</v>
      </c>
      <c r="EP182" s="231">
        <v>-20783.28</v>
      </c>
      <c r="EQ182" s="229">
        <v>-0.2137</v>
      </c>
      <c r="ER182" s="231">
        <v>76749</v>
      </c>
      <c r="ES182" s="231">
        <v>36673</v>
      </c>
      <c r="ET182" s="231">
        <v>96495</v>
      </c>
      <c r="EU182" s="231">
        <v>13354588</v>
      </c>
      <c r="EV182" s="231">
        <v>209917</v>
      </c>
      <c r="EW182" s="231">
        <v>212777</v>
      </c>
      <c r="EX182" s="231">
        <v>-2860</v>
      </c>
      <c r="EY182" s="229">
        <v>-1.34E-2</v>
      </c>
      <c r="EZ182" s="229">
        <v>0.4914</v>
      </c>
      <c r="FA182" s="227" t="s">
        <v>568</v>
      </c>
      <c r="FB182" s="161">
        <f t="shared" si="4"/>
        <v>0</v>
      </c>
    </row>
    <row r="183" spans="1:158" ht="17.25" thickBot="1" x14ac:dyDescent="0.3">
      <c r="A183" s="226">
        <v>46008</v>
      </c>
      <c r="B183" s="227" t="s">
        <v>498</v>
      </c>
      <c r="C183" s="227" t="s">
        <v>646</v>
      </c>
      <c r="D183" s="228">
        <v>75</v>
      </c>
      <c r="E183" s="231">
        <v>11824</v>
      </c>
      <c r="F183" s="231">
        <v>11930</v>
      </c>
      <c r="G183" s="228">
        <v>-106</v>
      </c>
      <c r="H183" s="229">
        <v>-8.8999999999999999E-3</v>
      </c>
      <c r="I183" s="231">
        <v>11815</v>
      </c>
      <c r="J183" s="231">
        <v>11918</v>
      </c>
      <c r="K183" s="228">
        <v>-103</v>
      </c>
      <c r="L183" s="229">
        <v>-8.6E-3</v>
      </c>
      <c r="M183" s="231">
        <v>11824</v>
      </c>
      <c r="N183" s="231">
        <v>11930</v>
      </c>
      <c r="O183" s="228">
        <v>-106</v>
      </c>
      <c r="P183" s="229">
        <v>-8.8999999999999999E-3</v>
      </c>
      <c r="Q183" s="231">
        <v>11910</v>
      </c>
      <c r="R183" s="231">
        <v>11990</v>
      </c>
      <c r="S183" s="228">
        <v>-80</v>
      </c>
      <c r="T183" s="229">
        <v>-6.7000000000000002E-3</v>
      </c>
      <c r="U183" s="231">
        <v>11960</v>
      </c>
      <c r="V183" s="231">
        <v>12046</v>
      </c>
      <c r="W183" s="228">
        <v>-86</v>
      </c>
      <c r="X183" s="229">
        <v>-7.1000000000000004E-3</v>
      </c>
      <c r="Y183" s="228">
        <v>9</v>
      </c>
      <c r="Z183" s="228">
        <v>12</v>
      </c>
      <c r="AA183" s="228">
        <v>-3</v>
      </c>
      <c r="AB183" s="229">
        <v>8.0000000000000004E-4</v>
      </c>
      <c r="AC183" s="228">
        <v>9</v>
      </c>
      <c r="AD183" s="228">
        <v>12</v>
      </c>
      <c r="AE183" s="228">
        <v>-3</v>
      </c>
      <c r="AF183" s="229">
        <v>8.0000000000000004E-4</v>
      </c>
      <c r="AG183" s="228">
        <v>95</v>
      </c>
      <c r="AH183" s="228">
        <v>72</v>
      </c>
      <c r="AI183" s="228">
        <v>23</v>
      </c>
      <c r="AJ183" s="229">
        <v>8.0000000000000002E-3</v>
      </c>
      <c r="AK183" s="228">
        <v>145</v>
      </c>
      <c r="AL183" s="228">
        <v>128</v>
      </c>
      <c r="AM183" s="228">
        <v>17</v>
      </c>
      <c r="AN183" s="229">
        <v>1.23E-2</v>
      </c>
      <c r="AO183" s="231">
        <v>11895.46</v>
      </c>
      <c r="AP183" s="231">
        <v>11970.56</v>
      </c>
      <c r="AQ183" s="228">
        <v>0</v>
      </c>
      <c r="AR183" s="230">
        <v>122400</v>
      </c>
      <c r="AS183" s="230">
        <v>177225</v>
      </c>
      <c r="AT183" s="230">
        <v>-54825</v>
      </c>
      <c r="AU183" s="229">
        <v>-0.30940000000000001</v>
      </c>
      <c r="AV183" s="230">
        <v>98325</v>
      </c>
      <c r="AW183" s="230">
        <v>139875</v>
      </c>
      <c r="AX183" s="230">
        <v>-41550</v>
      </c>
      <c r="AY183" s="229">
        <v>-0.29709999999999998</v>
      </c>
      <c r="AZ183" s="230">
        <v>21600</v>
      </c>
      <c r="BA183" s="230">
        <v>29400</v>
      </c>
      <c r="BB183" s="230">
        <v>-7800</v>
      </c>
      <c r="BC183" s="229">
        <v>-0.26529999999999998</v>
      </c>
      <c r="BD183" s="230">
        <v>2475</v>
      </c>
      <c r="BE183" s="230">
        <v>7950</v>
      </c>
      <c r="BF183" s="230">
        <v>-5475</v>
      </c>
      <c r="BG183" s="229">
        <v>-0.68869999999999998</v>
      </c>
      <c r="BH183" s="230">
        <v>643575</v>
      </c>
      <c r="BI183" s="230">
        <v>932475</v>
      </c>
      <c r="BJ183" s="230">
        <v>-288900</v>
      </c>
      <c r="BK183" s="229">
        <v>-0.30980000000000002</v>
      </c>
      <c r="BL183" s="230">
        <v>405300</v>
      </c>
      <c r="BM183" s="230">
        <v>412125</v>
      </c>
      <c r="BN183" s="230">
        <v>-6825</v>
      </c>
      <c r="BO183" s="229">
        <v>-1.66E-2</v>
      </c>
      <c r="BP183" s="230">
        <v>1171275</v>
      </c>
      <c r="BQ183" s="230">
        <v>1521825</v>
      </c>
      <c r="BR183" s="230">
        <v>-350550</v>
      </c>
      <c r="BS183" s="229">
        <v>-0.2303</v>
      </c>
      <c r="BT183" s="230">
        <v>63667</v>
      </c>
      <c r="BU183" s="230">
        <v>83674</v>
      </c>
      <c r="BV183" s="230">
        <v>-20007</v>
      </c>
      <c r="BW183" s="229">
        <v>-0.23910000000000001</v>
      </c>
      <c r="BX183" s="230">
        <v>1015825</v>
      </c>
      <c r="BY183" s="230">
        <v>1007600</v>
      </c>
      <c r="BZ183" s="230">
        <v>8225</v>
      </c>
      <c r="CA183" s="229">
        <v>8.2000000000000007E-3</v>
      </c>
      <c r="CB183" s="230">
        <v>929475</v>
      </c>
      <c r="CC183" s="230">
        <v>925800</v>
      </c>
      <c r="CD183" s="230">
        <v>3675</v>
      </c>
      <c r="CE183" s="229">
        <v>4.0000000000000001E-3</v>
      </c>
      <c r="CF183" s="230">
        <v>71650</v>
      </c>
      <c r="CG183" s="230">
        <v>67300</v>
      </c>
      <c r="CH183" s="230">
        <v>4350</v>
      </c>
      <c r="CI183" s="229">
        <v>6.4600000000000005E-2</v>
      </c>
      <c r="CJ183" s="230">
        <v>14700</v>
      </c>
      <c r="CK183" s="230">
        <v>14500</v>
      </c>
      <c r="CL183" s="228">
        <v>200</v>
      </c>
      <c r="CM183" s="229">
        <v>1.38E-2</v>
      </c>
      <c r="CN183" s="230">
        <v>834425</v>
      </c>
      <c r="CO183" s="230">
        <v>803900</v>
      </c>
      <c r="CP183" s="230">
        <v>30525</v>
      </c>
      <c r="CQ183" s="229">
        <v>3.7999999999999999E-2</v>
      </c>
      <c r="CR183" s="230">
        <v>317250</v>
      </c>
      <c r="CS183" s="230">
        <v>296700</v>
      </c>
      <c r="CT183" s="230">
        <v>20550</v>
      </c>
      <c r="CU183" s="229">
        <v>6.93E-2</v>
      </c>
      <c r="CV183" s="230">
        <v>2167500</v>
      </c>
      <c r="CW183" s="230">
        <v>2108200</v>
      </c>
      <c r="CX183" s="230">
        <v>59300</v>
      </c>
      <c r="CY183" s="229">
        <v>2.81E-2</v>
      </c>
      <c r="CZ183" s="228">
        <v>31</v>
      </c>
      <c r="DA183" s="228">
        <v>31.98</v>
      </c>
      <c r="DB183" s="228">
        <v>-0.98</v>
      </c>
      <c r="DC183" s="228">
        <v>-0.98</v>
      </c>
      <c r="DD183" s="228">
        <v>39.26</v>
      </c>
      <c r="DE183" s="228">
        <v>39.340000000000003</v>
      </c>
      <c r="DF183" s="228">
        <v>-8.26</v>
      </c>
      <c r="DG183" s="228">
        <v>-0.08</v>
      </c>
      <c r="DH183" s="228">
        <v>32.06</v>
      </c>
      <c r="DI183" s="228">
        <v>33.04</v>
      </c>
      <c r="DJ183" s="228">
        <v>-0.98</v>
      </c>
      <c r="DK183" s="228">
        <v>-0.98</v>
      </c>
      <c r="DL183" s="228">
        <v>29.31</v>
      </c>
      <c r="DM183" s="228">
        <v>29.58</v>
      </c>
      <c r="DN183" s="228">
        <v>-0.27</v>
      </c>
      <c r="DO183" s="228">
        <v>-0.27</v>
      </c>
      <c r="DP183" s="228">
        <v>0.38</v>
      </c>
      <c r="DQ183" s="228">
        <v>0.37</v>
      </c>
      <c r="DR183" s="228">
        <v>0.01</v>
      </c>
      <c r="DS183" s="229">
        <v>2.7E-2</v>
      </c>
      <c r="DT183" s="231">
        <v>12500</v>
      </c>
      <c r="DU183" s="231">
        <v>13000</v>
      </c>
      <c r="DV183" s="228">
        <v>0.63</v>
      </c>
      <c r="DW183" s="228">
        <v>0.44</v>
      </c>
      <c r="DX183" s="228">
        <v>0.19</v>
      </c>
      <c r="DY183" s="229">
        <v>0.43180000000000002</v>
      </c>
      <c r="DZ183" s="229">
        <v>8.5000000000000006E-2</v>
      </c>
      <c r="EA183" s="230">
        <v>81800</v>
      </c>
      <c r="EB183" s="229">
        <v>7.3000000000000001E-3</v>
      </c>
      <c r="EC183" s="229">
        <v>8.5000000000000006E-2</v>
      </c>
      <c r="ED183" s="228">
        <v>75.099999999999994</v>
      </c>
      <c r="EE183" s="229">
        <v>6.3E-3</v>
      </c>
      <c r="EF183" s="230">
        <v>27272</v>
      </c>
      <c r="EG183" s="230">
        <v>39879</v>
      </c>
      <c r="EH183" s="229">
        <v>-0.31609999999999999</v>
      </c>
      <c r="EI183" s="229">
        <v>0.4284</v>
      </c>
      <c r="EJ183" s="231">
        <v>82573.38</v>
      </c>
      <c r="EK183" s="231">
        <v>46769.75</v>
      </c>
      <c r="EL183" s="231">
        <v>13618.85</v>
      </c>
      <c r="EM183" s="231">
        <v>1580</v>
      </c>
      <c r="EN183" s="231">
        <v>142961.98000000001</v>
      </c>
      <c r="EO183" s="231">
        <v>190316.12</v>
      </c>
      <c r="EP183" s="231">
        <v>-47354.14</v>
      </c>
      <c r="EQ183" s="229">
        <v>-0.24879999999999999</v>
      </c>
      <c r="ER183" s="231">
        <v>111819</v>
      </c>
      <c r="ES183" s="231">
        <v>39485</v>
      </c>
      <c r="ET183" s="231">
        <v>120193</v>
      </c>
      <c r="EU183" s="231">
        <v>3644817</v>
      </c>
      <c r="EV183" s="231">
        <v>271497</v>
      </c>
      <c r="EW183" s="231">
        <v>265908</v>
      </c>
      <c r="EX183" s="231">
        <v>5589</v>
      </c>
      <c r="EY183" s="229">
        <v>2.1000000000000001E-2</v>
      </c>
      <c r="EZ183" s="229">
        <v>0.59470000000000001</v>
      </c>
      <c r="FA183" s="227" t="s">
        <v>567</v>
      </c>
      <c r="FB183" s="161">
        <f t="shared" si="4"/>
        <v>0</v>
      </c>
    </row>
    <row r="184" spans="1:158" ht="17.25" thickBot="1" x14ac:dyDescent="0.3">
      <c r="A184" s="226">
        <v>46008</v>
      </c>
      <c r="B184" s="227" t="s">
        <v>162</v>
      </c>
      <c r="C184" s="227" t="s">
        <v>614</v>
      </c>
      <c r="D184" s="228">
        <v>1050</v>
      </c>
      <c r="E184" s="228">
        <v>491.45</v>
      </c>
      <c r="F184" s="228">
        <v>486.05</v>
      </c>
      <c r="G184" s="228">
        <v>5.4</v>
      </c>
      <c r="H184" s="229">
        <v>1.11E-2</v>
      </c>
      <c r="I184" s="228">
        <v>489.9</v>
      </c>
      <c r="J184" s="228">
        <v>484.95</v>
      </c>
      <c r="K184" s="228">
        <v>4.95</v>
      </c>
      <c r="L184" s="229">
        <v>1.0200000000000001E-2</v>
      </c>
      <c r="M184" s="228">
        <v>491.45</v>
      </c>
      <c r="N184" s="228">
        <v>486.05</v>
      </c>
      <c r="O184" s="228">
        <v>5.4</v>
      </c>
      <c r="P184" s="229">
        <v>1.11E-2</v>
      </c>
      <c r="Q184" s="228">
        <v>494.55</v>
      </c>
      <c r="R184" s="228">
        <v>488.85</v>
      </c>
      <c r="S184" s="228">
        <v>5.7</v>
      </c>
      <c r="T184" s="229">
        <v>1.17E-2</v>
      </c>
      <c r="U184" s="228">
        <v>496</v>
      </c>
      <c r="V184" s="228">
        <v>490.85</v>
      </c>
      <c r="W184" s="228">
        <v>5.15</v>
      </c>
      <c r="X184" s="229">
        <v>1.0500000000000001E-2</v>
      </c>
      <c r="Y184" s="228">
        <v>1.55</v>
      </c>
      <c r="Z184" s="228">
        <v>1.1000000000000001</v>
      </c>
      <c r="AA184" s="228">
        <v>0.45</v>
      </c>
      <c r="AB184" s="229">
        <v>3.2000000000000002E-3</v>
      </c>
      <c r="AC184" s="228">
        <v>1.55</v>
      </c>
      <c r="AD184" s="228">
        <v>1.1000000000000001</v>
      </c>
      <c r="AE184" s="228">
        <v>0.45</v>
      </c>
      <c r="AF184" s="229">
        <v>3.2000000000000002E-3</v>
      </c>
      <c r="AG184" s="228">
        <v>4.6500000000000004</v>
      </c>
      <c r="AH184" s="228">
        <v>3.9</v>
      </c>
      <c r="AI184" s="228">
        <v>0.75</v>
      </c>
      <c r="AJ184" s="229">
        <v>9.4999999999999998E-3</v>
      </c>
      <c r="AK184" s="228">
        <v>6.1</v>
      </c>
      <c r="AL184" s="228">
        <v>5.9</v>
      </c>
      <c r="AM184" s="228">
        <v>0.2</v>
      </c>
      <c r="AN184" s="229">
        <v>1.2500000000000001E-2</v>
      </c>
      <c r="AO184" s="228">
        <v>490.15</v>
      </c>
      <c r="AP184" s="228">
        <v>493.81</v>
      </c>
      <c r="AQ184" s="228">
        <v>0</v>
      </c>
      <c r="AR184" s="230">
        <v>1729350</v>
      </c>
      <c r="AS184" s="230">
        <v>1013250</v>
      </c>
      <c r="AT184" s="230">
        <v>716100</v>
      </c>
      <c r="AU184" s="229">
        <v>0.70669999999999999</v>
      </c>
      <c r="AV184" s="230">
        <v>1507800</v>
      </c>
      <c r="AW184" s="230">
        <v>920850</v>
      </c>
      <c r="AX184" s="230">
        <v>586950</v>
      </c>
      <c r="AY184" s="229">
        <v>0.63739999999999997</v>
      </c>
      <c r="AZ184" s="230">
        <v>207900</v>
      </c>
      <c r="BA184" s="230">
        <v>82950</v>
      </c>
      <c r="BB184" s="230">
        <v>124950</v>
      </c>
      <c r="BC184" s="229">
        <v>1.5063</v>
      </c>
      <c r="BD184" s="230">
        <v>13650</v>
      </c>
      <c r="BE184" s="230">
        <v>9450</v>
      </c>
      <c r="BF184" s="230">
        <v>4200</v>
      </c>
      <c r="BG184" s="229">
        <v>0.44440000000000002</v>
      </c>
      <c r="BH184" s="230">
        <v>5478900</v>
      </c>
      <c r="BI184" s="230">
        <v>2017050</v>
      </c>
      <c r="BJ184" s="230">
        <v>3461850</v>
      </c>
      <c r="BK184" s="229">
        <v>1.7162999999999999</v>
      </c>
      <c r="BL184" s="230">
        <v>1477350</v>
      </c>
      <c r="BM184" s="230">
        <v>874650</v>
      </c>
      <c r="BN184" s="230">
        <v>602700</v>
      </c>
      <c r="BO184" s="229">
        <v>0.68910000000000005</v>
      </c>
      <c r="BP184" s="230">
        <v>8685600</v>
      </c>
      <c r="BQ184" s="230">
        <v>3904950</v>
      </c>
      <c r="BR184" s="230">
        <v>4780650</v>
      </c>
      <c r="BS184" s="229">
        <v>1.2242999999999999</v>
      </c>
      <c r="BT184" s="230">
        <v>866567</v>
      </c>
      <c r="BU184" s="230">
        <v>424324</v>
      </c>
      <c r="BV184" s="230">
        <v>442243</v>
      </c>
      <c r="BW184" s="229">
        <v>1.0422</v>
      </c>
      <c r="BX184" s="230">
        <v>14471275</v>
      </c>
      <c r="BY184" s="230">
        <v>14119000</v>
      </c>
      <c r="BZ184" s="230">
        <v>352275</v>
      </c>
      <c r="CA184" s="229">
        <v>2.5000000000000001E-2</v>
      </c>
      <c r="CB184" s="230">
        <v>13830600</v>
      </c>
      <c r="CC184" s="230">
        <v>13540800</v>
      </c>
      <c r="CD184" s="230">
        <v>289800</v>
      </c>
      <c r="CE184" s="229">
        <v>2.1399999999999999E-2</v>
      </c>
      <c r="CF184" s="230">
        <v>567175</v>
      </c>
      <c r="CG184" s="230">
        <v>497350</v>
      </c>
      <c r="CH184" s="230">
        <v>69825</v>
      </c>
      <c r="CI184" s="229">
        <v>0.1404</v>
      </c>
      <c r="CJ184" s="230">
        <v>73500</v>
      </c>
      <c r="CK184" s="230">
        <v>80850</v>
      </c>
      <c r="CL184" s="230">
        <v>-7350</v>
      </c>
      <c r="CM184" s="229">
        <v>-9.0899999999999995E-2</v>
      </c>
      <c r="CN184" s="230">
        <v>6279175</v>
      </c>
      <c r="CO184" s="230">
        <v>5981500</v>
      </c>
      <c r="CP184" s="230">
        <v>297675</v>
      </c>
      <c r="CQ184" s="229">
        <v>4.9799999999999997E-2</v>
      </c>
      <c r="CR184" s="230">
        <v>2838150</v>
      </c>
      <c r="CS184" s="230">
        <v>2875250</v>
      </c>
      <c r="CT184" s="230">
        <v>-37100</v>
      </c>
      <c r="CU184" s="229">
        <v>-1.29E-2</v>
      </c>
      <c r="CV184" s="230">
        <v>23588600</v>
      </c>
      <c r="CW184" s="230">
        <v>22975750</v>
      </c>
      <c r="CX184" s="230">
        <v>612850</v>
      </c>
      <c r="CY184" s="229">
        <v>2.6700000000000002E-2</v>
      </c>
      <c r="CZ184" s="228">
        <v>28.95</v>
      </c>
      <c r="DA184" s="228">
        <v>29.42</v>
      </c>
      <c r="DB184" s="228">
        <v>-0.47</v>
      </c>
      <c r="DC184" s="228">
        <v>-0.47</v>
      </c>
      <c r="DD184" s="228">
        <v>39.020000000000003</v>
      </c>
      <c r="DE184" s="228">
        <v>39.090000000000003</v>
      </c>
      <c r="DF184" s="228">
        <v>-10.07</v>
      </c>
      <c r="DG184" s="228">
        <v>-7.0000000000000007E-2</v>
      </c>
      <c r="DH184" s="228">
        <v>28.95</v>
      </c>
      <c r="DI184" s="228">
        <v>29.58</v>
      </c>
      <c r="DJ184" s="228">
        <v>-0.63</v>
      </c>
      <c r="DK184" s="228">
        <v>-0.63</v>
      </c>
      <c r="DL184" s="228">
        <v>28.95</v>
      </c>
      <c r="DM184" s="228">
        <v>29.04</v>
      </c>
      <c r="DN184" s="228">
        <v>-0.09</v>
      </c>
      <c r="DO184" s="228">
        <v>-0.09</v>
      </c>
      <c r="DP184" s="228">
        <v>0.45</v>
      </c>
      <c r="DQ184" s="228">
        <v>0.48</v>
      </c>
      <c r="DR184" s="228">
        <v>-0.03</v>
      </c>
      <c r="DS184" s="229">
        <v>-6.25E-2</v>
      </c>
      <c r="DT184" s="228">
        <v>520</v>
      </c>
      <c r="DU184" s="228">
        <v>500</v>
      </c>
      <c r="DV184" s="228">
        <v>0.27</v>
      </c>
      <c r="DW184" s="228">
        <v>0.43</v>
      </c>
      <c r="DX184" s="228">
        <v>-0.16</v>
      </c>
      <c r="DY184" s="229">
        <v>-0.37209999999999999</v>
      </c>
      <c r="DZ184" s="229">
        <v>4.4299999999999999E-2</v>
      </c>
      <c r="EA184" s="230">
        <v>578200</v>
      </c>
      <c r="EB184" s="229">
        <v>6.3E-3</v>
      </c>
      <c r="EC184" s="229">
        <v>4.4299999999999999E-2</v>
      </c>
      <c r="ED184" s="228">
        <v>3.66</v>
      </c>
      <c r="EE184" s="229">
        <v>7.4999999999999997E-3</v>
      </c>
      <c r="EF184" s="230">
        <v>395294</v>
      </c>
      <c r="EG184" s="230">
        <v>224601</v>
      </c>
      <c r="EH184" s="229">
        <v>0.76</v>
      </c>
      <c r="EI184" s="229">
        <v>0.45619999999999999</v>
      </c>
      <c r="EJ184" s="231">
        <v>27914.74</v>
      </c>
      <c r="EK184" s="231">
        <v>7127.42</v>
      </c>
      <c r="EL184" s="231">
        <v>8667.06</v>
      </c>
      <c r="EM184" s="231">
        <v>1917</v>
      </c>
      <c r="EN184" s="231">
        <v>43709.22</v>
      </c>
      <c r="EO184" s="231">
        <v>19484.22</v>
      </c>
      <c r="EP184" s="231">
        <v>24225</v>
      </c>
      <c r="EQ184" s="229">
        <v>1.2433000000000001</v>
      </c>
      <c r="ER184" s="231">
        <v>32509</v>
      </c>
      <c r="ES184" s="231">
        <v>13634</v>
      </c>
      <c r="ET184" s="231">
        <v>71140</v>
      </c>
      <c r="EU184" s="231">
        <v>67126548</v>
      </c>
      <c r="EV184" s="231">
        <v>117283</v>
      </c>
      <c r="EW184" s="231">
        <v>113462</v>
      </c>
      <c r="EX184" s="231">
        <v>3821</v>
      </c>
      <c r="EY184" s="229">
        <v>3.3700000000000001E-2</v>
      </c>
      <c r="EZ184" s="229">
        <v>0.35139999999999999</v>
      </c>
      <c r="FA184" s="227" t="s">
        <v>555</v>
      </c>
      <c r="FB184" s="161">
        <f t="shared" si="4"/>
        <v>0</v>
      </c>
    </row>
    <row r="185" spans="1:158" ht="17.25" thickBot="1" x14ac:dyDescent="0.3">
      <c r="A185" s="226">
        <v>46008</v>
      </c>
      <c r="B185" s="227" t="s">
        <v>197</v>
      </c>
      <c r="C185" s="227" t="s">
        <v>286</v>
      </c>
      <c r="D185" s="228">
        <v>200</v>
      </c>
      <c r="E185" s="231">
        <v>3036.7</v>
      </c>
      <c r="F185" s="231">
        <v>3018</v>
      </c>
      <c r="G185" s="228">
        <v>18.7</v>
      </c>
      <c r="H185" s="229">
        <v>6.1999999999999998E-3</v>
      </c>
      <c r="I185" s="231">
        <v>3033.3</v>
      </c>
      <c r="J185" s="231">
        <v>3015.7</v>
      </c>
      <c r="K185" s="228">
        <v>17.600000000000001</v>
      </c>
      <c r="L185" s="229">
        <v>5.7999999999999996E-3</v>
      </c>
      <c r="M185" s="231">
        <v>3036.7</v>
      </c>
      <c r="N185" s="231">
        <v>3018</v>
      </c>
      <c r="O185" s="228">
        <v>18.7</v>
      </c>
      <c r="P185" s="229">
        <v>6.1999999999999998E-3</v>
      </c>
      <c r="Q185" s="231">
        <v>3053.3</v>
      </c>
      <c r="R185" s="231">
        <v>3037.1</v>
      </c>
      <c r="S185" s="228">
        <v>16.2</v>
      </c>
      <c r="T185" s="229">
        <v>5.3E-3</v>
      </c>
      <c r="U185" s="231">
        <v>3048.1</v>
      </c>
      <c r="V185" s="231">
        <v>3046.8</v>
      </c>
      <c r="W185" s="228">
        <v>1.3</v>
      </c>
      <c r="X185" s="229">
        <v>4.0000000000000002E-4</v>
      </c>
      <c r="Y185" s="228">
        <v>3.4</v>
      </c>
      <c r="Z185" s="228">
        <v>2.2999999999999998</v>
      </c>
      <c r="AA185" s="228">
        <v>1.1000000000000001</v>
      </c>
      <c r="AB185" s="229">
        <v>1.1000000000000001E-3</v>
      </c>
      <c r="AC185" s="228">
        <v>3.4</v>
      </c>
      <c r="AD185" s="228">
        <v>2.2999999999999998</v>
      </c>
      <c r="AE185" s="228">
        <v>1.1000000000000001</v>
      </c>
      <c r="AF185" s="229">
        <v>1.1000000000000001E-3</v>
      </c>
      <c r="AG185" s="228">
        <v>20</v>
      </c>
      <c r="AH185" s="228">
        <v>21.4</v>
      </c>
      <c r="AI185" s="228">
        <v>-1.4</v>
      </c>
      <c r="AJ185" s="229">
        <v>6.6E-3</v>
      </c>
      <c r="AK185" s="228">
        <v>14.8</v>
      </c>
      <c r="AL185" s="228">
        <v>31.1</v>
      </c>
      <c r="AM185" s="228">
        <v>-16.3</v>
      </c>
      <c r="AN185" s="229">
        <v>4.8999999999999998E-3</v>
      </c>
      <c r="AO185" s="231">
        <v>3024.79</v>
      </c>
      <c r="AP185" s="231">
        <v>3042.79</v>
      </c>
      <c r="AQ185" s="228">
        <v>0</v>
      </c>
      <c r="AR185" s="230">
        <v>628000</v>
      </c>
      <c r="AS185" s="230">
        <v>690400</v>
      </c>
      <c r="AT185" s="230">
        <v>-62400</v>
      </c>
      <c r="AU185" s="229">
        <v>-9.0399999999999994E-2</v>
      </c>
      <c r="AV185" s="230">
        <v>575000</v>
      </c>
      <c r="AW185" s="230">
        <v>615600</v>
      </c>
      <c r="AX185" s="230">
        <v>-40600</v>
      </c>
      <c r="AY185" s="229">
        <v>-6.6000000000000003E-2</v>
      </c>
      <c r="AZ185" s="230">
        <v>52000</v>
      </c>
      <c r="BA185" s="230">
        <v>71200</v>
      </c>
      <c r="BB185" s="230">
        <v>-19200</v>
      </c>
      <c r="BC185" s="229">
        <v>-0.2697</v>
      </c>
      <c r="BD185" s="230">
        <v>1000</v>
      </c>
      <c r="BE185" s="230">
        <v>3600</v>
      </c>
      <c r="BF185" s="230">
        <v>-2600</v>
      </c>
      <c r="BG185" s="229">
        <v>-0.72219999999999995</v>
      </c>
      <c r="BH185" s="230">
        <v>3258200</v>
      </c>
      <c r="BI185" s="230">
        <v>4210800</v>
      </c>
      <c r="BJ185" s="230">
        <v>-952600</v>
      </c>
      <c r="BK185" s="229">
        <v>-0.22620000000000001</v>
      </c>
      <c r="BL185" s="230">
        <v>1157800</v>
      </c>
      <c r="BM185" s="230">
        <v>1332200</v>
      </c>
      <c r="BN185" s="230">
        <v>-174400</v>
      </c>
      <c r="BO185" s="229">
        <v>-0.13089999999999999</v>
      </c>
      <c r="BP185" s="230">
        <v>5044000</v>
      </c>
      <c r="BQ185" s="230">
        <v>6233400</v>
      </c>
      <c r="BR185" s="230">
        <v>-1189400</v>
      </c>
      <c r="BS185" s="229">
        <v>-0.1908</v>
      </c>
      <c r="BT185" s="230">
        <v>334975</v>
      </c>
      <c r="BU185" s="230">
        <v>559686</v>
      </c>
      <c r="BV185" s="230">
        <v>-224711</v>
      </c>
      <c r="BW185" s="229">
        <v>-0.40150000000000002</v>
      </c>
      <c r="BX185" s="230">
        <v>3438400</v>
      </c>
      <c r="BY185" s="230">
        <v>3470800</v>
      </c>
      <c r="BZ185" s="230">
        <v>-32400</v>
      </c>
      <c r="CA185" s="229">
        <v>-9.2999999999999992E-3</v>
      </c>
      <c r="CB185" s="230">
        <v>3288400</v>
      </c>
      <c r="CC185" s="230">
        <v>3319800</v>
      </c>
      <c r="CD185" s="230">
        <v>-31400</v>
      </c>
      <c r="CE185" s="229">
        <v>-9.4999999999999998E-3</v>
      </c>
      <c r="CF185" s="230">
        <v>135000</v>
      </c>
      <c r="CG185" s="230">
        <v>136200</v>
      </c>
      <c r="CH185" s="230">
        <v>-1200</v>
      </c>
      <c r="CI185" s="229">
        <v>-8.8000000000000005E-3</v>
      </c>
      <c r="CJ185" s="230">
        <v>15000</v>
      </c>
      <c r="CK185" s="230">
        <v>14800</v>
      </c>
      <c r="CL185" s="228">
        <v>200</v>
      </c>
      <c r="CM185" s="229">
        <v>1.35E-2</v>
      </c>
      <c r="CN185" s="230">
        <v>2023000</v>
      </c>
      <c r="CO185" s="230">
        <v>1954600</v>
      </c>
      <c r="CP185" s="230">
        <v>68400</v>
      </c>
      <c r="CQ185" s="229">
        <v>3.5000000000000003E-2</v>
      </c>
      <c r="CR185" s="230">
        <v>1487000</v>
      </c>
      <c r="CS185" s="230">
        <v>1475200</v>
      </c>
      <c r="CT185" s="230">
        <v>11800</v>
      </c>
      <c r="CU185" s="229">
        <v>8.0000000000000002E-3</v>
      </c>
      <c r="CV185" s="230">
        <v>6948400</v>
      </c>
      <c r="CW185" s="230">
        <v>6900600</v>
      </c>
      <c r="CX185" s="230">
        <v>47800</v>
      </c>
      <c r="CY185" s="229">
        <v>6.8999999999999999E-3</v>
      </c>
      <c r="CZ185" s="228">
        <v>21.93</v>
      </c>
      <c r="DA185" s="228">
        <v>22.03</v>
      </c>
      <c r="DB185" s="228">
        <v>-0.1</v>
      </c>
      <c r="DC185" s="228">
        <v>-0.1</v>
      </c>
      <c r="DD185" s="228">
        <v>31.04</v>
      </c>
      <c r="DE185" s="228">
        <v>31.11</v>
      </c>
      <c r="DF185" s="228">
        <v>-9.11</v>
      </c>
      <c r="DG185" s="228">
        <v>-7.0000000000000007E-2</v>
      </c>
      <c r="DH185" s="228">
        <v>21.58</v>
      </c>
      <c r="DI185" s="228">
        <v>21.88</v>
      </c>
      <c r="DJ185" s="228">
        <v>-0.3</v>
      </c>
      <c r="DK185" s="228">
        <v>-0.3</v>
      </c>
      <c r="DL185" s="228">
        <v>22.92</v>
      </c>
      <c r="DM185" s="228">
        <v>22.51</v>
      </c>
      <c r="DN185" s="228">
        <v>0.41</v>
      </c>
      <c r="DO185" s="228">
        <v>0.41</v>
      </c>
      <c r="DP185" s="228">
        <v>0.74</v>
      </c>
      <c r="DQ185" s="228">
        <v>0.75</v>
      </c>
      <c r="DR185" s="228">
        <v>-0.01</v>
      </c>
      <c r="DS185" s="229">
        <v>-1.3299999999999999E-2</v>
      </c>
      <c r="DT185" s="231">
        <v>3000</v>
      </c>
      <c r="DU185" s="231">
        <v>2900</v>
      </c>
      <c r="DV185" s="228">
        <v>0.36</v>
      </c>
      <c r="DW185" s="228">
        <v>0.32</v>
      </c>
      <c r="DX185" s="228">
        <v>0.04</v>
      </c>
      <c r="DY185" s="229">
        <v>0.125</v>
      </c>
      <c r="DZ185" s="229">
        <v>4.36E-2</v>
      </c>
      <c r="EA185" s="230">
        <v>151000</v>
      </c>
      <c r="EB185" s="229">
        <v>5.4999999999999997E-3</v>
      </c>
      <c r="EC185" s="229">
        <v>4.36E-2</v>
      </c>
      <c r="ED185" s="228">
        <v>18</v>
      </c>
      <c r="EE185" s="229">
        <v>6.0000000000000001E-3</v>
      </c>
      <c r="EF185" s="230">
        <v>223613</v>
      </c>
      <c r="EG185" s="230">
        <v>352856</v>
      </c>
      <c r="EH185" s="229">
        <v>-0.36630000000000001</v>
      </c>
      <c r="EI185" s="229">
        <v>0.66759999999999997</v>
      </c>
      <c r="EJ185" s="231">
        <v>101428.27</v>
      </c>
      <c r="EK185" s="231">
        <v>34411.550000000003</v>
      </c>
      <c r="EL185" s="231">
        <v>19005.21</v>
      </c>
      <c r="EM185" s="231">
        <v>4993</v>
      </c>
      <c r="EN185" s="231">
        <v>154845.03</v>
      </c>
      <c r="EO185" s="231">
        <v>191355.66</v>
      </c>
      <c r="EP185" s="231">
        <v>-36510.629999999997</v>
      </c>
      <c r="EQ185" s="229">
        <v>-0.1908</v>
      </c>
      <c r="ER185" s="231">
        <v>61941</v>
      </c>
      <c r="ES185" s="231">
        <v>42958</v>
      </c>
      <c r="ET185" s="231">
        <v>104438</v>
      </c>
      <c r="EU185" s="231">
        <v>21205300</v>
      </c>
      <c r="EV185" s="231">
        <v>209336</v>
      </c>
      <c r="EW185" s="231">
        <v>206938</v>
      </c>
      <c r="EX185" s="231">
        <v>2398</v>
      </c>
      <c r="EY185" s="229">
        <v>1.1599999999999999E-2</v>
      </c>
      <c r="EZ185" s="229">
        <v>0.32769999999999999</v>
      </c>
      <c r="FA185" s="227" t="s">
        <v>556</v>
      </c>
      <c r="FB185" s="161">
        <f t="shared" si="4"/>
        <v>0</v>
      </c>
    </row>
    <row r="186" spans="1:158" ht="17.25" thickBot="1" x14ac:dyDescent="0.3">
      <c r="A186" s="226">
        <v>46008</v>
      </c>
      <c r="B186" s="227" t="s">
        <v>170</v>
      </c>
      <c r="C186" s="227" t="s">
        <v>288</v>
      </c>
      <c r="D186" s="228">
        <v>350</v>
      </c>
      <c r="E186" s="231">
        <v>1799.2</v>
      </c>
      <c r="F186" s="231">
        <v>1786.9</v>
      </c>
      <c r="G186" s="228">
        <v>12.3</v>
      </c>
      <c r="H186" s="229">
        <v>6.8999999999999999E-3</v>
      </c>
      <c r="I186" s="231">
        <v>1792.9</v>
      </c>
      <c r="J186" s="231">
        <v>1781.3</v>
      </c>
      <c r="K186" s="228">
        <v>11.6</v>
      </c>
      <c r="L186" s="229">
        <v>6.4999999999999997E-3</v>
      </c>
      <c r="M186" s="231">
        <v>1799.2</v>
      </c>
      <c r="N186" s="231">
        <v>1786.9</v>
      </c>
      <c r="O186" s="228">
        <v>12.3</v>
      </c>
      <c r="P186" s="229">
        <v>6.8999999999999999E-3</v>
      </c>
      <c r="Q186" s="231">
        <v>1810.5</v>
      </c>
      <c r="R186" s="231">
        <v>1798.8</v>
      </c>
      <c r="S186" s="228">
        <v>11.7</v>
      </c>
      <c r="T186" s="229">
        <v>6.4999999999999997E-3</v>
      </c>
      <c r="U186" s="231">
        <v>1807</v>
      </c>
      <c r="V186" s="231">
        <v>1802.9</v>
      </c>
      <c r="W186" s="228">
        <v>4.0999999999999996</v>
      </c>
      <c r="X186" s="229">
        <v>2.3E-3</v>
      </c>
      <c r="Y186" s="228">
        <v>6.3</v>
      </c>
      <c r="Z186" s="228">
        <v>5.6</v>
      </c>
      <c r="AA186" s="228">
        <v>0.7</v>
      </c>
      <c r="AB186" s="229">
        <v>3.5000000000000001E-3</v>
      </c>
      <c r="AC186" s="228">
        <v>6.3</v>
      </c>
      <c r="AD186" s="228">
        <v>5.6</v>
      </c>
      <c r="AE186" s="228">
        <v>0.7</v>
      </c>
      <c r="AF186" s="229">
        <v>3.5000000000000001E-3</v>
      </c>
      <c r="AG186" s="228">
        <v>17.600000000000001</v>
      </c>
      <c r="AH186" s="228">
        <v>17.5</v>
      </c>
      <c r="AI186" s="228">
        <v>0.1</v>
      </c>
      <c r="AJ186" s="229">
        <v>9.7999999999999997E-3</v>
      </c>
      <c r="AK186" s="228">
        <v>14.1</v>
      </c>
      <c r="AL186" s="228">
        <v>21.6</v>
      </c>
      <c r="AM186" s="228">
        <v>-7.5</v>
      </c>
      <c r="AN186" s="229">
        <v>7.9000000000000008E-3</v>
      </c>
      <c r="AO186" s="231">
        <v>1789.29</v>
      </c>
      <c r="AP186" s="231">
        <v>1799.9</v>
      </c>
      <c r="AQ186" s="228">
        <v>0</v>
      </c>
      <c r="AR186" s="230">
        <v>2556050</v>
      </c>
      <c r="AS186" s="230">
        <v>1185800</v>
      </c>
      <c r="AT186" s="230">
        <v>1370250</v>
      </c>
      <c r="AU186" s="229">
        <v>1.1555</v>
      </c>
      <c r="AV186" s="230">
        <v>1564500</v>
      </c>
      <c r="AW186" s="230">
        <v>992250</v>
      </c>
      <c r="AX186" s="230">
        <v>572250</v>
      </c>
      <c r="AY186" s="229">
        <v>0.57669999999999999</v>
      </c>
      <c r="AZ186" s="230">
        <v>988050</v>
      </c>
      <c r="BA186" s="230">
        <v>189350</v>
      </c>
      <c r="BB186" s="230">
        <v>798700</v>
      </c>
      <c r="BC186" s="229">
        <v>4.2180999999999997</v>
      </c>
      <c r="BD186" s="230">
        <v>3500</v>
      </c>
      <c r="BE186" s="230">
        <v>4200</v>
      </c>
      <c r="BF186" s="228">
        <v>-700</v>
      </c>
      <c r="BG186" s="229">
        <v>-0.16669999999999999</v>
      </c>
      <c r="BH186" s="230">
        <v>6787550</v>
      </c>
      <c r="BI186" s="230">
        <v>4065950</v>
      </c>
      <c r="BJ186" s="230">
        <v>2721600</v>
      </c>
      <c r="BK186" s="229">
        <v>0.6694</v>
      </c>
      <c r="BL186" s="230">
        <v>2828000</v>
      </c>
      <c r="BM186" s="230">
        <v>1584800</v>
      </c>
      <c r="BN186" s="230">
        <v>1243200</v>
      </c>
      <c r="BO186" s="229">
        <v>0.78449999999999998</v>
      </c>
      <c r="BP186" s="230">
        <v>12171600</v>
      </c>
      <c r="BQ186" s="230">
        <v>6836550</v>
      </c>
      <c r="BR186" s="230">
        <v>5335050</v>
      </c>
      <c r="BS186" s="229">
        <v>0.78039999999999998</v>
      </c>
      <c r="BT186" s="230">
        <v>2034450</v>
      </c>
      <c r="BU186" s="230">
        <v>1615604</v>
      </c>
      <c r="BV186" s="230">
        <v>418846</v>
      </c>
      <c r="BW186" s="229">
        <v>0.25929999999999997</v>
      </c>
      <c r="BX186" s="230">
        <v>14662200</v>
      </c>
      <c r="BY186" s="230">
        <v>14600950</v>
      </c>
      <c r="BZ186" s="230">
        <v>61250</v>
      </c>
      <c r="CA186" s="229">
        <v>4.1999999999999997E-3</v>
      </c>
      <c r="CB186" s="230">
        <v>12702200</v>
      </c>
      <c r="CC186" s="230">
        <v>13521550</v>
      </c>
      <c r="CD186" s="230">
        <v>-819350</v>
      </c>
      <c r="CE186" s="229">
        <v>-6.0600000000000001E-2</v>
      </c>
      <c r="CF186" s="230">
        <v>1894900</v>
      </c>
      <c r="CG186" s="230">
        <v>1015000</v>
      </c>
      <c r="CH186" s="230">
        <v>879900</v>
      </c>
      <c r="CI186" s="229">
        <v>0.8669</v>
      </c>
      <c r="CJ186" s="230">
        <v>65100</v>
      </c>
      <c r="CK186" s="230">
        <v>64400</v>
      </c>
      <c r="CL186" s="228">
        <v>700</v>
      </c>
      <c r="CM186" s="229">
        <v>1.09E-2</v>
      </c>
      <c r="CN186" s="230">
        <v>6989150</v>
      </c>
      <c r="CO186" s="230">
        <v>7158550</v>
      </c>
      <c r="CP186" s="230">
        <v>-169400</v>
      </c>
      <c r="CQ186" s="229">
        <v>-2.3699999999999999E-2</v>
      </c>
      <c r="CR186" s="230">
        <v>2355500</v>
      </c>
      <c r="CS186" s="230">
        <v>2412550</v>
      </c>
      <c r="CT186" s="230">
        <v>-57050</v>
      </c>
      <c r="CU186" s="229">
        <v>-2.3599999999999999E-2</v>
      </c>
      <c r="CV186" s="230">
        <v>24006850</v>
      </c>
      <c r="CW186" s="230">
        <v>24172050</v>
      </c>
      <c r="CX186" s="230">
        <v>-165200</v>
      </c>
      <c r="CY186" s="229">
        <v>-6.7999999999999996E-3</v>
      </c>
      <c r="CZ186" s="228">
        <v>15.19</v>
      </c>
      <c r="DA186" s="228">
        <v>16.34</v>
      </c>
      <c r="DB186" s="228">
        <v>-1.1499999999999999</v>
      </c>
      <c r="DC186" s="228">
        <v>-1.1499999999999999</v>
      </c>
      <c r="DD186" s="228">
        <v>22.53</v>
      </c>
      <c r="DE186" s="228">
        <v>22.57</v>
      </c>
      <c r="DF186" s="228">
        <v>-7.34</v>
      </c>
      <c r="DG186" s="228">
        <v>-0.04</v>
      </c>
      <c r="DH186" s="228">
        <v>14.83</v>
      </c>
      <c r="DI186" s="228">
        <v>16.510000000000002</v>
      </c>
      <c r="DJ186" s="228">
        <v>-1.68</v>
      </c>
      <c r="DK186" s="228">
        <v>-1.68</v>
      </c>
      <c r="DL186" s="228">
        <v>16.04</v>
      </c>
      <c r="DM186" s="228">
        <v>15.91</v>
      </c>
      <c r="DN186" s="228">
        <v>0.13</v>
      </c>
      <c r="DO186" s="228">
        <v>0.13</v>
      </c>
      <c r="DP186" s="228">
        <v>0.34</v>
      </c>
      <c r="DQ186" s="228">
        <v>0.34</v>
      </c>
      <c r="DR186" s="228">
        <v>0</v>
      </c>
      <c r="DS186" s="229">
        <v>0</v>
      </c>
      <c r="DT186" s="231">
        <v>1840</v>
      </c>
      <c r="DU186" s="231">
        <v>1780</v>
      </c>
      <c r="DV186" s="228">
        <v>0.42</v>
      </c>
      <c r="DW186" s="228">
        <v>0.39</v>
      </c>
      <c r="DX186" s="228">
        <v>0.03</v>
      </c>
      <c r="DY186" s="229">
        <v>7.6899999999999996E-2</v>
      </c>
      <c r="DZ186" s="229">
        <v>0.13370000000000001</v>
      </c>
      <c r="EA186" s="230">
        <v>1079400</v>
      </c>
      <c r="EB186" s="229">
        <v>6.3E-3</v>
      </c>
      <c r="EC186" s="229">
        <v>0.13370000000000001</v>
      </c>
      <c r="ED186" s="228">
        <v>10.61</v>
      </c>
      <c r="EE186" s="229">
        <v>5.8999999999999999E-3</v>
      </c>
      <c r="EF186" s="230">
        <v>1519888</v>
      </c>
      <c r="EG186" s="230">
        <v>1079090</v>
      </c>
      <c r="EH186" s="229">
        <v>0.40849999999999997</v>
      </c>
      <c r="EI186" s="229">
        <v>0.74709999999999999</v>
      </c>
      <c r="EJ186" s="231">
        <v>124509.87</v>
      </c>
      <c r="EK186" s="231">
        <v>49946.86</v>
      </c>
      <c r="EL186" s="231">
        <v>45840.28</v>
      </c>
      <c r="EM186" s="231">
        <v>3447</v>
      </c>
      <c r="EN186" s="231">
        <v>220297.01</v>
      </c>
      <c r="EO186" s="231">
        <v>124333.25</v>
      </c>
      <c r="EP186" s="231">
        <v>95963.76</v>
      </c>
      <c r="EQ186" s="229">
        <v>0.77180000000000004</v>
      </c>
      <c r="ER186" s="231">
        <v>128991</v>
      </c>
      <c r="ES186" s="231">
        <v>40889</v>
      </c>
      <c r="ET186" s="231">
        <v>264022</v>
      </c>
      <c r="EU186" s="231">
        <v>109220043</v>
      </c>
      <c r="EV186" s="231">
        <v>433902</v>
      </c>
      <c r="EW186" s="231">
        <v>435021</v>
      </c>
      <c r="EX186" s="231">
        <v>-1119</v>
      </c>
      <c r="EY186" s="229">
        <v>-2.5999999999999999E-3</v>
      </c>
      <c r="EZ186" s="229">
        <v>0.2198</v>
      </c>
      <c r="FA186" s="227" t="s">
        <v>555</v>
      </c>
      <c r="FB186" s="161">
        <f t="shared" si="4"/>
        <v>0</v>
      </c>
    </row>
    <row r="187" spans="1:158" ht="17.25" thickBot="1" x14ac:dyDescent="0.3">
      <c r="A187" s="226">
        <v>46008</v>
      </c>
      <c r="B187" s="227" t="s">
        <v>184</v>
      </c>
      <c r="C187" s="227" t="s">
        <v>574</v>
      </c>
      <c r="D187" s="228">
        <v>175</v>
      </c>
      <c r="E187" s="231">
        <v>3359.1</v>
      </c>
      <c r="F187" s="231">
        <v>3407.9</v>
      </c>
      <c r="G187" s="228">
        <v>-48.8</v>
      </c>
      <c r="H187" s="229">
        <v>-1.43E-2</v>
      </c>
      <c r="I187" s="231">
        <v>3345.2</v>
      </c>
      <c r="J187" s="231">
        <v>3405.8</v>
      </c>
      <c r="K187" s="228">
        <v>-60.6</v>
      </c>
      <c r="L187" s="229">
        <v>-1.78E-2</v>
      </c>
      <c r="M187" s="231">
        <v>3359.1</v>
      </c>
      <c r="N187" s="231">
        <v>3407.9</v>
      </c>
      <c r="O187" s="228">
        <v>-48.8</v>
      </c>
      <c r="P187" s="229">
        <v>-1.43E-2</v>
      </c>
      <c r="Q187" s="231">
        <v>3370.2</v>
      </c>
      <c r="R187" s="231">
        <v>3415.2</v>
      </c>
      <c r="S187" s="228">
        <v>-45</v>
      </c>
      <c r="T187" s="229">
        <v>-1.32E-2</v>
      </c>
      <c r="U187" s="231">
        <v>3391.4</v>
      </c>
      <c r="V187" s="231">
        <v>3429.4</v>
      </c>
      <c r="W187" s="228">
        <v>-38</v>
      </c>
      <c r="X187" s="229">
        <v>-1.11E-2</v>
      </c>
      <c r="Y187" s="228">
        <v>13.9</v>
      </c>
      <c r="Z187" s="228">
        <v>2.1</v>
      </c>
      <c r="AA187" s="228">
        <v>11.8</v>
      </c>
      <c r="AB187" s="229">
        <v>4.1999999999999997E-3</v>
      </c>
      <c r="AC187" s="228">
        <v>13.9</v>
      </c>
      <c r="AD187" s="228">
        <v>2.1</v>
      </c>
      <c r="AE187" s="228">
        <v>11.8</v>
      </c>
      <c r="AF187" s="229">
        <v>4.1999999999999997E-3</v>
      </c>
      <c r="AG187" s="228">
        <v>25</v>
      </c>
      <c r="AH187" s="228">
        <v>9.4</v>
      </c>
      <c r="AI187" s="228">
        <v>15.6</v>
      </c>
      <c r="AJ187" s="229">
        <v>7.4999999999999997E-3</v>
      </c>
      <c r="AK187" s="228">
        <v>46.2</v>
      </c>
      <c r="AL187" s="228">
        <v>23.6</v>
      </c>
      <c r="AM187" s="228">
        <v>22.6</v>
      </c>
      <c r="AN187" s="229">
        <v>1.38E-2</v>
      </c>
      <c r="AO187" s="231">
        <v>3365.8</v>
      </c>
      <c r="AP187" s="231">
        <v>3384.03</v>
      </c>
      <c r="AQ187" s="228">
        <v>0</v>
      </c>
      <c r="AR187" s="230">
        <v>499450</v>
      </c>
      <c r="AS187" s="230">
        <v>1435350</v>
      </c>
      <c r="AT187" s="230">
        <v>-935900</v>
      </c>
      <c r="AU187" s="229">
        <v>-0.65200000000000002</v>
      </c>
      <c r="AV187" s="230">
        <v>447825</v>
      </c>
      <c r="AW187" s="230">
        <v>1190875</v>
      </c>
      <c r="AX187" s="230">
        <v>-743050</v>
      </c>
      <c r="AY187" s="229">
        <v>-0.624</v>
      </c>
      <c r="AZ187" s="230">
        <v>47950</v>
      </c>
      <c r="BA187" s="230">
        <v>234500</v>
      </c>
      <c r="BB187" s="230">
        <v>-186550</v>
      </c>
      <c r="BC187" s="229">
        <v>-0.79549999999999998</v>
      </c>
      <c r="BD187" s="230">
        <v>3675</v>
      </c>
      <c r="BE187" s="230">
        <v>9975</v>
      </c>
      <c r="BF187" s="230">
        <v>-6300</v>
      </c>
      <c r="BG187" s="229">
        <v>-0.63160000000000005</v>
      </c>
      <c r="BH187" s="230">
        <v>2383500</v>
      </c>
      <c r="BI187" s="230">
        <v>14128100</v>
      </c>
      <c r="BJ187" s="230">
        <v>-11744600</v>
      </c>
      <c r="BK187" s="229">
        <v>-0.83130000000000004</v>
      </c>
      <c r="BL187" s="230">
        <v>1419425</v>
      </c>
      <c r="BM187" s="230">
        <v>3681300</v>
      </c>
      <c r="BN187" s="230">
        <v>-2261875</v>
      </c>
      <c r="BO187" s="229">
        <v>-0.61439999999999995</v>
      </c>
      <c r="BP187" s="230">
        <v>4302375</v>
      </c>
      <c r="BQ187" s="230">
        <v>19244750</v>
      </c>
      <c r="BR187" s="230">
        <v>-14942375</v>
      </c>
      <c r="BS187" s="229">
        <v>-0.77639999999999998</v>
      </c>
      <c r="BT187" s="230">
        <v>310827</v>
      </c>
      <c r="BU187" s="230">
        <v>940988</v>
      </c>
      <c r="BV187" s="230">
        <v>-630161</v>
      </c>
      <c r="BW187" s="229">
        <v>-0.66969999999999996</v>
      </c>
      <c r="BX187" s="230">
        <v>2241050</v>
      </c>
      <c r="BY187" s="230">
        <v>2214800</v>
      </c>
      <c r="BZ187" s="230">
        <v>26250</v>
      </c>
      <c r="CA187" s="229">
        <v>1.1900000000000001E-2</v>
      </c>
      <c r="CB187" s="230">
        <v>2007775</v>
      </c>
      <c r="CC187" s="230">
        <v>1976450</v>
      </c>
      <c r="CD187" s="230">
        <v>31325</v>
      </c>
      <c r="CE187" s="229">
        <v>1.5800000000000002E-2</v>
      </c>
      <c r="CF187" s="230">
        <v>221900</v>
      </c>
      <c r="CG187" s="230">
        <v>227500</v>
      </c>
      <c r="CH187" s="230">
        <v>-5600</v>
      </c>
      <c r="CI187" s="229">
        <v>-2.46E-2</v>
      </c>
      <c r="CJ187" s="230">
        <v>11375</v>
      </c>
      <c r="CK187" s="230">
        <v>10850</v>
      </c>
      <c r="CL187" s="228">
        <v>525</v>
      </c>
      <c r="CM187" s="229">
        <v>4.8399999999999999E-2</v>
      </c>
      <c r="CN187" s="230">
        <v>1323525</v>
      </c>
      <c r="CO187" s="230">
        <v>1426775</v>
      </c>
      <c r="CP187" s="230">
        <v>-103250</v>
      </c>
      <c r="CQ187" s="229">
        <v>-7.2400000000000006E-2</v>
      </c>
      <c r="CR187" s="230">
        <v>784700</v>
      </c>
      <c r="CS187" s="230">
        <v>871500</v>
      </c>
      <c r="CT187" s="230">
        <v>-86800</v>
      </c>
      <c r="CU187" s="229">
        <v>-9.9599999999999994E-2</v>
      </c>
      <c r="CV187" s="230">
        <v>4349275</v>
      </c>
      <c r="CW187" s="230">
        <v>4513075</v>
      </c>
      <c r="CX187" s="230">
        <v>-163800</v>
      </c>
      <c r="CY187" s="229">
        <v>-3.6299999999999999E-2</v>
      </c>
      <c r="CZ187" s="228">
        <v>26.17</v>
      </c>
      <c r="DA187" s="228">
        <v>26.81</v>
      </c>
      <c r="DB187" s="228">
        <v>-0.64</v>
      </c>
      <c r="DC187" s="228">
        <v>-0.64</v>
      </c>
      <c r="DD187" s="228">
        <v>39.950000000000003</v>
      </c>
      <c r="DE187" s="228">
        <v>40</v>
      </c>
      <c r="DF187" s="228">
        <v>-13.78</v>
      </c>
      <c r="DG187" s="228">
        <v>-0.05</v>
      </c>
      <c r="DH187" s="228">
        <v>26.78</v>
      </c>
      <c r="DI187" s="228">
        <v>26.69</v>
      </c>
      <c r="DJ187" s="228">
        <v>0.09</v>
      </c>
      <c r="DK187" s="228">
        <v>0.09</v>
      </c>
      <c r="DL187" s="228">
        <v>25.16</v>
      </c>
      <c r="DM187" s="228">
        <v>27.3</v>
      </c>
      <c r="DN187" s="228">
        <v>-2.14</v>
      </c>
      <c r="DO187" s="228">
        <v>-2.14</v>
      </c>
      <c r="DP187" s="228">
        <v>0.59</v>
      </c>
      <c r="DQ187" s="228">
        <v>0.61</v>
      </c>
      <c r="DR187" s="228">
        <v>-0.02</v>
      </c>
      <c r="DS187" s="229">
        <v>-3.2800000000000003E-2</v>
      </c>
      <c r="DT187" s="231">
        <v>3600</v>
      </c>
      <c r="DU187" s="231">
        <v>3200</v>
      </c>
      <c r="DV187" s="228">
        <v>0.6</v>
      </c>
      <c r="DW187" s="228">
        <v>0.26</v>
      </c>
      <c r="DX187" s="228">
        <v>0.34</v>
      </c>
      <c r="DY187" s="229">
        <v>1.3077000000000001</v>
      </c>
      <c r="DZ187" s="229">
        <v>0.1041</v>
      </c>
      <c r="EA187" s="230">
        <v>238350</v>
      </c>
      <c r="EB187" s="229">
        <v>3.3E-3</v>
      </c>
      <c r="EC187" s="229">
        <v>0.1041</v>
      </c>
      <c r="ED187" s="228">
        <v>18.23</v>
      </c>
      <c r="EE187" s="229">
        <v>5.4000000000000003E-3</v>
      </c>
      <c r="EF187" s="230">
        <v>173543</v>
      </c>
      <c r="EG187" s="230">
        <v>260326</v>
      </c>
      <c r="EH187" s="229">
        <v>-0.33339999999999997</v>
      </c>
      <c r="EI187" s="229">
        <v>0.55830000000000002</v>
      </c>
      <c r="EJ187" s="231">
        <v>84041.8</v>
      </c>
      <c r="EK187" s="231">
        <v>47247.02</v>
      </c>
      <c r="EL187" s="231">
        <v>16820.46</v>
      </c>
      <c r="EM187" s="231">
        <v>3520</v>
      </c>
      <c r="EN187" s="231">
        <v>148109.28</v>
      </c>
      <c r="EO187" s="231">
        <v>668229.1</v>
      </c>
      <c r="EP187" s="231">
        <v>-520119.82</v>
      </c>
      <c r="EQ187" s="229">
        <v>-0.77839999999999998</v>
      </c>
      <c r="ER187" s="231">
        <v>47375</v>
      </c>
      <c r="ES187" s="231">
        <v>26003</v>
      </c>
      <c r="ET187" s="231">
        <v>75307</v>
      </c>
      <c r="EU187" s="231">
        <v>7242074</v>
      </c>
      <c r="EV187" s="231">
        <v>148686</v>
      </c>
      <c r="EW187" s="231">
        <v>155648</v>
      </c>
      <c r="EX187" s="231">
        <v>-6962</v>
      </c>
      <c r="EY187" s="229">
        <v>-4.4699999999999997E-2</v>
      </c>
      <c r="EZ187" s="229">
        <v>0.60060000000000002</v>
      </c>
      <c r="FA187" s="227" t="s">
        <v>567</v>
      </c>
      <c r="FB187" s="161">
        <f t="shared" si="4"/>
        <v>0</v>
      </c>
    </row>
    <row r="188" spans="1:158" ht="17.25" thickBot="1" x14ac:dyDescent="0.3">
      <c r="A188" s="226">
        <v>46008</v>
      </c>
      <c r="B188" s="227" t="s">
        <v>161</v>
      </c>
      <c r="C188" s="227" t="s">
        <v>685</v>
      </c>
      <c r="D188" s="228">
        <v>8000</v>
      </c>
      <c r="E188" s="228">
        <v>51.98</v>
      </c>
      <c r="F188" s="228">
        <v>52.81</v>
      </c>
      <c r="G188" s="228">
        <v>-0.83</v>
      </c>
      <c r="H188" s="229">
        <v>-1.5699999999999999E-2</v>
      </c>
      <c r="I188" s="228">
        <v>51.94</v>
      </c>
      <c r="J188" s="228">
        <v>52.67</v>
      </c>
      <c r="K188" s="228">
        <v>-0.73</v>
      </c>
      <c r="L188" s="229">
        <v>-1.3899999999999999E-2</v>
      </c>
      <c r="M188" s="228">
        <v>51.98</v>
      </c>
      <c r="N188" s="228">
        <v>52.81</v>
      </c>
      <c r="O188" s="228">
        <v>-0.83</v>
      </c>
      <c r="P188" s="229">
        <v>-1.5699999999999999E-2</v>
      </c>
      <c r="Q188" s="228">
        <v>52.3</v>
      </c>
      <c r="R188" s="228">
        <v>53.11</v>
      </c>
      <c r="S188" s="228">
        <v>-0.81</v>
      </c>
      <c r="T188" s="229">
        <v>-1.5299999999999999E-2</v>
      </c>
      <c r="U188" s="228">
        <v>52.63</v>
      </c>
      <c r="V188" s="228">
        <v>53.42</v>
      </c>
      <c r="W188" s="228">
        <v>-0.79</v>
      </c>
      <c r="X188" s="229">
        <v>-1.4800000000000001E-2</v>
      </c>
      <c r="Y188" s="228">
        <v>0.04</v>
      </c>
      <c r="Z188" s="228">
        <v>0.14000000000000001</v>
      </c>
      <c r="AA188" s="228">
        <v>-0.1</v>
      </c>
      <c r="AB188" s="229">
        <v>8.0000000000000004E-4</v>
      </c>
      <c r="AC188" s="228">
        <v>0.04</v>
      </c>
      <c r="AD188" s="228">
        <v>0.14000000000000001</v>
      </c>
      <c r="AE188" s="228">
        <v>-0.1</v>
      </c>
      <c r="AF188" s="229">
        <v>8.0000000000000004E-4</v>
      </c>
      <c r="AG188" s="228">
        <v>0.36</v>
      </c>
      <c r="AH188" s="228">
        <v>0.44</v>
      </c>
      <c r="AI188" s="228">
        <v>-0.08</v>
      </c>
      <c r="AJ188" s="229">
        <v>6.8999999999999999E-3</v>
      </c>
      <c r="AK188" s="228">
        <v>0.69</v>
      </c>
      <c r="AL188" s="228">
        <v>0.75</v>
      </c>
      <c r="AM188" s="228">
        <v>-0.06</v>
      </c>
      <c r="AN188" s="229">
        <v>1.3299999999999999E-2</v>
      </c>
      <c r="AO188" s="228">
        <v>52.24</v>
      </c>
      <c r="AP188" s="228">
        <v>52.57</v>
      </c>
      <c r="AQ188" s="228">
        <v>0</v>
      </c>
      <c r="AR188" s="230">
        <v>27296000</v>
      </c>
      <c r="AS188" s="230">
        <v>27824000</v>
      </c>
      <c r="AT188" s="230">
        <v>-528000</v>
      </c>
      <c r="AU188" s="229">
        <v>-1.9E-2</v>
      </c>
      <c r="AV188" s="230">
        <v>19352000</v>
      </c>
      <c r="AW188" s="230">
        <v>19896000</v>
      </c>
      <c r="AX188" s="230">
        <v>-544000</v>
      </c>
      <c r="AY188" s="229">
        <v>-2.7300000000000001E-2</v>
      </c>
      <c r="AZ188" s="230">
        <v>6344000</v>
      </c>
      <c r="BA188" s="230">
        <v>7208000</v>
      </c>
      <c r="BB188" s="230">
        <v>-864000</v>
      </c>
      <c r="BC188" s="229">
        <v>-0.11990000000000001</v>
      </c>
      <c r="BD188" s="230">
        <v>1600000</v>
      </c>
      <c r="BE188" s="230">
        <v>720000</v>
      </c>
      <c r="BF188" s="230">
        <v>880000</v>
      </c>
      <c r="BG188" s="229">
        <v>1.2222</v>
      </c>
      <c r="BH188" s="230">
        <v>119152000</v>
      </c>
      <c r="BI188" s="230">
        <v>109160000</v>
      </c>
      <c r="BJ188" s="230">
        <v>9992000</v>
      </c>
      <c r="BK188" s="229">
        <v>9.1499999999999998E-2</v>
      </c>
      <c r="BL188" s="230">
        <v>27456000</v>
      </c>
      <c r="BM188" s="230">
        <v>27344000</v>
      </c>
      <c r="BN188" s="230">
        <v>112000</v>
      </c>
      <c r="BO188" s="229">
        <v>4.1000000000000003E-3</v>
      </c>
      <c r="BP188" s="230">
        <v>173904000</v>
      </c>
      <c r="BQ188" s="230">
        <v>164328000</v>
      </c>
      <c r="BR188" s="230">
        <v>9576000</v>
      </c>
      <c r="BS188" s="229">
        <v>5.8299999999999998E-2</v>
      </c>
      <c r="BT188" s="230">
        <v>32876945</v>
      </c>
      <c r="BU188" s="230">
        <v>37028276</v>
      </c>
      <c r="BV188" s="230">
        <v>-4151331</v>
      </c>
      <c r="BW188" s="229">
        <v>-0.11210000000000001</v>
      </c>
      <c r="BX188" s="230">
        <v>289059050</v>
      </c>
      <c r="BY188" s="230">
        <v>285268000</v>
      </c>
      <c r="BZ188" s="230">
        <v>3791050</v>
      </c>
      <c r="CA188" s="229">
        <v>1.3299999999999999E-2</v>
      </c>
      <c r="CB188" s="230">
        <v>245360000</v>
      </c>
      <c r="CC188" s="230">
        <v>246280000</v>
      </c>
      <c r="CD188" s="230">
        <v>-920000</v>
      </c>
      <c r="CE188" s="229">
        <v>-3.7000000000000002E-3</v>
      </c>
      <c r="CF188" s="230">
        <v>39610725</v>
      </c>
      <c r="CG188" s="230">
        <v>35359950</v>
      </c>
      <c r="CH188" s="230">
        <v>4250775</v>
      </c>
      <c r="CI188" s="229">
        <v>0.1202</v>
      </c>
      <c r="CJ188" s="230">
        <v>4088325</v>
      </c>
      <c r="CK188" s="230">
        <v>3628050</v>
      </c>
      <c r="CL188" s="230">
        <v>460275</v>
      </c>
      <c r="CM188" s="229">
        <v>0.12690000000000001</v>
      </c>
      <c r="CN188" s="230">
        <v>214290075</v>
      </c>
      <c r="CO188" s="230">
        <v>201989475</v>
      </c>
      <c r="CP188" s="230">
        <v>12300600</v>
      </c>
      <c r="CQ188" s="229">
        <v>6.0900000000000003E-2</v>
      </c>
      <c r="CR188" s="230">
        <v>86875050</v>
      </c>
      <c r="CS188" s="230">
        <v>90668525</v>
      </c>
      <c r="CT188" s="230">
        <v>-3793475</v>
      </c>
      <c r="CU188" s="229">
        <v>-4.1799999999999997E-2</v>
      </c>
      <c r="CV188" s="230">
        <v>590224175</v>
      </c>
      <c r="CW188" s="230">
        <v>577926000</v>
      </c>
      <c r="CX188" s="230">
        <v>12298175</v>
      </c>
      <c r="CY188" s="229">
        <v>2.1299999999999999E-2</v>
      </c>
      <c r="CZ188" s="228">
        <v>35.770000000000003</v>
      </c>
      <c r="DA188" s="228">
        <v>33.979999999999997</v>
      </c>
      <c r="DB188" s="228">
        <v>1.79</v>
      </c>
      <c r="DC188" s="228">
        <v>1.79</v>
      </c>
      <c r="DD188" s="228">
        <v>47.6</v>
      </c>
      <c r="DE188" s="228">
        <v>47.67</v>
      </c>
      <c r="DF188" s="228">
        <v>-11.83</v>
      </c>
      <c r="DG188" s="228">
        <v>-7.0000000000000007E-2</v>
      </c>
      <c r="DH188" s="228">
        <v>37.29</v>
      </c>
      <c r="DI188" s="228">
        <v>34.86</v>
      </c>
      <c r="DJ188" s="228">
        <v>2.4300000000000002</v>
      </c>
      <c r="DK188" s="228">
        <v>2.4300000000000002</v>
      </c>
      <c r="DL188" s="228">
        <v>29.21</v>
      </c>
      <c r="DM188" s="228">
        <v>30.49</v>
      </c>
      <c r="DN188" s="228">
        <v>-1.28</v>
      </c>
      <c r="DO188" s="228">
        <v>-1.28</v>
      </c>
      <c r="DP188" s="228">
        <v>0.41</v>
      </c>
      <c r="DQ188" s="228">
        <v>0.45</v>
      </c>
      <c r="DR188" s="228">
        <v>-0.04</v>
      </c>
      <c r="DS188" s="229">
        <v>-8.8900000000000007E-2</v>
      </c>
      <c r="DT188" s="228">
        <v>60</v>
      </c>
      <c r="DU188" s="228">
        <v>55</v>
      </c>
      <c r="DV188" s="228">
        <v>0.23</v>
      </c>
      <c r="DW188" s="228">
        <v>0.25</v>
      </c>
      <c r="DX188" s="228">
        <v>-0.02</v>
      </c>
      <c r="DY188" s="229">
        <v>-0.08</v>
      </c>
      <c r="DZ188" s="229">
        <v>0.1512</v>
      </c>
      <c r="EA188" s="230">
        <v>38988000</v>
      </c>
      <c r="EB188" s="229">
        <v>6.1999999999999998E-3</v>
      </c>
      <c r="EC188" s="229">
        <v>0.1512</v>
      </c>
      <c r="ED188" s="228">
        <v>0.33</v>
      </c>
      <c r="EE188" s="229">
        <v>6.3E-3</v>
      </c>
      <c r="EF188" s="230">
        <v>15026049</v>
      </c>
      <c r="EG188" s="230">
        <v>17459500</v>
      </c>
      <c r="EH188" s="229">
        <v>-0.1394</v>
      </c>
      <c r="EI188" s="229">
        <v>0.45700000000000002</v>
      </c>
      <c r="EJ188" s="231">
        <v>68892.56</v>
      </c>
      <c r="EK188" s="231">
        <v>14366.58</v>
      </c>
      <c r="EL188" s="231">
        <v>14826.22</v>
      </c>
      <c r="EM188" s="231">
        <v>4286</v>
      </c>
      <c r="EN188" s="231">
        <v>98085.36</v>
      </c>
      <c r="EO188" s="231">
        <v>92976.07</v>
      </c>
      <c r="EP188" s="231">
        <v>5109.29</v>
      </c>
      <c r="EQ188" s="229">
        <v>5.5E-2</v>
      </c>
      <c r="ER188" s="231">
        <v>124052</v>
      </c>
      <c r="ES188" s="231">
        <v>46333</v>
      </c>
      <c r="ET188" s="231">
        <v>150406</v>
      </c>
      <c r="EU188" s="231">
        <v>1813533848</v>
      </c>
      <c r="EV188" s="231">
        <v>320790</v>
      </c>
      <c r="EW188" s="231">
        <v>316477</v>
      </c>
      <c r="EX188" s="231">
        <v>4313</v>
      </c>
      <c r="EY188" s="229">
        <v>1.3599999999999999E-2</v>
      </c>
      <c r="EZ188" s="229">
        <v>0.32550000000000001</v>
      </c>
      <c r="FA188" s="227" t="s">
        <v>567</v>
      </c>
      <c r="FB188" s="161">
        <f t="shared" si="4"/>
        <v>0</v>
      </c>
    </row>
    <row r="189" spans="1:158" ht="17.25" thickBot="1" x14ac:dyDescent="0.3">
      <c r="A189" s="226">
        <v>46008</v>
      </c>
      <c r="B189" s="227" t="s">
        <v>170</v>
      </c>
      <c r="C189" s="227" t="s">
        <v>520</v>
      </c>
      <c r="D189" s="228">
        <v>1000</v>
      </c>
      <c r="E189" s="228">
        <v>647.25</v>
      </c>
      <c r="F189" s="228">
        <v>648.6</v>
      </c>
      <c r="G189" s="228">
        <v>-1.35</v>
      </c>
      <c r="H189" s="229">
        <v>-2.0999999999999999E-3</v>
      </c>
      <c r="I189" s="228">
        <v>646.5</v>
      </c>
      <c r="J189" s="228">
        <v>646.35</v>
      </c>
      <c r="K189" s="228">
        <v>0.15</v>
      </c>
      <c r="L189" s="229">
        <v>2.0000000000000001E-4</v>
      </c>
      <c r="M189" s="228">
        <v>647.25</v>
      </c>
      <c r="N189" s="228">
        <v>648.6</v>
      </c>
      <c r="O189" s="228">
        <v>-1.35</v>
      </c>
      <c r="P189" s="229">
        <v>-2.0999999999999999E-3</v>
      </c>
      <c r="Q189" s="228">
        <v>650.9</v>
      </c>
      <c r="R189" s="228">
        <v>652</v>
      </c>
      <c r="S189" s="228">
        <v>-1.1000000000000001</v>
      </c>
      <c r="T189" s="229">
        <v>-1.6999999999999999E-3</v>
      </c>
      <c r="U189" s="228">
        <v>659.2</v>
      </c>
      <c r="V189" s="228">
        <v>659.2</v>
      </c>
      <c r="W189" s="228">
        <v>0</v>
      </c>
      <c r="X189" s="229">
        <v>0</v>
      </c>
      <c r="Y189" s="228">
        <v>0.75</v>
      </c>
      <c r="Z189" s="228">
        <v>2.25</v>
      </c>
      <c r="AA189" s="228">
        <v>-1.5</v>
      </c>
      <c r="AB189" s="229">
        <v>1.1999999999999999E-3</v>
      </c>
      <c r="AC189" s="228">
        <v>0.75</v>
      </c>
      <c r="AD189" s="228">
        <v>2.25</v>
      </c>
      <c r="AE189" s="228">
        <v>-1.5</v>
      </c>
      <c r="AF189" s="229">
        <v>1.1999999999999999E-3</v>
      </c>
      <c r="AG189" s="228">
        <v>4.4000000000000004</v>
      </c>
      <c r="AH189" s="228">
        <v>5.65</v>
      </c>
      <c r="AI189" s="228">
        <v>-1.25</v>
      </c>
      <c r="AJ189" s="229">
        <v>6.7999999999999996E-3</v>
      </c>
      <c r="AK189" s="228">
        <v>12.7</v>
      </c>
      <c r="AL189" s="228">
        <v>12.85</v>
      </c>
      <c r="AM189" s="228">
        <v>-0.15</v>
      </c>
      <c r="AN189" s="229">
        <v>1.9599999999999999E-2</v>
      </c>
      <c r="AO189" s="228">
        <v>648.14</v>
      </c>
      <c r="AP189" s="228">
        <v>651.49</v>
      </c>
      <c r="AQ189" s="228">
        <v>0</v>
      </c>
      <c r="AR189" s="230">
        <v>798000</v>
      </c>
      <c r="AS189" s="230">
        <v>987000</v>
      </c>
      <c r="AT189" s="230">
        <v>-189000</v>
      </c>
      <c r="AU189" s="229">
        <v>-0.1915</v>
      </c>
      <c r="AV189" s="230">
        <v>711000</v>
      </c>
      <c r="AW189" s="230">
        <v>906000</v>
      </c>
      <c r="AX189" s="230">
        <v>-195000</v>
      </c>
      <c r="AY189" s="229">
        <v>-0.2152</v>
      </c>
      <c r="AZ189" s="230">
        <v>87000</v>
      </c>
      <c r="BA189" s="230">
        <v>79000</v>
      </c>
      <c r="BB189" s="230">
        <v>8000</v>
      </c>
      <c r="BC189" s="229">
        <v>0.1013</v>
      </c>
      <c r="BD189" s="228">
        <v>0</v>
      </c>
      <c r="BE189" s="230">
        <v>2000</v>
      </c>
      <c r="BF189" s="230">
        <v>-2000</v>
      </c>
      <c r="BG189" s="229">
        <v>-1</v>
      </c>
      <c r="BH189" s="230">
        <v>2039000</v>
      </c>
      <c r="BI189" s="230">
        <v>2163000</v>
      </c>
      <c r="BJ189" s="230">
        <v>-124000</v>
      </c>
      <c r="BK189" s="229">
        <v>-5.7299999999999997E-2</v>
      </c>
      <c r="BL189" s="230">
        <v>648000</v>
      </c>
      <c r="BM189" s="230">
        <v>1237000</v>
      </c>
      <c r="BN189" s="230">
        <v>-589000</v>
      </c>
      <c r="BO189" s="229">
        <v>-0.47620000000000001</v>
      </c>
      <c r="BP189" s="230">
        <v>3485000</v>
      </c>
      <c r="BQ189" s="230">
        <v>4387000</v>
      </c>
      <c r="BR189" s="230">
        <v>-902000</v>
      </c>
      <c r="BS189" s="229">
        <v>-0.2056</v>
      </c>
      <c r="BT189" s="230">
        <v>893314</v>
      </c>
      <c r="BU189" s="230">
        <v>498691</v>
      </c>
      <c r="BV189" s="230">
        <v>394623</v>
      </c>
      <c r="BW189" s="229">
        <v>0.7913</v>
      </c>
      <c r="BX189" s="230">
        <v>8493000</v>
      </c>
      <c r="BY189" s="230">
        <v>8546000</v>
      </c>
      <c r="BZ189" s="230">
        <v>-53000</v>
      </c>
      <c r="CA189" s="229">
        <v>-6.1999999999999998E-3</v>
      </c>
      <c r="CB189" s="230">
        <v>8221000</v>
      </c>
      <c r="CC189" s="230">
        <v>8294000</v>
      </c>
      <c r="CD189" s="230">
        <v>-73000</v>
      </c>
      <c r="CE189" s="229">
        <v>-8.8000000000000005E-3</v>
      </c>
      <c r="CF189" s="230">
        <v>261000</v>
      </c>
      <c r="CG189" s="230">
        <v>241000</v>
      </c>
      <c r="CH189" s="230">
        <v>20000</v>
      </c>
      <c r="CI189" s="229">
        <v>8.3000000000000004E-2</v>
      </c>
      <c r="CJ189" s="230">
        <v>11000</v>
      </c>
      <c r="CK189" s="230">
        <v>11000</v>
      </c>
      <c r="CL189" s="228">
        <v>0</v>
      </c>
      <c r="CM189" s="229">
        <v>0</v>
      </c>
      <c r="CN189" s="230">
        <v>3231000</v>
      </c>
      <c r="CO189" s="230">
        <v>2965000</v>
      </c>
      <c r="CP189" s="230">
        <v>266000</v>
      </c>
      <c r="CQ189" s="229">
        <v>8.9700000000000002E-2</v>
      </c>
      <c r="CR189" s="230">
        <v>1601000</v>
      </c>
      <c r="CS189" s="230">
        <v>1584000</v>
      </c>
      <c r="CT189" s="230">
        <v>17000</v>
      </c>
      <c r="CU189" s="229">
        <v>1.0699999999999999E-2</v>
      </c>
      <c r="CV189" s="230">
        <v>13325000</v>
      </c>
      <c r="CW189" s="230">
        <v>13095000</v>
      </c>
      <c r="CX189" s="230">
        <v>230000</v>
      </c>
      <c r="CY189" s="229">
        <v>1.7600000000000001E-2</v>
      </c>
      <c r="CZ189" s="228">
        <v>21.78</v>
      </c>
      <c r="DA189" s="228">
        <v>22.1</v>
      </c>
      <c r="DB189" s="228">
        <v>-0.32</v>
      </c>
      <c r="DC189" s="228">
        <v>-0.32</v>
      </c>
      <c r="DD189" s="228">
        <v>32.43</v>
      </c>
      <c r="DE189" s="228">
        <v>32.51</v>
      </c>
      <c r="DF189" s="228">
        <v>-10.65</v>
      </c>
      <c r="DG189" s="228">
        <v>-0.08</v>
      </c>
      <c r="DH189" s="228">
        <v>21.94</v>
      </c>
      <c r="DI189" s="228">
        <v>22.45</v>
      </c>
      <c r="DJ189" s="228">
        <v>-0.51</v>
      </c>
      <c r="DK189" s="228">
        <v>-0.51</v>
      </c>
      <c r="DL189" s="228">
        <v>21.26</v>
      </c>
      <c r="DM189" s="228">
        <v>21.48</v>
      </c>
      <c r="DN189" s="228">
        <v>-0.22</v>
      </c>
      <c r="DO189" s="228">
        <v>-0.22</v>
      </c>
      <c r="DP189" s="228">
        <v>0.5</v>
      </c>
      <c r="DQ189" s="228">
        <v>0.53</v>
      </c>
      <c r="DR189" s="228">
        <v>-0.03</v>
      </c>
      <c r="DS189" s="229">
        <v>-5.6599999999999998E-2</v>
      </c>
      <c r="DT189" s="228">
        <v>700</v>
      </c>
      <c r="DU189" s="228">
        <v>630</v>
      </c>
      <c r="DV189" s="228">
        <v>0.32</v>
      </c>
      <c r="DW189" s="228">
        <v>0.56999999999999995</v>
      </c>
      <c r="DX189" s="228">
        <v>-0.25</v>
      </c>
      <c r="DY189" s="229">
        <v>-0.43859999999999999</v>
      </c>
      <c r="DZ189" s="229">
        <v>3.2000000000000001E-2</v>
      </c>
      <c r="EA189" s="230">
        <v>252000</v>
      </c>
      <c r="EB189" s="229">
        <v>5.5999999999999999E-3</v>
      </c>
      <c r="EC189" s="229">
        <v>3.2000000000000001E-2</v>
      </c>
      <c r="ED189" s="228">
        <v>3.35</v>
      </c>
      <c r="EE189" s="229">
        <v>5.1999999999999998E-3</v>
      </c>
      <c r="EF189" s="230">
        <v>718009</v>
      </c>
      <c r="EG189" s="230">
        <v>323932</v>
      </c>
      <c r="EH189" s="229">
        <v>1.2164999999999999</v>
      </c>
      <c r="EI189" s="229">
        <v>0.80379999999999996</v>
      </c>
      <c r="EJ189" s="231">
        <v>13820.56</v>
      </c>
      <c r="EK189" s="231">
        <v>4141.0600000000004</v>
      </c>
      <c r="EL189" s="231">
        <v>5175.07</v>
      </c>
      <c r="EM189" s="231">
        <v>1204</v>
      </c>
      <c r="EN189" s="231">
        <v>23136.69</v>
      </c>
      <c r="EO189" s="231">
        <v>29080.46</v>
      </c>
      <c r="EP189" s="231">
        <v>-5943.77</v>
      </c>
      <c r="EQ189" s="229">
        <v>-0.2044</v>
      </c>
      <c r="ER189" s="231">
        <v>21993</v>
      </c>
      <c r="ES189" s="231">
        <v>10047</v>
      </c>
      <c r="ET189" s="231">
        <v>54982</v>
      </c>
      <c r="EU189" s="231">
        <v>28408333</v>
      </c>
      <c r="EV189" s="231">
        <v>87021</v>
      </c>
      <c r="EW189" s="231">
        <v>85540</v>
      </c>
      <c r="EX189" s="231">
        <v>1481</v>
      </c>
      <c r="EY189" s="229">
        <v>1.7299999999999999E-2</v>
      </c>
      <c r="EZ189" s="229">
        <v>0.46910000000000002</v>
      </c>
      <c r="FA189" s="227" t="s">
        <v>568</v>
      </c>
      <c r="FB189" s="161">
        <f t="shared" si="4"/>
        <v>0</v>
      </c>
    </row>
    <row r="190" spans="1:158" ht="17.25" thickBot="1" x14ac:dyDescent="0.3">
      <c r="A190" s="226">
        <v>46008</v>
      </c>
      <c r="B190" s="227" t="s">
        <v>168</v>
      </c>
      <c r="C190" s="227" t="s">
        <v>291</v>
      </c>
      <c r="D190" s="228">
        <v>550</v>
      </c>
      <c r="E190" s="231">
        <v>1180.5</v>
      </c>
      <c r="F190" s="231">
        <v>1174.5999999999999</v>
      </c>
      <c r="G190" s="228">
        <v>5.9</v>
      </c>
      <c r="H190" s="229">
        <v>5.0000000000000001E-3</v>
      </c>
      <c r="I190" s="231">
        <v>1179.8</v>
      </c>
      <c r="J190" s="231">
        <v>1169.9000000000001</v>
      </c>
      <c r="K190" s="228">
        <v>9.9</v>
      </c>
      <c r="L190" s="229">
        <v>8.5000000000000006E-3</v>
      </c>
      <c r="M190" s="231">
        <v>1180.5</v>
      </c>
      <c r="N190" s="231">
        <v>1174.5999999999999</v>
      </c>
      <c r="O190" s="228">
        <v>5.9</v>
      </c>
      <c r="P190" s="229">
        <v>5.0000000000000001E-3</v>
      </c>
      <c r="Q190" s="231">
        <v>1188.4000000000001</v>
      </c>
      <c r="R190" s="231">
        <v>1181.3</v>
      </c>
      <c r="S190" s="228">
        <v>7.1</v>
      </c>
      <c r="T190" s="229">
        <v>6.0000000000000001E-3</v>
      </c>
      <c r="U190" s="231">
        <v>1194.5999999999999</v>
      </c>
      <c r="V190" s="231">
        <v>1186</v>
      </c>
      <c r="W190" s="228">
        <v>8.6</v>
      </c>
      <c r="X190" s="229">
        <v>7.3000000000000001E-3</v>
      </c>
      <c r="Y190" s="228">
        <v>0.7</v>
      </c>
      <c r="Z190" s="228">
        <v>4.7</v>
      </c>
      <c r="AA190" s="228">
        <v>-4</v>
      </c>
      <c r="AB190" s="229">
        <v>5.9999999999999995E-4</v>
      </c>
      <c r="AC190" s="228">
        <v>0.7</v>
      </c>
      <c r="AD190" s="228">
        <v>4.7</v>
      </c>
      <c r="AE190" s="228">
        <v>-4</v>
      </c>
      <c r="AF190" s="229">
        <v>5.9999999999999995E-4</v>
      </c>
      <c r="AG190" s="228">
        <v>8.6</v>
      </c>
      <c r="AH190" s="228">
        <v>11.4</v>
      </c>
      <c r="AI190" s="228">
        <v>-2.8</v>
      </c>
      <c r="AJ190" s="229">
        <v>7.3000000000000001E-3</v>
      </c>
      <c r="AK190" s="228">
        <v>14.8</v>
      </c>
      <c r="AL190" s="228">
        <v>16.100000000000001</v>
      </c>
      <c r="AM190" s="228">
        <v>-1.3</v>
      </c>
      <c r="AN190" s="229">
        <v>1.2500000000000001E-2</v>
      </c>
      <c r="AO190" s="231">
        <v>1181.32</v>
      </c>
      <c r="AP190" s="231">
        <v>1188.96</v>
      </c>
      <c r="AQ190" s="228">
        <v>0</v>
      </c>
      <c r="AR190" s="230">
        <v>1807850</v>
      </c>
      <c r="AS190" s="230">
        <v>2954600</v>
      </c>
      <c r="AT190" s="230">
        <v>-1146750</v>
      </c>
      <c r="AU190" s="229">
        <v>-0.3881</v>
      </c>
      <c r="AV190" s="230">
        <v>1531200</v>
      </c>
      <c r="AW190" s="230">
        <v>2614700</v>
      </c>
      <c r="AX190" s="230">
        <v>-1083500</v>
      </c>
      <c r="AY190" s="229">
        <v>-0.41439999999999999</v>
      </c>
      <c r="AZ190" s="230">
        <v>269500</v>
      </c>
      <c r="BA190" s="230">
        <v>334400</v>
      </c>
      <c r="BB190" s="230">
        <v>-64900</v>
      </c>
      <c r="BC190" s="229">
        <v>-0.19409999999999999</v>
      </c>
      <c r="BD190" s="230">
        <v>7150</v>
      </c>
      <c r="BE190" s="230">
        <v>5500</v>
      </c>
      <c r="BF190" s="230">
        <v>1650</v>
      </c>
      <c r="BG190" s="229">
        <v>0.3</v>
      </c>
      <c r="BH190" s="230">
        <v>6579100</v>
      </c>
      <c r="BI190" s="230">
        <v>9253200</v>
      </c>
      <c r="BJ190" s="230">
        <v>-2674100</v>
      </c>
      <c r="BK190" s="229">
        <v>-0.28899999999999998</v>
      </c>
      <c r="BL190" s="230">
        <v>2720850</v>
      </c>
      <c r="BM190" s="230">
        <v>2679050</v>
      </c>
      <c r="BN190" s="230">
        <v>41800</v>
      </c>
      <c r="BO190" s="229">
        <v>1.5599999999999999E-2</v>
      </c>
      <c r="BP190" s="230">
        <v>11107800</v>
      </c>
      <c r="BQ190" s="230">
        <v>14886850</v>
      </c>
      <c r="BR190" s="230">
        <v>-3779050</v>
      </c>
      <c r="BS190" s="229">
        <v>-0.25390000000000001</v>
      </c>
      <c r="BT190" s="230">
        <v>1525990</v>
      </c>
      <c r="BU190" s="230">
        <v>1212282</v>
      </c>
      <c r="BV190" s="230">
        <v>313708</v>
      </c>
      <c r="BW190" s="229">
        <v>0.25879999999999997</v>
      </c>
      <c r="BX190" s="230">
        <v>12340900</v>
      </c>
      <c r="BY190" s="230">
        <v>12297450</v>
      </c>
      <c r="BZ190" s="230">
        <v>43450</v>
      </c>
      <c r="CA190" s="229">
        <v>3.5000000000000001E-3</v>
      </c>
      <c r="CB190" s="230">
        <v>11279950</v>
      </c>
      <c r="CC190" s="230">
        <v>11376750</v>
      </c>
      <c r="CD190" s="230">
        <v>-96800</v>
      </c>
      <c r="CE190" s="229">
        <v>-8.5000000000000006E-3</v>
      </c>
      <c r="CF190" s="230">
        <v>1010900</v>
      </c>
      <c r="CG190" s="230">
        <v>871750</v>
      </c>
      <c r="CH190" s="230">
        <v>139150</v>
      </c>
      <c r="CI190" s="229">
        <v>0.15959999999999999</v>
      </c>
      <c r="CJ190" s="230">
        <v>50050</v>
      </c>
      <c r="CK190" s="230">
        <v>48950</v>
      </c>
      <c r="CL190" s="230">
        <v>1100</v>
      </c>
      <c r="CM190" s="229">
        <v>2.2499999999999999E-2</v>
      </c>
      <c r="CN190" s="230">
        <v>5739800</v>
      </c>
      <c r="CO190" s="230">
        <v>5707900</v>
      </c>
      <c r="CP190" s="230">
        <v>31900</v>
      </c>
      <c r="CQ190" s="229">
        <v>5.5999999999999999E-3</v>
      </c>
      <c r="CR190" s="230">
        <v>3068450</v>
      </c>
      <c r="CS190" s="230">
        <v>2947450</v>
      </c>
      <c r="CT190" s="230">
        <v>121000</v>
      </c>
      <c r="CU190" s="229">
        <v>4.1099999999999998E-2</v>
      </c>
      <c r="CV190" s="230">
        <v>21149150</v>
      </c>
      <c r="CW190" s="230">
        <v>20952800</v>
      </c>
      <c r="CX190" s="230">
        <v>196350</v>
      </c>
      <c r="CY190" s="229">
        <v>9.4000000000000004E-3</v>
      </c>
      <c r="CZ190" s="228">
        <v>20.260000000000002</v>
      </c>
      <c r="DA190" s="228">
        <v>20.5</v>
      </c>
      <c r="DB190" s="228">
        <v>-0.24</v>
      </c>
      <c r="DC190" s="228">
        <v>-0.24</v>
      </c>
      <c r="DD190" s="228">
        <v>25.97</v>
      </c>
      <c r="DE190" s="228">
        <v>26.01</v>
      </c>
      <c r="DF190" s="228">
        <v>-5.71</v>
      </c>
      <c r="DG190" s="228">
        <v>-0.04</v>
      </c>
      <c r="DH190" s="228">
        <v>20.440000000000001</v>
      </c>
      <c r="DI190" s="228">
        <v>20.57</v>
      </c>
      <c r="DJ190" s="228">
        <v>-0.13</v>
      </c>
      <c r="DK190" s="228">
        <v>-0.13</v>
      </c>
      <c r="DL190" s="228">
        <v>19.829999999999998</v>
      </c>
      <c r="DM190" s="228">
        <v>20.239999999999998</v>
      </c>
      <c r="DN190" s="228">
        <v>-0.41</v>
      </c>
      <c r="DO190" s="228">
        <v>-0.41</v>
      </c>
      <c r="DP190" s="228">
        <v>0.53</v>
      </c>
      <c r="DQ190" s="228">
        <v>0.52</v>
      </c>
      <c r="DR190" s="228">
        <v>0.01</v>
      </c>
      <c r="DS190" s="229">
        <v>1.9199999999999998E-2</v>
      </c>
      <c r="DT190" s="231">
        <v>1200</v>
      </c>
      <c r="DU190" s="231">
        <v>1070</v>
      </c>
      <c r="DV190" s="228">
        <v>0.41</v>
      </c>
      <c r="DW190" s="228">
        <v>0.28999999999999998</v>
      </c>
      <c r="DX190" s="228">
        <v>0.12</v>
      </c>
      <c r="DY190" s="229">
        <v>0.4138</v>
      </c>
      <c r="DZ190" s="229">
        <v>8.5999999999999993E-2</v>
      </c>
      <c r="EA190" s="230">
        <v>920700</v>
      </c>
      <c r="EB190" s="229">
        <v>6.7000000000000002E-3</v>
      </c>
      <c r="EC190" s="229">
        <v>8.5999999999999993E-2</v>
      </c>
      <c r="ED190" s="228">
        <v>7.64</v>
      </c>
      <c r="EE190" s="229">
        <v>6.4999999999999997E-3</v>
      </c>
      <c r="EF190" s="230">
        <v>951001</v>
      </c>
      <c r="EG190" s="230">
        <v>595421</v>
      </c>
      <c r="EH190" s="229">
        <v>0.59719999999999995</v>
      </c>
      <c r="EI190" s="229">
        <v>0.62319999999999998</v>
      </c>
      <c r="EJ190" s="231">
        <v>79741.740000000005</v>
      </c>
      <c r="EK190" s="231">
        <v>31619.97</v>
      </c>
      <c r="EL190" s="231">
        <v>21378.03</v>
      </c>
      <c r="EM190" s="231">
        <v>2991</v>
      </c>
      <c r="EN190" s="231">
        <v>132739.74</v>
      </c>
      <c r="EO190" s="231">
        <v>177143.46</v>
      </c>
      <c r="EP190" s="231">
        <v>-44403.72</v>
      </c>
      <c r="EQ190" s="229">
        <v>-0.25069999999999998</v>
      </c>
      <c r="ER190" s="231">
        <v>70225</v>
      </c>
      <c r="ES190" s="231">
        <v>34600</v>
      </c>
      <c r="ET190" s="231">
        <v>145771</v>
      </c>
      <c r="EU190" s="231">
        <v>65471528</v>
      </c>
      <c r="EV190" s="231">
        <v>250597</v>
      </c>
      <c r="EW190" s="231">
        <v>247379</v>
      </c>
      <c r="EX190" s="231">
        <v>3218</v>
      </c>
      <c r="EY190" s="229">
        <v>1.2999999999999999E-2</v>
      </c>
      <c r="EZ190" s="229">
        <v>0.32300000000000001</v>
      </c>
      <c r="FA190" s="227" t="s">
        <v>555</v>
      </c>
      <c r="FB190" s="161">
        <f t="shared" si="4"/>
        <v>0</v>
      </c>
    </row>
    <row r="191" spans="1:158" ht="17.25" thickBot="1" x14ac:dyDescent="0.3">
      <c r="A191" s="226">
        <v>46008</v>
      </c>
      <c r="B191" s="227" t="s">
        <v>221</v>
      </c>
      <c r="C191" s="227" t="s">
        <v>604</v>
      </c>
      <c r="D191" s="228">
        <v>100</v>
      </c>
      <c r="E191" s="231">
        <v>4985.5</v>
      </c>
      <c r="F191" s="231">
        <v>5013.5</v>
      </c>
      <c r="G191" s="228">
        <v>-28</v>
      </c>
      <c r="H191" s="229">
        <v>-5.5999999999999999E-3</v>
      </c>
      <c r="I191" s="231">
        <v>4968.5</v>
      </c>
      <c r="J191" s="231">
        <v>4998</v>
      </c>
      <c r="K191" s="228">
        <v>-29.5</v>
      </c>
      <c r="L191" s="229">
        <v>-5.8999999999999999E-3</v>
      </c>
      <c r="M191" s="231">
        <v>4985.5</v>
      </c>
      <c r="N191" s="231">
        <v>5013.5</v>
      </c>
      <c r="O191" s="228">
        <v>-28</v>
      </c>
      <c r="P191" s="229">
        <v>-5.5999999999999999E-3</v>
      </c>
      <c r="Q191" s="231">
        <v>5008</v>
      </c>
      <c r="R191" s="231">
        <v>5038</v>
      </c>
      <c r="S191" s="228">
        <v>-30</v>
      </c>
      <c r="T191" s="229">
        <v>-6.0000000000000001E-3</v>
      </c>
      <c r="U191" s="231">
        <v>5026</v>
      </c>
      <c r="V191" s="231">
        <v>5060</v>
      </c>
      <c r="W191" s="228">
        <v>-34</v>
      </c>
      <c r="X191" s="229">
        <v>-6.7000000000000002E-3</v>
      </c>
      <c r="Y191" s="228">
        <v>17</v>
      </c>
      <c r="Z191" s="228">
        <v>15.5</v>
      </c>
      <c r="AA191" s="228">
        <v>1.5</v>
      </c>
      <c r="AB191" s="229">
        <v>3.3999999999999998E-3</v>
      </c>
      <c r="AC191" s="228">
        <v>17</v>
      </c>
      <c r="AD191" s="228">
        <v>15.5</v>
      </c>
      <c r="AE191" s="228">
        <v>1.5</v>
      </c>
      <c r="AF191" s="229">
        <v>3.3999999999999998E-3</v>
      </c>
      <c r="AG191" s="228">
        <v>39.5</v>
      </c>
      <c r="AH191" s="228">
        <v>40</v>
      </c>
      <c r="AI191" s="228">
        <v>-0.5</v>
      </c>
      <c r="AJ191" s="229">
        <v>8.0000000000000002E-3</v>
      </c>
      <c r="AK191" s="228">
        <v>57.5</v>
      </c>
      <c r="AL191" s="228">
        <v>62</v>
      </c>
      <c r="AM191" s="228">
        <v>-4.5</v>
      </c>
      <c r="AN191" s="229">
        <v>1.1599999999999999E-2</v>
      </c>
      <c r="AO191" s="231">
        <v>5010.38</v>
      </c>
      <c r="AP191" s="231">
        <v>5028.3500000000004</v>
      </c>
      <c r="AQ191" s="228">
        <v>0</v>
      </c>
      <c r="AR191" s="230">
        <v>154700</v>
      </c>
      <c r="AS191" s="230">
        <v>193000</v>
      </c>
      <c r="AT191" s="230">
        <v>-38300</v>
      </c>
      <c r="AU191" s="229">
        <v>-0.19839999999999999</v>
      </c>
      <c r="AV191" s="230">
        <v>129500</v>
      </c>
      <c r="AW191" s="230">
        <v>169200</v>
      </c>
      <c r="AX191" s="230">
        <v>-39700</v>
      </c>
      <c r="AY191" s="229">
        <v>-0.2346</v>
      </c>
      <c r="AZ191" s="230">
        <v>23600</v>
      </c>
      <c r="BA191" s="230">
        <v>21300</v>
      </c>
      <c r="BB191" s="230">
        <v>2300</v>
      </c>
      <c r="BC191" s="229">
        <v>0.108</v>
      </c>
      <c r="BD191" s="230">
        <v>1600</v>
      </c>
      <c r="BE191" s="230">
        <v>2500</v>
      </c>
      <c r="BF191" s="228">
        <v>-900</v>
      </c>
      <c r="BG191" s="229">
        <v>-0.36</v>
      </c>
      <c r="BH191" s="230">
        <v>673500</v>
      </c>
      <c r="BI191" s="230">
        <v>565300</v>
      </c>
      <c r="BJ191" s="230">
        <v>108200</v>
      </c>
      <c r="BK191" s="229">
        <v>0.19139999999999999</v>
      </c>
      <c r="BL191" s="230">
        <v>277000</v>
      </c>
      <c r="BM191" s="230">
        <v>289600</v>
      </c>
      <c r="BN191" s="230">
        <v>-12600</v>
      </c>
      <c r="BO191" s="229">
        <v>-4.3499999999999997E-2</v>
      </c>
      <c r="BP191" s="230">
        <v>1105200</v>
      </c>
      <c r="BQ191" s="230">
        <v>1047900</v>
      </c>
      <c r="BR191" s="230">
        <v>57300</v>
      </c>
      <c r="BS191" s="229">
        <v>5.4699999999999999E-2</v>
      </c>
      <c r="BT191" s="230">
        <v>76174</v>
      </c>
      <c r="BU191" s="230">
        <v>69095</v>
      </c>
      <c r="BV191" s="230">
        <v>7079</v>
      </c>
      <c r="BW191" s="229">
        <v>0.10249999999999999</v>
      </c>
      <c r="BX191" s="230">
        <v>1939100</v>
      </c>
      <c r="BY191" s="230">
        <v>1936100</v>
      </c>
      <c r="BZ191" s="230">
        <v>3000</v>
      </c>
      <c r="CA191" s="229">
        <v>1.5E-3</v>
      </c>
      <c r="CB191" s="230">
        <v>1769100</v>
      </c>
      <c r="CC191" s="230">
        <v>1768900</v>
      </c>
      <c r="CD191" s="228">
        <v>200</v>
      </c>
      <c r="CE191" s="229">
        <v>1E-4</v>
      </c>
      <c r="CF191" s="230">
        <v>141300</v>
      </c>
      <c r="CG191" s="230">
        <v>138800</v>
      </c>
      <c r="CH191" s="230">
        <v>2500</v>
      </c>
      <c r="CI191" s="229">
        <v>1.7999999999999999E-2</v>
      </c>
      <c r="CJ191" s="230">
        <v>28700</v>
      </c>
      <c r="CK191" s="230">
        <v>28400</v>
      </c>
      <c r="CL191" s="228">
        <v>300</v>
      </c>
      <c r="CM191" s="229">
        <v>1.06E-2</v>
      </c>
      <c r="CN191" s="230">
        <v>1558400</v>
      </c>
      <c r="CO191" s="230">
        <v>1523000</v>
      </c>
      <c r="CP191" s="230">
        <v>35400</v>
      </c>
      <c r="CQ191" s="229">
        <v>2.3199999999999998E-2</v>
      </c>
      <c r="CR191" s="230">
        <v>584200</v>
      </c>
      <c r="CS191" s="230">
        <v>578200</v>
      </c>
      <c r="CT191" s="230">
        <v>6000</v>
      </c>
      <c r="CU191" s="229">
        <v>1.04E-2</v>
      </c>
      <c r="CV191" s="230">
        <v>4081700</v>
      </c>
      <c r="CW191" s="230">
        <v>4037300</v>
      </c>
      <c r="CX191" s="230">
        <v>44400</v>
      </c>
      <c r="CY191" s="229">
        <v>1.0999999999999999E-2</v>
      </c>
      <c r="CZ191" s="228">
        <v>25.11</v>
      </c>
      <c r="DA191" s="228">
        <v>25.16</v>
      </c>
      <c r="DB191" s="228">
        <v>-0.05</v>
      </c>
      <c r="DC191" s="228">
        <v>-0.05</v>
      </c>
      <c r="DD191" s="228">
        <v>34.840000000000003</v>
      </c>
      <c r="DE191" s="228">
        <v>34.92</v>
      </c>
      <c r="DF191" s="228">
        <v>-9.73</v>
      </c>
      <c r="DG191" s="228">
        <v>-0.08</v>
      </c>
      <c r="DH191" s="228">
        <v>25.83</v>
      </c>
      <c r="DI191" s="228">
        <v>25.78</v>
      </c>
      <c r="DJ191" s="228">
        <v>0.05</v>
      </c>
      <c r="DK191" s="228">
        <v>0.05</v>
      </c>
      <c r="DL191" s="228">
        <v>23.36</v>
      </c>
      <c r="DM191" s="228">
        <v>23.96</v>
      </c>
      <c r="DN191" s="228">
        <v>-0.6</v>
      </c>
      <c r="DO191" s="228">
        <v>-0.6</v>
      </c>
      <c r="DP191" s="228">
        <v>0.37</v>
      </c>
      <c r="DQ191" s="228">
        <v>0.38</v>
      </c>
      <c r="DR191" s="228">
        <v>-0.01</v>
      </c>
      <c r="DS191" s="229">
        <v>-2.63E-2</v>
      </c>
      <c r="DT191" s="231">
        <v>5300</v>
      </c>
      <c r="DU191" s="231">
        <v>5300</v>
      </c>
      <c r="DV191" s="228">
        <v>0.41</v>
      </c>
      <c r="DW191" s="228">
        <v>0.51</v>
      </c>
      <c r="DX191" s="228">
        <v>-0.1</v>
      </c>
      <c r="DY191" s="229">
        <v>-0.1961</v>
      </c>
      <c r="DZ191" s="229">
        <v>8.77E-2</v>
      </c>
      <c r="EA191" s="230">
        <v>167200</v>
      </c>
      <c r="EB191" s="229">
        <v>4.4999999999999997E-3</v>
      </c>
      <c r="EC191" s="229">
        <v>8.77E-2</v>
      </c>
      <c r="ED191" s="228">
        <v>17.97</v>
      </c>
      <c r="EE191" s="229">
        <v>3.5999999999999999E-3</v>
      </c>
      <c r="EF191" s="230">
        <v>27961</v>
      </c>
      <c r="EG191" s="230">
        <v>28093</v>
      </c>
      <c r="EH191" s="229">
        <v>-4.7000000000000002E-3</v>
      </c>
      <c r="EI191" s="229">
        <v>0.36709999999999998</v>
      </c>
      <c r="EJ191" s="231">
        <v>35354.050000000003</v>
      </c>
      <c r="EK191" s="231">
        <v>13674.45</v>
      </c>
      <c r="EL191" s="231">
        <v>7756.14</v>
      </c>
      <c r="EM191" s="231">
        <v>2796</v>
      </c>
      <c r="EN191" s="231">
        <v>56784.639999999999</v>
      </c>
      <c r="EO191" s="231">
        <v>53831.88</v>
      </c>
      <c r="EP191" s="231">
        <v>2952.76</v>
      </c>
      <c r="EQ191" s="229">
        <v>5.4899999999999997E-2</v>
      </c>
      <c r="ER191" s="231">
        <v>83076</v>
      </c>
      <c r="ES191" s="231">
        <v>29233</v>
      </c>
      <c r="ET191" s="231">
        <v>96717</v>
      </c>
      <c r="EU191" s="231">
        <v>4309631</v>
      </c>
      <c r="EV191" s="231">
        <v>209026</v>
      </c>
      <c r="EW191" s="231">
        <v>207386</v>
      </c>
      <c r="EX191" s="231">
        <v>1640</v>
      </c>
      <c r="EY191" s="229">
        <v>7.9000000000000008E-3</v>
      </c>
      <c r="EZ191" s="229">
        <v>0.94710000000000005</v>
      </c>
      <c r="FA191" s="227" t="s">
        <v>567</v>
      </c>
      <c r="FB191" s="161">
        <f t="shared" si="4"/>
        <v>0</v>
      </c>
    </row>
    <row r="192" spans="1:158" ht="17.25" thickBot="1" x14ac:dyDescent="0.3">
      <c r="A192" s="226">
        <v>46008</v>
      </c>
      <c r="B192" s="227" t="s">
        <v>161</v>
      </c>
      <c r="C192" s="227" t="s">
        <v>293</v>
      </c>
      <c r="D192" s="228">
        <v>1450</v>
      </c>
      <c r="E192" s="228">
        <v>379.55</v>
      </c>
      <c r="F192" s="228">
        <v>381.45</v>
      </c>
      <c r="G192" s="228">
        <v>-1.9</v>
      </c>
      <c r="H192" s="229">
        <v>-5.0000000000000001E-3</v>
      </c>
      <c r="I192" s="228">
        <v>378.55</v>
      </c>
      <c r="J192" s="228">
        <v>379.85</v>
      </c>
      <c r="K192" s="228">
        <v>-1.3</v>
      </c>
      <c r="L192" s="229">
        <v>-3.3999999999999998E-3</v>
      </c>
      <c r="M192" s="228">
        <v>379.55</v>
      </c>
      <c r="N192" s="228">
        <v>381.45</v>
      </c>
      <c r="O192" s="228">
        <v>-1.9</v>
      </c>
      <c r="P192" s="229">
        <v>-5.0000000000000001E-3</v>
      </c>
      <c r="Q192" s="228">
        <v>381.9</v>
      </c>
      <c r="R192" s="228">
        <v>383.75</v>
      </c>
      <c r="S192" s="228">
        <v>-1.85</v>
      </c>
      <c r="T192" s="229">
        <v>-4.7999999999999996E-3</v>
      </c>
      <c r="U192" s="228">
        <v>383.55</v>
      </c>
      <c r="V192" s="228">
        <v>386.1</v>
      </c>
      <c r="W192" s="228">
        <v>-2.5499999999999998</v>
      </c>
      <c r="X192" s="229">
        <v>-6.6E-3</v>
      </c>
      <c r="Y192" s="228">
        <v>1</v>
      </c>
      <c r="Z192" s="228">
        <v>1.6</v>
      </c>
      <c r="AA192" s="228">
        <v>-0.6</v>
      </c>
      <c r="AB192" s="229">
        <v>2.5999999999999999E-3</v>
      </c>
      <c r="AC192" s="228">
        <v>1</v>
      </c>
      <c r="AD192" s="228">
        <v>1.6</v>
      </c>
      <c r="AE192" s="228">
        <v>-0.6</v>
      </c>
      <c r="AF192" s="229">
        <v>2.5999999999999999E-3</v>
      </c>
      <c r="AG192" s="228">
        <v>3.35</v>
      </c>
      <c r="AH192" s="228">
        <v>3.9</v>
      </c>
      <c r="AI192" s="228">
        <v>-0.55000000000000004</v>
      </c>
      <c r="AJ192" s="229">
        <v>8.8000000000000005E-3</v>
      </c>
      <c r="AK192" s="228">
        <v>5</v>
      </c>
      <c r="AL192" s="228">
        <v>6.25</v>
      </c>
      <c r="AM192" s="228">
        <v>-1.25</v>
      </c>
      <c r="AN192" s="229">
        <v>1.32E-2</v>
      </c>
      <c r="AO192" s="228">
        <v>381.43</v>
      </c>
      <c r="AP192" s="228">
        <v>383.77</v>
      </c>
      <c r="AQ192" s="228">
        <v>0</v>
      </c>
      <c r="AR192" s="230">
        <v>5446200</v>
      </c>
      <c r="AS192" s="230">
        <v>5881200</v>
      </c>
      <c r="AT192" s="230">
        <v>-435000</v>
      </c>
      <c r="AU192" s="229">
        <v>-7.3999999999999996E-2</v>
      </c>
      <c r="AV192" s="230">
        <v>4608100</v>
      </c>
      <c r="AW192" s="230">
        <v>5101100</v>
      </c>
      <c r="AX192" s="230">
        <v>-493000</v>
      </c>
      <c r="AY192" s="229">
        <v>-9.6600000000000005E-2</v>
      </c>
      <c r="AZ192" s="230">
        <v>784450</v>
      </c>
      <c r="BA192" s="230">
        <v>720650</v>
      </c>
      <c r="BB192" s="230">
        <v>63800</v>
      </c>
      <c r="BC192" s="229">
        <v>8.8499999999999995E-2</v>
      </c>
      <c r="BD192" s="230">
        <v>53650</v>
      </c>
      <c r="BE192" s="230">
        <v>59450</v>
      </c>
      <c r="BF192" s="230">
        <v>-5800</v>
      </c>
      <c r="BG192" s="229">
        <v>-9.7600000000000006E-2</v>
      </c>
      <c r="BH192" s="230">
        <v>26107250</v>
      </c>
      <c r="BI192" s="230">
        <v>22485150</v>
      </c>
      <c r="BJ192" s="230">
        <v>3622100</v>
      </c>
      <c r="BK192" s="229">
        <v>0.16109999999999999</v>
      </c>
      <c r="BL192" s="230">
        <v>13344350</v>
      </c>
      <c r="BM192" s="230">
        <v>8701450</v>
      </c>
      <c r="BN192" s="230">
        <v>4642900</v>
      </c>
      <c r="BO192" s="229">
        <v>0.53359999999999996</v>
      </c>
      <c r="BP192" s="230">
        <v>44897800</v>
      </c>
      <c r="BQ192" s="230">
        <v>37067800</v>
      </c>
      <c r="BR192" s="230">
        <v>7830000</v>
      </c>
      <c r="BS192" s="229">
        <v>0.2112</v>
      </c>
      <c r="BT192" s="230">
        <v>2349325</v>
      </c>
      <c r="BU192" s="230">
        <v>2846740</v>
      </c>
      <c r="BV192" s="230">
        <v>-497415</v>
      </c>
      <c r="BW192" s="229">
        <v>-0.17469999999999999</v>
      </c>
      <c r="BX192" s="230">
        <v>56609450</v>
      </c>
      <c r="BY192" s="230">
        <v>56880600</v>
      </c>
      <c r="BZ192" s="230">
        <v>-271150</v>
      </c>
      <c r="CA192" s="229">
        <v>-4.7999999999999996E-3</v>
      </c>
      <c r="CB192" s="230">
        <v>50999400</v>
      </c>
      <c r="CC192" s="230">
        <v>51580850</v>
      </c>
      <c r="CD192" s="230">
        <v>-581450</v>
      </c>
      <c r="CE192" s="229">
        <v>-1.1299999999999999E-2</v>
      </c>
      <c r="CF192" s="230">
        <v>4996700</v>
      </c>
      <c r="CG192" s="230">
        <v>4696550</v>
      </c>
      <c r="CH192" s="230">
        <v>300150</v>
      </c>
      <c r="CI192" s="229">
        <v>6.3899999999999998E-2</v>
      </c>
      <c r="CJ192" s="230">
        <v>613350</v>
      </c>
      <c r="CK192" s="230">
        <v>603200</v>
      </c>
      <c r="CL192" s="230">
        <v>10150</v>
      </c>
      <c r="CM192" s="229">
        <v>1.6799999999999999E-2</v>
      </c>
      <c r="CN192" s="230">
        <v>40940750</v>
      </c>
      <c r="CO192" s="230">
        <v>40259250</v>
      </c>
      <c r="CP192" s="230">
        <v>681500</v>
      </c>
      <c r="CQ192" s="229">
        <v>1.6899999999999998E-2</v>
      </c>
      <c r="CR192" s="230">
        <v>29384250</v>
      </c>
      <c r="CS192" s="230">
        <v>29137750</v>
      </c>
      <c r="CT192" s="230">
        <v>246500</v>
      </c>
      <c r="CU192" s="229">
        <v>8.5000000000000006E-3</v>
      </c>
      <c r="CV192" s="230">
        <v>126934450</v>
      </c>
      <c r="CW192" s="230">
        <v>126277600</v>
      </c>
      <c r="CX192" s="230">
        <v>656850</v>
      </c>
      <c r="CY192" s="229">
        <v>5.1999999999999998E-3</v>
      </c>
      <c r="CZ192" s="228">
        <v>19.98</v>
      </c>
      <c r="DA192" s="228">
        <v>20.14</v>
      </c>
      <c r="DB192" s="228">
        <v>-0.16</v>
      </c>
      <c r="DC192" s="228">
        <v>-0.16</v>
      </c>
      <c r="DD192" s="228">
        <v>31.48</v>
      </c>
      <c r="DE192" s="228">
        <v>31.55</v>
      </c>
      <c r="DF192" s="228">
        <v>-11.5</v>
      </c>
      <c r="DG192" s="228">
        <v>-7.0000000000000007E-2</v>
      </c>
      <c r="DH192" s="228">
        <v>20.39</v>
      </c>
      <c r="DI192" s="228">
        <v>20.399999999999999</v>
      </c>
      <c r="DJ192" s="228">
        <v>-0.01</v>
      </c>
      <c r="DK192" s="228">
        <v>-0.01</v>
      </c>
      <c r="DL192" s="228">
        <v>19.18</v>
      </c>
      <c r="DM192" s="228">
        <v>19.46</v>
      </c>
      <c r="DN192" s="228">
        <v>-0.28000000000000003</v>
      </c>
      <c r="DO192" s="228">
        <v>-0.28000000000000003</v>
      </c>
      <c r="DP192" s="228">
        <v>0.72</v>
      </c>
      <c r="DQ192" s="228">
        <v>0.72</v>
      </c>
      <c r="DR192" s="228">
        <v>0</v>
      </c>
      <c r="DS192" s="229">
        <v>0</v>
      </c>
      <c r="DT192" s="228">
        <v>400</v>
      </c>
      <c r="DU192" s="228">
        <v>390</v>
      </c>
      <c r="DV192" s="228">
        <v>0.51</v>
      </c>
      <c r="DW192" s="228">
        <v>0.39</v>
      </c>
      <c r="DX192" s="228">
        <v>0.12</v>
      </c>
      <c r="DY192" s="229">
        <v>0.30769999999999997</v>
      </c>
      <c r="DZ192" s="229">
        <v>9.9099999999999994E-2</v>
      </c>
      <c r="EA192" s="230">
        <v>5299750</v>
      </c>
      <c r="EB192" s="229">
        <v>6.1999999999999998E-3</v>
      </c>
      <c r="EC192" s="229">
        <v>9.9099999999999994E-2</v>
      </c>
      <c r="ED192" s="228">
        <v>2.34</v>
      </c>
      <c r="EE192" s="229">
        <v>6.1000000000000004E-3</v>
      </c>
      <c r="EF192" s="230">
        <v>1179389</v>
      </c>
      <c r="EG192" s="230">
        <v>1345357</v>
      </c>
      <c r="EH192" s="229">
        <v>-0.1234</v>
      </c>
      <c r="EI192" s="229">
        <v>0.502</v>
      </c>
      <c r="EJ192" s="231">
        <v>102792.75</v>
      </c>
      <c r="EK192" s="231">
        <v>51094.77</v>
      </c>
      <c r="EL192" s="231">
        <v>20794.05</v>
      </c>
      <c r="EM192" s="231">
        <v>4019</v>
      </c>
      <c r="EN192" s="231">
        <v>174681.57</v>
      </c>
      <c r="EO192" s="231">
        <v>144119.84</v>
      </c>
      <c r="EP192" s="231">
        <v>30561.73</v>
      </c>
      <c r="EQ192" s="229">
        <v>0.21210000000000001</v>
      </c>
      <c r="ER192" s="231">
        <v>163497</v>
      </c>
      <c r="ES192" s="231">
        <v>114355</v>
      </c>
      <c r="ET192" s="231">
        <v>215003</v>
      </c>
      <c r="EU192" s="231">
        <v>169808198</v>
      </c>
      <c r="EV192" s="231">
        <v>492855</v>
      </c>
      <c r="EW192" s="231">
        <v>491366</v>
      </c>
      <c r="EX192" s="231">
        <v>1489</v>
      </c>
      <c r="EY192" s="229">
        <v>3.0000000000000001E-3</v>
      </c>
      <c r="EZ192" s="229">
        <v>0.74750000000000005</v>
      </c>
      <c r="FA192" s="227" t="s">
        <v>568</v>
      </c>
      <c r="FB192" s="161">
        <f t="shared" si="4"/>
        <v>0</v>
      </c>
    </row>
    <row r="193" spans="1:158" ht="17.25" thickBot="1" x14ac:dyDescent="0.3">
      <c r="A193" s="226">
        <v>46008</v>
      </c>
      <c r="B193" s="227" t="s">
        <v>227</v>
      </c>
      <c r="C193" s="227" t="s">
        <v>294</v>
      </c>
      <c r="D193" s="228">
        <v>5500</v>
      </c>
      <c r="E193" s="228">
        <v>170.81</v>
      </c>
      <c r="F193" s="228">
        <v>170.46</v>
      </c>
      <c r="G193" s="228">
        <v>0.35</v>
      </c>
      <c r="H193" s="229">
        <v>2.0999999999999999E-3</v>
      </c>
      <c r="I193" s="228">
        <v>170.34</v>
      </c>
      <c r="J193" s="228">
        <v>169.83</v>
      </c>
      <c r="K193" s="228">
        <v>0.51</v>
      </c>
      <c r="L193" s="229">
        <v>3.0000000000000001E-3</v>
      </c>
      <c r="M193" s="228">
        <v>170.81</v>
      </c>
      <c r="N193" s="228">
        <v>170.46</v>
      </c>
      <c r="O193" s="228">
        <v>0.35</v>
      </c>
      <c r="P193" s="229">
        <v>2.0999999999999999E-3</v>
      </c>
      <c r="Q193" s="228">
        <v>171.88</v>
      </c>
      <c r="R193" s="228">
        <v>171.43</v>
      </c>
      <c r="S193" s="228">
        <v>0.45</v>
      </c>
      <c r="T193" s="229">
        <v>2.5999999999999999E-3</v>
      </c>
      <c r="U193" s="228">
        <v>172.82</v>
      </c>
      <c r="V193" s="228">
        <v>172.53</v>
      </c>
      <c r="W193" s="228">
        <v>0.28999999999999998</v>
      </c>
      <c r="X193" s="229">
        <v>1.6999999999999999E-3</v>
      </c>
      <c r="Y193" s="228">
        <v>0.47</v>
      </c>
      <c r="Z193" s="228">
        <v>0.63</v>
      </c>
      <c r="AA193" s="228">
        <v>-0.16</v>
      </c>
      <c r="AB193" s="229">
        <v>2.8E-3</v>
      </c>
      <c r="AC193" s="228">
        <v>0.47</v>
      </c>
      <c r="AD193" s="228">
        <v>0.63</v>
      </c>
      <c r="AE193" s="228">
        <v>-0.16</v>
      </c>
      <c r="AF193" s="229">
        <v>2.8E-3</v>
      </c>
      <c r="AG193" s="228">
        <v>1.54</v>
      </c>
      <c r="AH193" s="228">
        <v>1.6</v>
      </c>
      <c r="AI193" s="228">
        <v>-0.06</v>
      </c>
      <c r="AJ193" s="229">
        <v>8.9999999999999993E-3</v>
      </c>
      <c r="AK193" s="228">
        <v>2.48</v>
      </c>
      <c r="AL193" s="228">
        <v>2.7</v>
      </c>
      <c r="AM193" s="228">
        <v>-0.22</v>
      </c>
      <c r="AN193" s="229">
        <v>1.46E-2</v>
      </c>
      <c r="AO193" s="228">
        <v>170.83</v>
      </c>
      <c r="AP193" s="228">
        <v>171.83</v>
      </c>
      <c r="AQ193" s="228">
        <v>0</v>
      </c>
      <c r="AR193" s="230">
        <v>26576000</v>
      </c>
      <c r="AS193" s="230">
        <v>45314500</v>
      </c>
      <c r="AT193" s="230">
        <v>-18738500</v>
      </c>
      <c r="AU193" s="229">
        <v>-0.41349999999999998</v>
      </c>
      <c r="AV193" s="230">
        <v>20086000</v>
      </c>
      <c r="AW193" s="230">
        <v>36124000</v>
      </c>
      <c r="AX193" s="230">
        <v>-16038000</v>
      </c>
      <c r="AY193" s="229">
        <v>-0.44400000000000001</v>
      </c>
      <c r="AZ193" s="230">
        <v>6061000</v>
      </c>
      <c r="BA193" s="230">
        <v>8547000</v>
      </c>
      <c r="BB193" s="230">
        <v>-2486000</v>
      </c>
      <c r="BC193" s="229">
        <v>-0.29089999999999999</v>
      </c>
      <c r="BD193" s="230">
        <v>429000</v>
      </c>
      <c r="BE193" s="230">
        <v>643500</v>
      </c>
      <c r="BF193" s="230">
        <v>-214500</v>
      </c>
      <c r="BG193" s="229">
        <v>-0.33329999999999999</v>
      </c>
      <c r="BH193" s="230">
        <v>85167500</v>
      </c>
      <c r="BI193" s="230">
        <v>126555000</v>
      </c>
      <c r="BJ193" s="230">
        <v>-41387500</v>
      </c>
      <c r="BK193" s="229">
        <v>-0.32700000000000001</v>
      </c>
      <c r="BL193" s="230">
        <v>58003000</v>
      </c>
      <c r="BM193" s="230">
        <v>91250500</v>
      </c>
      <c r="BN193" s="230">
        <v>-33247500</v>
      </c>
      <c r="BO193" s="229">
        <v>-0.3644</v>
      </c>
      <c r="BP193" s="230">
        <v>169746500</v>
      </c>
      <c r="BQ193" s="230">
        <v>263120000</v>
      </c>
      <c r="BR193" s="230">
        <v>-93373500</v>
      </c>
      <c r="BS193" s="229">
        <v>-0.35489999999999999</v>
      </c>
      <c r="BT193" s="230">
        <v>12461749</v>
      </c>
      <c r="BU193" s="230">
        <v>23547936</v>
      </c>
      <c r="BV193" s="230">
        <v>-11086187</v>
      </c>
      <c r="BW193" s="229">
        <v>-0.4708</v>
      </c>
      <c r="BX193" s="230">
        <v>258241500</v>
      </c>
      <c r="BY193" s="230">
        <v>258274500</v>
      </c>
      <c r="BZ193" s="230">
        <v>-33000</v>
      </c>
      <c r="CA193" s="229">
        <v>-1E-4</v>
      </c>
      <c r="CB193" s="230">
        <v>223520000</v>
      </c>
      <c r="CC193" s="230">
        <v>226517500</v>
      </c>
      <c r="CD193" s="230">
        <v>-2997500</v>
      </c>
      <c r="CE193" s="229">
        <v>-1.32E-2</v>
      </c>
      <c r="CF193" s="230">
        <v>31883500</v>
      </c>
      <c r="CG193" s="230">
        <v>28836500</v>
      </c>
      <c r="CH193" s="230">
        <v>3047000</v>
      </c>
      <c r="CI193" s="229">
        <v>0.1057</v>
      </c>
      <c r="CJ193" s="230">
        <v>2838000</v>
      </c>
      <c r="CK193" s="230">
        <v>2920500</v>
      </c>
      <c r="CL193" s="230">
        <v>-82500</v>
      </c>
      <c r="CM193" s="229">
        <v>-2.8199999999999999E-2</v>
      </c>
      <c r="CN193" s="230">
        <v>157558500</v>
      </c>
      <c r="CO193" s="230">
        <v>157008500</v>
      </c>
      <c r="CP193" s="230">
        <v>550000</v>
      </c>
      <c r="CQ193" s="229">
        <v>3.5000000000000001E-3</v>
      </c>
      <c r="CR193" s="230">
        <v>94484500</v>
      </c>
      <c r="CS193" s="230">
        <v>92752000</v>
      </c>
      <c r="CT193" s="230">
        <v>1732500</v>
      </c>
      <c r="CU193" s="229">
        <v>1.8700000000000001E-2</v>
      </c>
      <c r="CV193" s="230">
        <v>510284500</v>
      </c>
      <c r="CW193" s="230">
        <v>508035000</v>
      </c>
      <c r="CX193" s="230">
        <v>2249500</v>
      </c>
      <c r="CY193" s="229">
        <v>4.4000000000000003E-3</v>
      </c>
      <c r="CZ193" s="228">
        <v>21.71</v>
      </c>
      <c r="DA193" s="228">
        <v>22.5</v>
      </c>
      <c r="DB193" s="228">
        <v>-0.79</v>
      </c>
      <c r="DC193" s="228">
        <v>-0.79</v>
      </c>
      <c r="DD193" s="228">
        <v>32.840000000000003</v>
      </c>
      <c r="DE193" s="228">
        <v>32.92</v>
      </c>
      <c r="DF193" s="228">
        <v>-11.13</v>
      </c>
      <c r="DG193" s="228">
        <v>-0.08</v>
      </c>
      <c r="DH193" s="228">
        <v>21.67</v>
      </c>
      <c r="DI193" s="228">
        <v>23.08</v>
      </c>
      <c r="DJ193" s="228">
        <v>-1.41</v>
      </c>
      <c r="DK193" s="228">
        <v>-1.41</v>
      </c>
      <c r="DL193" s="228">
        <v>21.77</v>
      </c>
      <c r="DM193" s="228">
        <v>21.7</v>
      </c>
      <c r="DN193" s="228">
        <v>7.0000000000000007E-2</v>
      </c>
      <c r="DO193" s="228">
        <v>7.0000000000000007E-2</v>
      </c>
      <c r="DP193" s="228">
        <v>0.6</v>
      </c>
      <c r="DQ193" s="228">
        <v>0.59</v>
      </c>
      <c r="DR193" s="228">
        <v>0.01</v>
      </c>
      <c r="DS193" s="229">
        <v>1.6899999999999998E-2</v>
      </c>
      <c r="DT193" s="228">
        <v>180</v>
      </c>
      <c r="DU193" s="228">
        <v>170</v>
      </c>
      <c r="DV193" s="228">
        <v>0.68</v>
      </c>
      <c r="DW193" s="228">
        <v>0.72</v>
      </c>
      <c r="DX193" s="228">
        <v>-0.04</v>
      </c>
      <c r="DY193" s="229">
        <v>-5.5599999999999997E-2</v>
      </c>
      <c r="DZ193" s="229">
        <v>0.13450000000000001</v>
      </c>
      <c r="EA193" s="230">
        <v>31757000</v>
      </c>
      <c r="EB193" s="229">
        <v>6.3E-3</v>
      </c>
      <c r="EC193" s="229">
        <v>0.13450000000000001</v>
      </c>
      <c r="ED193" s="228">
        <v>1</v>
      </c>
      <c r="EE193" s="229">
        <v>5.8999999999999999E-3</v>
      </c>
      <c r="EF193" s="230">
        <v>5522024</v>
      </c>
      <c r="EG193" s="230">
        <v>13133150</v>
      </c>
      <c r="EH193" s="229">
        <v>-0.57950000000000002</v>
      </c>
      <c r="EI193" s="229">
        <v>0.44309999999999999</v>
      </c>
      <c r="EJ193" s="231">
        <v>151057.38</v>
      </c>
      <c r="EK193" s="231">
        <v>97499.38</v>
      </c>
      <c r="EL193" s="231">
        <v>45469.49</v>
      </c>
      <c r="EM193" s="231">
        <v>9334</v>
      </c>
      <c r="EN193" s="231">
        <v>294026.25</v>
      </c>
      <c r="EO193" s="231">
        <v>458095.48</v>
      </c>
      <c r="EP193" s="231">
        <v>-164069.23000000001</v>
      </c>
      <c r="EQ193" s="229">
        <v>-0.35820000000000002</v>
      </c>
      <c r="ER193" s="231">
        <v>282759</v>
      </c>
      <c r="ES193" s="231">
        <v>157286</v>
      </c>
      <c r="ET193" s="231">
        <v>441501</v>
      </c>
      <c r="EU193" s="231">
        <v>833987639</v>
      </c>
      <c r="EV193" s="231">
        <v>881546</v>
      </c>
      <c r="EW193" s="231">
        <v>876768</v>
      </c>
      <c r="EX193" s="231">
        <v>4778</v>
      </c>
      <c r="EY193" s="229">
        <v>5.4000000000000003E-3</v>
      </c>
      <c r="EZ193" s="229">
        <v>0.6119</v>
      </c>
      <c r="FA193" s="227" t="s">
        <v>556</v>
      </c>
      <c r="FB193" s="161">
        <f t="shared" si="4"/>
        <v>0</v>
      </c>
    </row>
    <row r="194" spans="1:158" ht="17.25" thickBot="1" x14ac:dyDescent="0.3">
      <c r="A194" s="226">
        <v>46008</v>
      </c>
      <c r="B194" s="227" t="s">
        <v>221</v>
      </c>
      <c r="C194" s="227" t="s">
        <v>664</v>
      </c>
      <c r="D194" s="228">
        <v>800</v>
      </c>
      <c r="E194" s="228">
        <v>641.79999999999995</v>
      </c>
      <c r="F194" s="228">
        <v>650.65</v>
      </c>
      <c r="G194" s="228">
        <v>-8.85</v>
      </c>
      <c r="H194" s="229">
        <v>-1.3599999999999999E-2</v>
      </c>
      <c r="I194" s="228">
        <v>641.79999999999995</v>
      </c>
      <c r="J194" s="228">
        <v>650.35</v>
      </c>
      <c r="K194" s="228">
        <v>-8.5500000000000007</v>
      </c>
      <c r="L194" s="229">
        <v>-1.3100000000000001E-2</v>
      </c>
      <c r="M194" s="228">
        <v>641.79999999999995</v>
      </c>
      <c r="N194" s="228">
        <v>650.65</v>
      </c>
      <c r="O194" s="228">
        <v>-8.85</v>
      </c>
      <c r="P194" s="229">
        <v>-1.3599999999999999E-2</v>
      </c>
      <c r="Q194" s="228">
        <v>644.20000000000005</v>
      </c>
      <c r="R194" s="228">
        <v>653.15</v>
      </c>
      <c r="S194" s="228">
        <v>-8.9499999999999993</v>
      </c>
      <c r="T194" s="229">
        <v>-1.37E-2</v>
      </c>
      <c r="U194" s="228">
        <v>647.4</v>
      </c>
      <c r="V194" s="228">
        <v>656.55</v>
      </c>
      <c r="W194" s="228">
        <v>-9.15</v>
      </c>
      <c r="X194" s="229">
        <v>-1.3899999999999999E-2</v>
      </c>
      <c r="Y194" s="228">
        <v>0</v>
      </c>
      <c r="Z194" s="228">
        <v>0.3</v>
      </c>
      <c r="AA194" s="228">
        <v>-0.3</v>
      </c>
      <c r="AB194" s="229">
        <v>0</v>
      </c>
      <c r="AC194" s="228">
        <v>0</v>
      </c>
      <c r="AD194" s="228">
        <v>0.3</v>
      </c>
      <c r="AE194" s="228">
        <v>-0.3</v>
      </c>
      <c r="AF194" s="229">
        <v>0</v>
      </c>
      <c r="AG194" s="228">
        <v>2.4</v>
      </c>
      <c r="AH194" s="228">
        <v>2.8</v>
      </c>
      <c r="AI194" s="228">
        <v>-0.4</v>
      </c>
      <c r="AJ194" s="229">
        <v>3.7000000000000002E-3</v>
      </c>
      <c r="AK194" s="228">
        <v>5.6</v>
      </c>
      <c r="AL194" s="228">
        <v>6.2</v>
      </c>
      <c r="AM194" s="228">
        <v>-0.6</v>
      </c>
      <c r="AN194" s="229">
        <v>8.6999999999999994E-3</v>
      </c>
      <c r="AO194" s="228">
        <v>645.14</v>
      </c>
      <c r="AP194" s="228">
        <v>648.02</v>
      </c>
      <c r="AQ194" s="228">
        <v>0</v>
      </c>
      <c r="AR194" s="230">
        <v>2236800</v>
      </c>
      <c r="AS194" s="230">
        <v>1473600</v>
      </c>
      <c r="AT194" s="230">
        <v>763200</v>
      </c>
      <c r="AU194" s="229">
        <v>0.51790000000000003</v>
      </c>
      <c r="AV194" s="230">
        <v>1513600</v>
      </c>
      <c r="AW194" s="230">
        <v>1075200</v>
      </c>
      <c r="AX194" s="230">
        <v>438400</v>
      </c>
      <c r="AY194" s="229">
        <v>0.40770000000000001</v>
      </c>
      <c r="AZ194" s="230">
        <v>673600</v>
      </c>
      <c r="BA194" s="230">
        <v>353600</v>
      </c>
      <c r="BB194" s="230">
        <v>320000</v>
      </c>
      <c r="BC194" s="229">
        <v>0.90500000000000003</v>
      </c>
      <c r="BD194" s="230">
        <v>49600</v>
      </c>
      <c r="BE194" s="230">
        <v>44800</v>
      </c>
      <c r="BF194" s="230">
        <v>4800</v>
      </c>
      <c r="BG194" s="229">
        <v>0.1071</v>
      </c>
      <c r="BH194" s="230">
        <v>3236000</v>
      </c>
      <c r="BI194" s="230">
        <v>2051200</v>
      </c>
      <c r="BJ194" s="230">
        <v>1184800</v>
      </c>
      <c r="BK194" s="229">
        <v>0.5776</v>
      </c>
      <c r="BL194" s="230">
        <v>1644800</v>
      </c>
      <c r="BM194" s="230">
        <v>648000</v>
      </c>
      <c r="BN194" s="230">
        <v>996800</v>
      </c>
      <c r="BO194" s="229">
        <v>1.5383</v>
      </c>
      <c r="BP194" s="230">
        <v>7117600</v>
      </c>
      <c r="BQ194" s="230">
        <v>4172800</v>
      </c>
      <c r="BR194" s="230">
        <v>2944800</v>
      </c>
      <c r="BS194" s="229">
        <v>0.70569999999999999</v>
      </c>
      <c r="BT194" s="230">
        <v>740956</v>
      </c>
      <c r="BU194" s="230">
        <v>377939</v>
      </c>
      <c r="BV194" s="230">
        <v>363017</v>
      </c>
      <c r="BW194" s="229">
        <v>0.96050000000000002</v>
      </c>
      <c r="BX194" s="230">
        <v>12877600</v>
      </c>
      <c r="BY194" s="230">
        <v>12433600</v>
      </c>
      <c r="BZ194" s="230">
        <v>444000</v>
      </c>
      <c r="CA194" s="229">
        <v>3.5700000000000003E-2</v>
      </c>
      <c r="CB194" s="230">
        <v>11044000</v>
      </c>
      <c r="CC194" s="230">
        <v>10912800</v>
      </c>
      <c r="CD194" s="230">
        <v>131200</v>
      </c>
      <c r="CE194" s="229">
        <v>1.2E-2</v>
      </c>
      <c r="CF194" s="230">
        <v>1668800</v>
      </c>
      <c r="CG194" s="230">
        <v>1374400</v>
      </c>
      <c r="CH194" s="230">
        <v>294400</v>
      </c>
      <c r="CI194" s="229">
        <v>0.2142</v>
      </c>
      <c r="CJ194" s="230">
        <v>164800</v>
      </c>
      <c r="CK194" s="230">
        <v>146400</v>
      </c>
      <c r="CL194" s="230">
        <v>18400</v>
      </c>
      <c r="CM194" s="229">
        <v>0.12570000000000001</v>
      </c>
      <c r="CN194" s="230">
        <v>6518400</v>
      </c>
      <c r="CO194" s="230">
        <v>6333600</v>
      </c>
      <c r="CP194" s="230">
        <v>184800</v>
      </c>
      <c r="CQ194" s="229">
        <v>2.92E-2</v>
      </c>
      <c r="CR194" s="230">
        <v>4081600</v>
      </c>
      <c r="CS194" s="230">
        <v>3833600</v>
      </c>
      <c r="CT194" s="230">
        <v>248000</v>
      </c>
      <c r="CU194" s="229">
        <v>6.4699999999999994E-2</v>
      </c>
      <c r="CV194" s="230">
        <v>23477600</v>
      </c>
      <c r="CW194" s="230">
        <v>22600800</v>
      </c>
      <c r="CX194" s="230">
        <v>876800</v>
      </c>
      <c r="CY194" s="229">
        <v>3.8800000000000001E-2</v>
      </c>
      <c r="CZ194" s="228">
        <v>24.49</v>
      </c>
      <c r="DA194" s="228">
        <v>24.47</v>
      </c>
      <c r="DB194" s="228">
        <v>0.02</v>
      </c>
      <c r="DC194" s="228">
        <v>0.02</v>
      </c>
      <c r="DD194" s="228">
        <v>30.11</v>
      </c>
      <c r="DE194" s="228">
        <v>30.13</v>
      </c>
      <c r="DF194" s="228">
        <v>-5.62</v>
      </c>
      <c r="DG194" s="228">
        <v>-0.02</v>
      </c>
      <c r="DH194" s="228">
        <v>25.74</v>
      </c>
      <c r="DI194" s="228">
        <v>25.34</v>
      </c>
      <c r="DJ194" s="228">
        <v>0.4</v>
      </c>
      <c r="DK194" s="228">
        <v>0.4</v>
      </c>
      <c r="DL194" s="228">
        <v>22.04</v>
      </c>
      <c r="DM194" s="228">
        <v>21.72</v>
      </c>
      <c r="DN194" s="228">
        <v>0.32</v>
      </c>
      <c r="DO194" s="228">
        <v>0.32</v>
      </c>
      <c r="DP194" s="228">
        <v>0.63</v>
      </c>
      <c r="DQ194" s="228">
        <v>0.61</v>
      </c>
      <c r="DR194" s="228">
        <v>0.02</v>
      </c>
      <c r="DS194" s="229">
        <v>3.2800000000000003E-2</v>
      </c>
      <c r="DT194" s="228">
        <v>700</v>
      </c>
      <c r="DU194" s="228">
        <v>650</v>
      </c>
      <c r="DV194" s="228">
        <v>0.51</v>
      </c>
      <c r="DW194" s="228">
        <v>0.32</v>
      </c>
      <c r="DX194" s="228">
        <v>0.19</v>
      </c>
      <c r="DY194" s="229">
        <v>0.59379999999999999</v>
      </c>
      <c r="DZ194" s="229">
        <v>0.1424</v>
      </c>
      <c r="EA194" s="230">
        <v>1520800</v>
      </c>
      <c r="EB194" s="229">
        <v>3.7000000000000002E-3</v>
      </c>
      <c r="EC194" s="229">
        <v>0.1424</v>
      </c>
      <c r="ED194" s="228">
        <v>2.88</v>
      </c>
      <c r="EE194" s="229">
        <v>4.4999999999999997E-3</v>
      </c>
      <c r="EF194" s="230">
        <v>402073</v>
      </c>
      <c r="EG194" s="230">
        <v>192220</v>
      </c>
      <c r="EH194" s="229">
        <v>1.0916999999999999</v>
      </c>
      <c r="EI194" s="229">
        <v>0.54259999999999997</v>
      </c>
      <c r="EJ194" s="231">
        <v>22124.14</v>
      </c>
      <c r="EK194" s="231">
        <v>10722.82</v>
      </c>
      <c r="EL194" s="231">
        <v>14453.41</v>
      </c>
      <c r="EM194" s="231">
        <v>1674</v>
      </c>
      <c r="EN194" s="231">
        <v>47300.37</v>
      </c>
      <c r="EO194" s="231">
        <v>28061.39</v>
      </c>
      <c r="EP194" s="231">
        <v>19238.98</v>
      </c>
      <c r="EQ194" s="229">
        <v>0.68559999999999999</v>
      </c>
      <c r="ER194" s="231">
        <v>45441</v>
      </c>
      <c r="ES194" s="231">
        <v>26844</v>
      </c>
      <c r="ET194" s="231">
        <v>82698</v>
      </c>
      <c r="EU194" s="231">
        <v>27246569</v>
      </c>
      <c r="EV194" s="231">
        <v>154983</v>
      </c>
      <c r="EW194" s="231">
        <v>150565</v>
      </c>
      <c r="EX194" s="231">
        <v>4418</v>
      </c>
      <c r="EY194" s="229">
        <v>2.93E-2</v>
      </c>
      <c r="EZ194" s="229">
        <v>0.86170000000000002</v>
      </c>
      <c r="FA194" s="227" t="s">
        <v>567</v>
      </c>
      <c r="FB194" s="161">
        <f t="shared" si="4"/>
        <v>0</v>
      </c>
    </row>
    <row r="195" spans="1:158" ht="17.25" thickBot="1" x14ac:dyDescent="0.3">
      <c r="A195" s="226">
        <v>46008</v>
      </c>
      <c r="B195" s="227" t="s">
        <v>221</v>
      </c>
      <c r="C195" s="227" t="s">
        <v>295</v>
      </c>
      <c r="D195" s="228">
        <v>175</v>
      </c>
      <c r="E195" s="231">
        <v>3220.8</v>
      </c>
      <c r="F195" s="231">
        <v>3211.3</v>
      </c>
      <c r="G195" s="228">
        <v>9.5</v>
      </c>
      <c r="H195" s="229">
        <v>3.0000000000000001E-3</v>
      </c>
      <c r="I195" s="231">
        <v>3217.8</v>
      </c>
      <c r="J195" s="231">
        <v>3205.1</v>
      </c>
      <c r="K195" s="228">
        <v>12.7</v>
      </c>
      <c r="L195" s="229">
        <v>4.0000000000000001E-3</v>
      </c>
      <c r="M195" s="231">
        <v>3220.8</v>
      </c>
      <c r="N195" s="231">
        <v>3211.3</v>
      </c>
      <c r="O195" s="228">
        <v>9.5</v>
      </c>
      <c r="P195" s="229">
        <v>3.0000000000000001E-3</v>
      </c>
      <c r="Q195" s="231">
        <v>3234.2</v>
      </c>
      <c r="R195" s="231">
        <v>3224.7</v>
      </c>
      <c r="S195" s="228">
        <v>9.5</v>
      </c>
      <c r="T195" s="229">
        <v>2.8999999999999998E-3</v>
      </c>
      <c r="U195" s="231">
        <v>3253.7</v>
      </c>
      <c r="V195" s="231">
        <v>3243.3</v>
      </c>
      <c r="W195" s="228">
        <v>10.4</v>
      </c>
      <c r="X195" s="229">
        <v>3.2000000000000002E-3</v>
      </c>
      <c r="Y195" s="228">
        <v>3</v>
      </c>
      <c r="Z195" s="228">
        <v>6.2</v>
      </c>
      <c r="AA195" s="228">
        <v>-3.2</v>
      </c>
      <c r="AB195" s="229">
        <v>8.9999999999999998E-4</v>
      </c>
      <c r="AC195" s="228">
        <v>3</v>
      </c>
      <c r="AD195" s="228">
        <v>6.2</v>
      </c>
      <c r="AE195" s="228">
        <v>-3.2</v>
      </c>
      <c r="AF195" s="229">
        <v>8.9999999999999998E-4</v>
      </c>
      <c r="AG195" s="228">
        <v>16.399999999999999</v>
      </c>
      <c r="AH195" s="228">
        <v>19.600000000000001</v>
      </c>
      <c r="AI195" s="228">
        <v>-3.2</v>
      </c>
      <c r="AJ195" s="229">
        <v>5.1000000000000004E-3</v>
      </c>
      <c r="AK195" s="228">
        <v>35.9</v>
      </c>
      <c r="AL195" s="228">
        <v>38.200000000000003</v>
      </c>
      <c r="AM195" s="228">
        <v>-2.2999999999999998</v>
      </c>
      <c r="AN195" s="229">
        <v>1.12E-2</v>
      </c>
      <c r="AO195" s="231">
        <v>3224.15</v>
      </c>
      <c r="AP195" s="231">
        <v>3238.5</v>
      </c>
      <c r="AQ195" s="228">
        <v>0</v>
      </c>
      <c r="AR195" s="230">
        <v>1783600</v>
      </c>
      <c r="AS195" s="230">
        <v>1882475</v>
      </c>
      <c r="AT195" s="230">
        <v>-98875</v>
      </c>
      <c r="AU195" s="229">
        <v>-5.2499999999999998E-2</v>
      </c>
      <c r="AV195" s="230">
        <v>1525650</v>
      </c>
      <c r="AW195" s="230">
        <v>1540350</v>
      </c>
      <c r="AX195" s="230">
        <v>-14700</v>
      </c>
      <c r="AY195" s="229">
        <v>-9.4999999999999998E-3</v>
      </c>
      <c r="AZ195" s="230">
        <v>237300</v>
      </c>
      <c r="BA195" s="230">
        <v>301700</v>
      </c>
      <c r="BB195" s="230">
        <v>-64400</v>
      </c>
      <c r="BC195" s="229">
        <v>-0.2135</v>
      </c>
      <c r="BD195" s="230">
        <v>20650</v>
      </c>
      <c r="BE195" s="230">
        <v>40425</v>
      </c>
      <c r="BF195" s="230">
        <v>-19775</v>
      </c>
      <c r="BG195" s="229">
        <v>-0.48920000000000002</v>
      </c>
      <c r="BH195" s="230">
        <v>7628425</v>
      </c>
      <c r="BI195" s="230">
        <v>6307525</v>
      </c>
      <c r="BJ195" s="230">
        <v>1320900</v>
      </c>
      <c r="BK195" s="229">
        <v>0.2094</v>
      </c>
      <c r="BL195" s="230">
        <v>3984400</v>
      </c>
      <c r="BM195" s="230">
        <v>3957975</v>
      </c>
      <c r="BN195" s="230">
        <v>26425</v>
      </c>
      <c r="BO195" s="229">
        <v>6.7000000000000002E-3</v>
      </c>
      <c r="BP195" s="230">
        <v>13396425</v>
      </c>
      <c r="BQ195" s="230">
        <v>12147975</v>
      </c>
      <c r="BR195" s="230">
        <v>1248450</v>
      </c>
      <c r="BS195" s="229">
        <v>0.1028</v>
      </c>
      <c r="BT195" s="230">
        <v>1413512</v>
      </c>
      <c r="BU195" s="230">
        <v>1795417</v>
      </c>
      <c r="BV195" s="230">
        <v>-381905</v>
      </c>
      <c r="BW195" s="229">
        <v>-0.2127</v>
      </c>
      <c r="BX195" s="230">
        <v>25360125</v>
      </c>
      <c r="BY195" s="230">
        <v>25571525</v>
      </c>
      <c r="BZ195" s="230">
        <v>-211400</v>
      </c>
      <c r="CA195" s="229">
        <v>-8.3000000000000001E-3</v>
      </c>
      <c r="CB195" s="230">
        <v>22929550</v>
      </c>
      <c r="CC195" s="230">
        <v>23201325</v>
      </c>
      <c r="CD195" s="230">
        <v>-271775</v>
      </c>
      <c r="CE195" s="229">
        <v>-1.17E-2</v>
      </c>
      <c r="CF195" s="230">
        <v>2242100</v>
      </c>
      <c r="CG195" s="230">
        <v>2188200</v>
      </c>
      <c r="CH195" s="230">
        <v>53900</v>
      </c>
      <c r="CI195" s="229">
        <v>2.46E-2</v>
      </c>
      <c r="CJ195" s="230">
        <v>188475</v>
      </c>
      <c r="CK195" s="230">
        <v>182000</v>
      </c>
      <c r="CL195" s="230">
        <v>6475</v>
      </c>
      <c r="CM195" s="229">
        <v>3.56E-2</v>
      </c>
      <c r="CN195" s="230">
        <v>9794750</v>
      </c>
      <c r="CO195" s="230">
        <v>9686600</v>
      </c>
      <c r="CP195" s="230">
        <v>108150</v>
      </c>
      <c r="CQ195" s="229">
        <v>1.12E-2</v>
      </c>
      <c r="CR195" s="230">
        <v>7737100</v>
      </c>
      <c r="CS195" s="230">
        <v>7682150</v>
      </c>
      <c r="CT195" s="230">
        <v>54950</v>
      </c>
      <c r="CU195" s="229">
        <v>7.1999999999999998E-3</v>
      </c>
      <c r="CV195" s="230">
        <v>42891975</v>
      </c>
      <c r="CW195" s="230">
        <v>42940275</v>
      </c>
      <c r="CX195" s="230">
        <v>-48300</v>
      </c>
      <c r="CY195" s="229">
        <v>-1.1000000000000001E-3</v>
      </c>
      <c r="CZ195" s="228">
        <v>17.170000000000002</v>
      </c>
      <c r="DA195" s="228">
        <v>17.34</v>
      </c>
      <c r="DB195" s="228">
        <v>-0.17</v>
      </c>
      <c r="DC195" s="228">
        <v>-0.17</v>
      </c>
      <c r="DD195" s="228">
        <v>23.45</v>
      </c>
      <c r="DE195" s="228">
        <v>23.5</v>
      </c>
      <c r="DF195" s="228">
        <v>-6.28</v>
      </c>
      <c r="DG195" s="228">
        <v>-0.05</v>
      </c>
      <c r="DH195" s="228">
        <v>16.91</v>
      </c>
      <c r="DI195" s="228">
        <v>17.149999999999999</v>
      </c>
      <c r="DJ195" s="228">
        <v>-0.24</v>
      </c>
      <c r="DK195" s="228">
        <v>-0.24</v>
      </c>
      <c r="DL195" s="228">
        <v>17.670000000000002</v>
      </c>
      <c r="DM195" s="228">
        <v>17.64</v>
      </c>
      <c r="DN195" s="228">
        <v>0.03</v>
      </c>
      <c r="DO195" s="228">
        <v>0.03</v>
      </c>
      <c r="DP195" s="228">
        <v>0.79</v>
      </c>
      <c r="DQ195" s="228">
        <v>0.79</v>
      </c>
      <c r="DR195" s="228">
        <v>0</v>
      </c>
      <c r="DS195" s="229">
        <v>0</v>
      </c>
      <c r="DT195" s="231">
        <v>3200</v>
      </c>
      <c r="DU195" s="231">
        <v>3000</v>
      </c>
      <c r="DV195" s="228">
        <v>0.52</v>
      </c>
      <c r="DW195" s="228">
        <v>0.63</v>
      </c>
      <c r="DX195" s="228">
        <v>-0.11</v>
      </c>
      <c r="DY195" s="229">
        <v>-0.17460000000000001</v>
      </c>
      <c r="DZ195" s="229">
        <v>9.5799999999999996E-2</v>
      </c>
      <c r="EA195" s="230">
        <v>2370200</v>
      </c>
      <c r="EB195" s="229">
        <v>4.1999999999999997E-3</v>
      </c>
      <c r="EC195" s="229">
        <v>9.5799999999999996E-2</v>
      </c>
      <c r="ED195" s="228">
        <v>14.35</v>
      </c>
      <c r="EE195" s="229">
        <v>4.4999999999999997E-3</v>
      </c>
      <c r="EF195" s="230">
        <v>837415</v>
      </c>
      <c r="EG195" s="230">
        <v>1069466</v>
      </c>
      <c r="EH195" s="229">
        <v>-0.217</v>
      </c>
      <c r="EI195" s="229">
        <v>0.59240000000000004</v>
      </c>
      <c r="EJ195" s="231">
        <v>251907.07</v>
      </c>
      <c r="EK195" s="231">
        <v>126492.02</v>
      </c>
      <c r="EL195" s="231">
        <v>57547.09</v>
      </c>
      <c r="EM195" s="231">
        <v>12342</v>
      </c>
      <c r="EN195" s="231">
        <v>435946.18</v>
      </c>
      <c r="EO195" s="231">
        <v>394371.47</v>
      </c>
      <c r="EP195" s="231">
        <v>41574.71</v>
      </c>
      <c r="EQ195" s="229">
        <v>0.10539999999999999</v>
      </c>
      <c r="ER195" s="231">
        <v>323669</v>
      </c>
      <c r="ES195" s="231">
        <v>241346</v>
      </c>
      <c r="ET195" s="231">
        <v>817161</v>
      </c>
      <c r="EU195" s="231">
        <v>123298271</v>
      </c>
      <c r="EV195" s="231">
        <v>1382177</v>
      </c>
      <c r="EW195" s="231">
        <v>1381118</v>
      </c>
      <c r="EX195" s="231">
        <v>1059</v>
      </c>
      <c r="EY195" s="229">
        <v>8.0000000000000004E-4</v>
      </c>
      <c r="EZ195" s="229">
        <v>0.34789999999999999</v>
      </c>
      <c r="FA195" s="227" t="s">
        <v>556</v>
      </c>
      <c r="FB195" s="161">
        <f t="shared" ref="FB195:FB258" si="5">BX261-CB261</f>
        <v>0</v>
      </c>
    </row>
    <row r="196" spans="1:158" ht="17.25" thickBot="1" x14ac:dyDescent="0.3">
      <c r="A196" s="226">
        <v>46008</v>
      </c>
      <c r="B196" s="227" t="s">
        <v>221</v>
      </c>
      <c r="C196" s="227" t="s">
        <v>296</v>
      </c>
      <c r="D196" s="228">
        <v>600</v>
      </c>
      <c r="E196" s="231">
        <v>1582.6</v>
      </c>
      <c r="F196" s="231">
        <v>1580.4</v>
      </c>
      <c r="G196" s="228">
        <v>2.2000000000000002</v>
      </c>
      <c r="H196" s="229">
        <v>1.4E-3</v>
      </c>
      <c r="I196" s="231">
        <v>1579.4</v>
      </c>
      <c r="J196" s="231">
        <v>1578.2</v>
      </c>
      <c r="K196" s="228">
        <v>1.2</v>
      </c>
      <c r="L196" s="229">
        <v>8.0000000000000004E-4</v>
      </c>
      <c r="M196" s="231">
        <v>1582.6</v>
      </c>
      <c r="N196" s="231">
        <v>1580.4</v>
      </c>
      <c r="O196" s="228">
        <v>2.2000000000000002</v>
      </c>
      <c r="P196" s="229">
        <v>1.4E-3</v>
      </c>
      <c r="Q196" s="231">
        <v>1592.4</v>
      </c>
      <c r="R196" s="231">
        <v>1590.4</v>
      </c>
      <c r="S196" s="228">
        <v>2</v>
      </c>
      <c r="T196" s="229">
        <v>1.2999999999999999E-3</v>
      </c>
      <c r="U196" s="231">
        <v>1601</v>
      </c>
      <c r="V196" s="231">
        <v>1598.6</v>
      </c>
      <c r="W196" s="228">
        <v>2.4</v>
      </c>
      <c r="X196" s="229">
        <v>1.5E-3</v>
      </c>
      <c r="Y196" s="228">
        <v>3.2</v>
      </c>
      <c r="Z196" s="228">
        <v>2.2000000000000002</v>
      </c>
      <c r="AA196" s="228">
        <v>1</v>
      </c>
      <c r="AB196" s="229">
        <v>2E-3</v>
      </c>
      <c r="AC196" s="228">
        <v>3.2</v>
      </c>
      <c r="AD196" s="228">
        <v>2.2000000000000002</v>
      </c>
      <c r="AE196" s="228">
        <v>1</v>
      </c>
      <c r="AF196" s="229">
        <v>2E-3</v>
      </c>
      <c r="AG196" s="228">
        <v>13</v>
      </c>
      <c r="AH196" s="228">
        <v>12.2</v>
      </c>
      <c r="AI196" s="228">
        <v>0.8</v>
      </c>
      <c r="AJ196" s="229">
        <v>8.2000000000000007E-3</v>
      </c>
      <c r="AK196" s="228">
        <v>21.6</v>
      </c>
      <c r="AL196" s="228">
        <v>20.399999999999999</v>
      </c>
      <c r="AM196" s="228">
        <v>1.2</v>
      </c>
      <c r="AN196" s="229">
        <v>1.37E-2</v>
      </c>
      <c r="AO196" s="231">
        <v>1583.26</v>
      </c>
      <c r="AP196" s="231">
        <v>1594.31</v>
      </c>
      <c r="AQ196" s="228">
        <v>0</v>
      </c>
      <c r="AR196" s="230">
        <v>1109400</v>
      </c>
      <c r="AS196" s="230">
        <v>2278800</v>
      </c>
      <c r="AT196" s="230">
        <v>-1169400</v>
      </c>
      <c r="AU196" s="229">
        <v>-0.51319999999999999</v>
      </c>
      <c r="AV196" s="230">
        <v>936000</v>
      </c>
      <c r="AW196" s="230">
        <v>1996800</v>
      </c>
      <c r="AX196" s="230">
        <v>-1060800</v>
      </c>
      <c r="AY196" s="229">
        <v>-0.53129999999999999</v>
      </c>
      <c r="AZ196" s="230">
        <v>167400</v>
      </c>
      <c r="BA196" s="230">
        <v>274200</v>
      </c>
      <c r="BB196" s="230">
        <v>-106800</v>
      </c>
      <c r="BC196" s="229">
        <v>-0.38950000000000001</v>
      </c>
      <c r="BD196" s="230">
        <v>6000</v>
      </c>
      <c r="BE196" s="230">
        <v>7800</v>
      </c>
      <c r="BF196" s="230">
        <v>-1800</v>
      </c>
      <c r="BG196" s="229">
        <v>-0.23080000000000001</v>
      </c>
      <c r="BH196" s="230">
        <v>4126800</v>
      </c>
      <c r="BI196" s="230">
        <v>4245600</v>
      </c>
      <c r="BJ196" s="230">
        <v>-118800</v>
      </c>
      <c r="BK196" s="229">
        <v>-2.8000000000000001E-2</v>
      </c>
      <c r="BL196" s="230">
        <v>1711800</v>
      </c>
      <c r="BM196" s="230">
        <v>2241000</v>
      </c>
      <c r="BN196" s="230">
        <v>-529200</v>
      </c>
      <c r="BO196" s="229">
        <v>-0.2361</v>
      </c>
      <c r="BP196" s="230">
        <v>6948000</v>
      </c>
      <c r="BQ196" s="230">
        <v>8765400</v>
      </c>
      <c r="BR196" s="230">
        <v>-1817400</v>
      </c>
      <c r="BS196" s="229">
        <v>-0.20730000000000001</v>
      </c>
      <c r="BT196" s="230">
        <v>594386</v>
      </c>
      <c r="BU196" s="230">
        <v>1217186</v>
      </c>
      <c r="BV196" s="230">
        <v>-622800</v>
      </c>
      <c r="BW196" s="229">
        <v>-0.51170000000000004</v>
      </c>
      <c r="BX196" s="230">
        <v>21811800</v>
      </c>
      <c r="BY196" s="230">
        <v>21765000</v>
      </c>
      <c r="BZ196" s="230">
        <v>46800</v>
      </c>
      <c r="CA196" s="229">
        <v>2.2000000000000001E-3</v>
      </c>
      <c r="CB196" s="230">
        <v>20932800</v>
      </c>
      <c r="CC196" s="230">
        <v>20956200</v>
      </c>
      <c r="CD196" s="230">
        <v>-23400</v>
      </c>
      <c r="CE196" s="229">
        <v>-1.1000000000000001E-3</v>
      </c>
      <c r="CF196" s="230">
        <v>821400</v>
      </c>
      <c r="CG196" s="230">
        <v>751200</v>
      </c>
      <c r="CH196" s="230">
        <v>70200</v>
      </c>
      <c r="CI196" s="229">
        <v>9.35E-2</v>
      </c>
      <c r="CJ196" s="230">
        <v>57600</v>
      </c>
      <c r="CK196" s="230">
        <v>57600</v>
      </c>
      <c r="CL196" s="228">
        <v>0</v>
      </c>
      <c r="CM196" s="229">
        <v>0</v>
      </c>
      <c r="CN196" s="230">
        <v>6504000</v>
      </c>
      <c r="CO196" s="230">
        <v>6067800</v>
      </c>
      <c r="CP196" s="230">
        <v>436200</v>
      </c>
      <c r="CQ196" s="229">
        <v>7.1900000000000006E-2</v>
      </c>
      <c r="CR196" s="230">
        <v>4959600</v>
      </c>
      <c r="CS196" s="230">
        <v>4756200</v>
      </c>
      <c r="CT196" s="230">
        <v>203400</v>
      </c>
      <c r="CU196" s="229">
        <v>4.2799999999999998E-2</v>
      </c>
      <c r="CV196" s="230">
        <v>33275400</v>
      </c>
      <c r="CW196" s="230">
        <v>32589000</v>
      </c>
      <c r="CX196" s="230">
        <v>686400</v>
      </c>
      <c r="CY196" s="229">
        <v>2.1100000000000001E-2</v>
      </c>
      <c r="CZ196" s="228">
        <v>19.46</v>
      </c>
      <c r="DA196" s="228">
        <v>20.239999999999998</v>
      </c>
      <c r="DB196" s="228">
        <v>-0.78</v>
      </c>
      <c r="DC196" s="228">
        <v>-0.78</v>
      </c>
      <c r="DD196" s="228">
        <v>28.54</v>
      </c>
      <c r="DE196" s="228">
        <v>28.61</v>
      </c>
      <c r="DF196" s="228">
        <v>-9.08</v>
      </c>
      <c r="DG196" s="228">
        <v>-7.0000000000000007E-2</v>
      </c>
      <c r="DH196" s="228">
        <v>18.75</v>
      </c>
      <c r="DI196" s="228">
        <v>19.71</v>
      </c>
      <c r="DJ196" s="228">
        <v>-0.96</v>
      </c>
      <c r="DK196" s="228">
        <v>-0.96</v>
      </c>
      <c r="DL196" s="228">
        <v>21.2</v>
      </c>
      <c r="DM196" s="228">
        <v>21.23</v>
      </c>
      <c r="DN196" s="228">
        <v>-0.03</v>
      </c>
      <c r="DO196" s="228">
        <v>-0.03</v>
      </c>
      <c r="DP196" s="228">
        <v>0.76</v>
      </c>
      <c r="DQ196" s="228">
        <v>0.78</v>
      </c>
      <c r="DR196" s="228">
        <v>-0.02</v>
      </c>
      <c r="DS196" s="229">
        <v>-2.5600000000000001E-2</v>
      </c>
      <c r="DT196" s="231">
        <v>1600</v>
      </c>
      <c r="DU196" s="231">
        <v>1500</v>
      </c>
      <c r="DV196" s="228">
        <v>0.41</v>
      </c>
      <c r="DW196" s="228">
        <v>0.53</v>
      </c>
      <c r="DX196" s="228">
        <v>-0.12</v>
      </c>
      <c r="DY196" s="229">
        <v>-0.22639999999999999</v>
      </c>
      <c r="DZ196" s="229">
        <v>4.0300000000000002E-2</v>
      </c>
      <c r="EA196" s="230">
        <v>808800</v>
      </c>
      <c r="EB196" s="229">
        <v>6.1999999999999998E-3</v>
      </c>
      <c r="EC196" s="229">
        <v>4.0300000000000002E-2</v>
      </c>
      <c r="ED196" s="228">
        <v>11.05</v>
      </c>
      <c r="EE196" s="229">
        <v>7.0000000000000001E-3</v>
      </c>
      <c r="EF196" s="230">
        <v>305508</v>
      </c>
      <c r="EG196" s="230">
        <v>791728</v>
      </c>
      <c r="EH196" s="229">
        <v>-0.61409999999999998</v>
      </c>
      <c r="EI196" s="229">
        <v>0.51400000000000001</v>
      </c>
      <c r="EJ196" s="231">
        <v>67022.16</v>
      </c>
      <c r="EK196" s="231">
        <v>26526.95</v>
      </c>
      <c r="EL196" s="231">
        <v>17584.23</v>
      </c>
      <c r="EM196" s="231">
        <v>3440</v>
      </c>
      <c r="EN196" s="231">
        <v>111133.34</v>
      </c>
      <c r="EO196" s="231">
        <v>139785.04</v>
      </c>
      <c r="EP196" s="231">
        <v>-28651.7</v>
      </c>
      <c r="EQ196" s="229">
        <v>-0.20499999999999999</v>
      </c>
      <c r="ER196" s="231">
        <v>104476</v>
      </c>
      <c r="ES196" s="231">
        <v>73212</v>
      </c>
      <c r="ET196" s="231">
        <v>345285</v>
      </c>
      <c r="EU196" s="231">
        <v>76137451</v>
      </c>
      <c r="EV196" s="231">
        <v>522973</v>
      </c>
      <c r="EW196" s="231">
        <v>511642</v>
      </c>
      <c r="EX196" s="231">
        <v>11331</v>
      </c>
      <c r="EY196" s="229">
        <v>2.2100000000000002E-2</v>
      </c>
      <c r="EZ196" s="229">
        <v>0.437</v>
      </c>
      <c r="FA196" s="227" t="s">
        <v>555</v>
      </c>
      <c r="FB196" s="161">
        <f t="shared" si="5"/>
        <v>0</v>
      </c>
    </row>
    <row r="197" spans="1:158" ht="17.25" thickBot="1" x14ac:dyDescent="0.3">
      <c r="A197" s="226">
        <v>46008</v>
      </c>
      <c r="B197" s="227" t="s">
        <v>184</v>
      </c>
      <c r="C197" s="227" t="s">
        <v>595</v>
      </c>
      <c r="D197" s="228">
        <v>200</v>
      </c>
      <c r="E197" s="231">
        <v>2623.6</v>
      </c>
      <c r="F197" s="231">
        <v>2627</v>
      </c>
      <c r="G197" s="228">
        <v>-3.4</v>
      </c>
      <c r="H197" s="229">
        <v>-1.2999999999999999E-3</v>
      </c>
      <c r="I197" s="231">
        <v>2614.1</v>
      </c>
      <c r="J197" s="231">
        <v>2622.4</v>
      </c>
      <c r="K197" s="228">
        <v>-8.3000000000000007</v>
      </c>
      <c r="L197" s="229">
        <v>-3.2000000000000002E-3</v>
      </c>
      <c r="M197" s="231">
        <v>2623.6</v>
      </c>
      <c r="N197" s="231">
        <v>2627</v>
      </c>
      <c r="O197" s="228">
        <v>-3.4</v>
      </c>
      <c r="P197" s="229">
        <v>-1.2999999999999999E-3</v>
      </c>
      <c r="Q197" s="231">
        <v>2637</v>
      </c>
      <c r="R197" s="231">
        <v>2643.2</v>
      </c>
      <c r="S197" s="228">
        <v>-6.2</v>
      </c>
      <c r="T197" s="229">
        <v>-2.3E-3</v>
      </c>
      <c r="U197" s="231">
        <v>2647</v>
      </c>
      <c r="V197" s="231">
        <v>2654.1</v>
      </c>
      <c r="W197" s="228">
        <v>-7.1</v>
      </c>
      <c r="X197" s="229">
        <v>-2.7000000000000001E-3</v>
      </c>
      <c r="Y197" s="228">
        <v>9.5</v>
      </c>
      <c r="Z197" s="228">
        <v>4.5999999999999996</v>
      </c>
      <c r="AA197" s="228">
        <v>4.9000000000000004</v>
      </c>
      <c r="AB197" s="229">
        <v>3.5999999999999999E-3</v>
      </c>
      <c r="AC197" s="228">
        <v>9.5</v>
      </c>
      <c r="AD197" s="228">
        <v>4.5999999999999996</v>
      </c>
      <c r="AE197" s="228">
        <v>4.9000000000000004</v>
      </c>
      <c r="AF197" s="229">
        <v>3.5999999999999999E-3</v>
      </c>
      <c r="AG197" s="228">
        <v>22.9</v>
      </c>
      <c r="AH197" s="228">
        <v>20.8</v>
      </c>
      <c r="AI197" s="228">
        <v>2.1</v>
      </c>
      <c r="AJ197" s="229">
        <v>8.8000000000000005E-3</v>
      </c>
      <c r="AK197" s="228">
        <v>32.9</v>
      </c>
      <c r="AL197" s="228">
        <v>31.7</v>
      </c>
      <c r="AM197" s="228">
        <v>1.2</v>
      </c>
      <c r="AN197" s="229">
        <v>1.26E-2</v>
      </c>
      <c r="AO197" s="231">
        <v>2633.27</v>
      </c>
      <c r="AP197" s="231">
        <v>2644.12</v>
      </c>
      <c r="AQ197" s="228">
        <v>0</v>
      </c>
      <c r="AR197" s="230">
        <v>289400</v>
      </c>
      <c r="AS197" s="230">
        <v>189200</v>
      </c>
      <c r="AT197" s="230">
        <v>100200</v>
      </c>
      <c r="AU197" s="229">
        <v>0.52959999999999996</v>
      </c>
      <c r="AV197" s="230">
        <v>225600</v>
      </c>
      <c r="AW197" s="230">
        <v>156800</v>
      </c>
      <c r="AX197" s="230">
        <v>68800</v>
      </c>
      <c r="AY197" s="229">
        <v>0.43880000000000002</v>
      </c>
      <c r="AZ197" s="230">
        <v>62600</v>
      </c>
      <c r="BA197" s="230">
        <v>30800</v>
      </c>
      <c r="BB197" s="230">
        <v>31800</v>
      </c>
      <c r="BC197" s="229">
        <v>1.0325</v>
      </c>
      <c r="BD197" s="230">
        <v>1200</v>
      </c>
      <c r="BE197" s="230">
        <v>1600</v>
      </c>
      <c r="BF197" s="228">
        <v>-400</v>
      </c>
      <c r="BG197" s="229">
        <v>-0.25</v>
      </c>
      <c r="BH197" s="230">
        <v>1153000</v>
      </c>
      <c r="BI197" s="230">
        <v>690800</v>
      </c>
      <c r="BJ197" s="230">
        <v>462200</v>
      </c>
      <c r="BK197" s="229">
        <v>0.66910000000000003</v>
      </c>
      <c r="BL197" s="230">
        <v>246200</v>
      </c>
      <c r="BM197" s="230">
        <v>181200</v>
      </c>
      <c r="BN197" s="230">
        <v>65000</v>
      </c>
      <c r="BO197" s="229">
        <v>0.35870000000000002</v>
      </c>
      <c r="BP197" s="230">
        <v>1688600</v>
      </c>
      <c r="BQ197" s="230">
        <v>1061200</v>
      </c>
      <c r="BR197" s="230">
        <v>627400</v>
      </c>
      <c r="BS197" s="229">
        <v>0.59119999999999995</v>
      </c>
      <c r="BT197" s="230">
        <v>183154</v>
      </c>
      <c r="BU197" s="230">
        <v>162442</v>
      </c>
      <c r="BV197" s="230">
        <v>20712</v>
      </c>
      <c r="BW197" s="229">
        <v>0.1275</v>
      </c>
      <c r="BX197" s="230">
        <v>3188200</v>
      </c>
      <c r="BY197" s="230">
        <v>3151800</v>
      </c>
      <c r="BZ197" s="230">
        <v>36400</v>
      </c>
      <c r="CA197" s="229">
        <v>1.15E-2</v>
      </c>
      <c r="CB197" s="230">
        <v>3020200</v>
      </c>
      <c r="CC197" s="230">
        <v>3015400</v>
      </c>
      <c r="CD197" s="230">
        <v>4800</v>
      </c>
      <c r="CE197" s="229">
        <v>1.6000000000000001E-3</v>
      </c>
      <c r="CF197" s="230">
        <v>150600</v>
      </c>
      <c r="CG197" s="230">
        <v>119200</v>
      </c>
      <c r="CH197" s="230">
        <v>31400</v>
      </c>
      <c r="CI197" s="229">
        <v>0.26340000000000002</v>
      </c>
      <c r="CJ197" s="230">
        <v>17400</v>
      </c>
      <c r="CK197" s="230">
        <v>17200</v>
      </c>
      <c r="CL197" s="228">
        <v>200</v>
      </c>
      <c r="CM197" s="229">
        <v>1.1599999999999999E-2</v>
      </c>
      <c r="CN197" s="230">
        <v>1581400</v>
      </c>
      <c r="CO197" s="230">
        <v>1570200</v>
      </c>
      <c r="CP197" s="230">
        <v>11200</v>
      </c>
      <c r="CQ197" s="229">
        <v>7.1000000000000004E-3</v>
      </c>
      <c r="CR197" s="230">
        <v>953800</v>
      </c>
      <c r="CS197" s="230">
        <v>958000</v>
      </c>
      <c r="CT197" s="230">
        <v>-4200</v>
      </c>
      <c r="CU197" s="229">
        <v>-4.4000000000000003E-3</v>
      </c>
      <c r="CV197" s="230">
        <v>5723400</v>
      </c>
      <c r="CW197" s="230">
        <v>5680000</v>
      </c>
      <c r="CX197" s="230">
        <v>43400</v>
      </c>
      <c r="CY197" s="229">
        <v>7.6E-3</v>
      </c>
      <c r="CZ197" s="228">
        <v>28.32</v>
      </c>
      <c r="DA197" s="228">
        <v>29.69</v>
      </c>
      <c r="DB197" s="228">
        <v>-1.37</v>
      </c>
      <c r="DC197" s="228">
        <v>-1.37</v>
      </c>
      <c r="DD197" s="228">
        <v>40.729999999999997</v>
      </c>
      <c r="DE197" s="228">
        <v>40.840000000000003</v>
      </c>
      <c r="DF197" s="228">
        <v>-12.41</v>
      </c>
      <c r="DG197" s="228">
        <v>-0.11</v>
      </c>
      <c r="DH197" s="228">
        <v>28.52</v>
      </c>
      <c r="DI197" s="228">
        <v>30.4</v>
      </c>
      <c r="DJ197" s="228">
        <v>-1.88</v>
      </c>
      <c r="DK197" s="228">
        <v>-1.88</v>
      </c>
      <c r="DL197" s="228">
        <v>27.39</v>
      </c>
      <c r="DM197" s="228">
        <v>27.01</v>
      </c>
      <c r="DN197" s="228">
        <v>0.38</v>
      </c>
      <c r="DO197" s="228">
        <v>0.38</v>
      </c>
      <c r="DP197" s="228">
        <v>0.6</v>
      </c>
      <c r="DQ197" s="228">
        <v>0.61</v>
      </c>
      <c r="DR197" s="228">
        <v>-0.01</v>
      </c>
      <c r="DS197" s="229">
        <v>-1.6400000000000001E-2</v>
      </c>
      <c r="DT197" s="231">
        <v>2800</v>
      </c>
      <c r="DU197" s="231">
        <v>2500</v>
      </c>
      <c r="DV197" s="228">
        <v>0.21</v>
      </c>
      <c r="DW197" s="228">
        <v>0.26</v>
      </c>
      <c r="DX197" s="228">
        <v>-0.05</v>
      </c>
      <c r="DY197" s="229">
        <v>-0.1923</v>
      </c>
      <c r="DZ197" s="229">
        <v>5.2699999999999997E-2</v>
      </c>
      <c r="EA197" s="230">
        <v>136400</v>
      </c>
      <c r="EB197" s="229">
        <v>5.1000000000000004E-3</v>
      </c>
      <c r="EC197" s="229">
        <v>5.2699999999999997E-2</v>
      </c>
      <c r="ED197" s="228">
        <v>10.85</v>
      </c>
      <c r="EE197" s="229">
        <v>4.1000000000000003E-3</v>
      </c>
      <c r="EF197" s="230">
        <v>99360</v>
      </c>
      <c r="EG197" s="230">
        <v>89187</v>
      </c>
      <c r="EH197" s="229">
        <v>0.11409999999999999</v>
      </c>
      <c r="EI197" s="229">
        <v>0.54249999999999998</v>
      </c>
      <c r="EJ197" s="231">
        <v>31883.67</v>
      </c>
      <c r="EK197" s="231">
        <v>6419</v>
      </c>
      <c r="EL197" s="231">
        <v>7627.7</v>
      </c>
      <c r="EM197" s="231">
        <v>2119</v>
      </c>
      <c r="EN197" s="231">
        <v>45930.37</v>
      </c>
      <c r="EO197" s="231">
        <v>29168.48</v>
      </c>
      <c r="EP197" s="231">
        <v>16761.89</v>
      </c>
      <c r="EQ197" s="229">
        <v>0.57469999999999999</v>
      </c>
      <c r="ER197" s="231">
        <v>45125</v>
      </c>
      <c r="ES197" s="231">
        <v>25293</v>
      </c>
      <c r="ET197" s="231">
        <v>83670</v>
      </c>
      <c r="EU197" s="231">
        <v>14039249</v>
      </c>
      <c r="EV197" s="231">
        <v>154088</v>
      </c>
      <c r="EW197" s="231">
        <v>153195</v>
      </c>
      <c r="EX197" s="228">
        <v>893</v>
      </c>
      <c r="EY197" s="229">
        <v>5.7999999999999996E-3</v>
      </c>
      <c r="EZ197" s="229">
        <v>0.40770000000000001</v>
      </c>
      <c r="FA197" s="227" t="s">
        <v>567</v>
      </c>
      <c r="FB197" s="161">
        <f t="shared" si="5"/>
        <v>0</v>
      </c>
    </row>
    <row r="198" spans="1:158" ht="17.25" thickBot="1" x14ac:dyDescent="0.3">
      <c r="A198" s="226">
        <v>46008</v>
      </c>
      <c r="B198" s="227" t="s">
        <v>184</v>
      </c>
      <c r="C198" s="227" t="s">
        <v>663</v>
      </c>
      <c r="D198" s="228">
        <v>725</v>
      </c>
      <c r="E198" s="228">
        <v>775.3</v>
      </c>
      <c r="F198" s="228">
        <v>789.75</v>
      </c>
      <c r="G198" s="228">
        <v>-14.45</v>
      </c>
      <c r="H198" s="229">
        <v>-1.83E-2</v>
      </c>
      <c r="I198" s="228">
        <v>774.55</v>
      </c>
      <c r="J198" s="228">
        <v>789.8</v>
      </c>
      <c r="K198" s="228">
        <v>-15.25</v>
      </c>
      <c r="L198" s="229">
        <v>-1.9300000000000001E-2</v>
      </c>
      <c r="M198" s="228">
        <v>775.3</v>
      </c>
      <c r="N198" s="228">
        <v>789.75</v>
      </c>
      <c r="O198" s="228">
        <v>-14.45</v>
      </c>
      <c r="P198" s="229">
        <v>-1.83E-2</v>
      </c>
      <c r="Q198" s="228">
        <v>0</v>
      </c>
      <c r="R198" s="228">
        <v>0</v>
      </c>
      <c r="S198" s="228">
        <v>0</v>
      </c>
      <c r="T198" s="229">
        <v>0</v>
      </c>
      <c r="U198" s="228">
        <v>0</v>
      </c>
      <c r="V198" s="228">
        <v>0</v>
      </c>
      <c r="W198" s="228">
        <v>0</v>
      </c>
      <c r="X198" s="229">
        <v>0</v>
      </c>
      <c r="Y198" s="228">
        <v>0.75</v>
      </c>
      <c r="Z198" s="228">
        <v>-0.05</v>
      </c>
      <c r="AA198" s="228">
        <v>0.8</v>
      </c>
      <c r="AB198" s="229">
        <v>1E-3</v>
      </c>
      <c r="AC198" s="228">
        <v>0.75</v>
      </c>
      <c r="AD198" s="228">
        <v>-0.05</v>
      </c>
      <c r="AE198" s="228">
        <v>0.8</v>
      </c>
      <c r="AF198" s="229">
        <v>1E-3</v>
      </c>
      <c r="AG198" s="228">
        <v>0</v>
      </c>
      <c r="AH198" s="228">
        <v>0</v>
      </c>
      <c r="AI198" s="228">
        <v>0</v>
      </c>
      <c r="AJ198" s="229">
        <v>0</v>
      </c>
      <c r="AK198" s="228">
        <v>0</v>
      </c>
      <c r="AL198" s="228">
        <v>0</v>
      </c>
      <c r="AM198" s="228">
        <v>0</v>
      </c>
      <c r="AN198" s="229">
        <v>0</v>
      </c>
      <c r="AO198" s="228">
        <v>780.11</v>
      </c>
      <c r="AP198" s="228">
        <v>0</v>
      </c>
      <c r="AQ198" s="228">
        <v>0</v>
      </c>
      <c r="AR198" s="230">
        <v>632925</v>
      </c>
      <c r="AS198" s="230">
        <v>869275</v>
      </c>
      <c r="AT198" s="230">
        <v>-236350</v>
      </c>
      <c r="AU198" s="229">
        <v>-0.27189999999999998</v>
      </c>
      <c r="AV198" s="230">
        <v>632925</v>
      </c>
      <c r="AW198" s="230">
        <v>869275</v>
      </c>
      <c r="AX198" s="230">
        <v>-236350</v>
      </c>
      <c r="AY198" s="229">
        <v>-0.27189999999999998</v>
      </c>
      <c r="AZ198" s="228">
        <v>0</v>
      </c>
      <c r="BA198" s="228">
        <v>0</v>
      </c>
      <c r="BB198" s="228">
        <v>0</v>
      </c>
      <c r="BC198" s="229">
        <v>0</v>
      </c>
      <c r="BD198" s="228">
        <v>0</v>
      </c>
      <c r="BE198" s="228">
        <v>0</v>
      </c>
      <c r="BF198" s="228">
        <v>0</v>
      </c>
      <c r="BG198" s="229">
        <v>0</v>
      </c>
      <c r="BH198" s="230">
        <v>2161225</v>
      </c>
      <c r="BI198" s="230">
        <v>2065525</v>
      </c>
      <c r="BJ198" s="230">
        <v>95700</v>
      </c>
      <c r="BK198" s="229">
        <v>4.6300000000000001E-2</v>
      </c>
      <c r="BL198" s="230">
        <v>911325</v>
      </c>
      <c r="BM198" s="230">
        <v>627125</v>
      </c>
      <c r="BN198" s="230">
        <v>284200</v>
      </c>
      <c r="BO198" s="229">
        <v>0.45319999999999999</v>
      </c>
      <c r="BP198" s="230">
        <v>3705475</v>
      </c>
      <c r="BQ198" s="230">
        <v>3561925</v>
      </c>
      <c r="BR198" s="230">
        <v>143550</v>
      </c>
      <c r="BS198" s="229">
        <v>4.0300000000000002E-2</v>
      </c>
      <c r="BT198" s="230">
        <v>421010</v>
      </c>
      <c r="BU198" s="230">
        <v>565087</v>
      </c>
      <c r="BV198" s="230">
        <v>-144077</v>
      </c>
      <c r="BW198" s="229">
        <v>-0.255</v>
      </c>
      <c r="BX198" s="230">
        <v>5496950</v>
      </c>
      <c r="BY198" s="230">
        <v>5472300</v>
      </c>
      <c r="BZ198" s="230">
        <v>24650</v>
      </c>
      <c r="CA198" s="229">
        <v>4.4999999999999997E-3</v>
      </c>
      <c r="CB198" s="230">
        <v>5496950</v>
      </c>
      <c r="CC198" s="230">
        <v>5472300</v>
      </c>
      <c r="CD198" s="230">
        <v>24650</v>
      </c>
      <c r="CE198" s="229">
        <v>4.4999999999999997E-3</v>
      </c>
      <c r="CF198" s="228">
        <v>0</v>
      </c>
      <c r="CG198" s="228">
        <v>0</v>
      </c>
      <c r="CH198" s="228">
        <v>0</v>
      </c>
      <c r="CI198" s="229">
        <v>0</v>
      </c>
      <c r="CJ198" s="228">
        <v>0</v>
      </c>
      <c r="CK198" s="228">
        <v>0</v>
      </c>
      <c r="CL198" s="228">
        <v>0</v>
      </c>
      <c r="CM198" s="229">
        <v>0</v>
      </c>
      <c r="CN198" s="230">
        <v>3792475</v>
      </c>
      <c r="CO198" s="230">
        <v>3745350</v>
      </c>
      <c r="CP198" s="230">
        <v>47125</v>
      </c>
      <c r="CQ198" s="229">
        <v>1.26E-2</v>
      </c>
      <c r="CR198" s="230">
        <v>1877750</v>
      </c>
      <c r="CS198" s="230">
        <v>1892975</v>
      </c>
      <c r="CT198" s="230">
        <v>-15225</v>
      </c>
      <c r="CU198" s="229">
        <v>-8.0000000000000002E-3</v>
      </c>
      <c r="CV198" s="230">
        <v>11167175</v>
      </c>
      <c r="CW198" s="230">
        <v>11110625</v>
      </c>
      <c r="CX198" s="230">
        <v>56550</v>
      </c>
      <c r="CY198" s="229">
        <v>5.1000000000000004E-3</v>
      </c>
      <c r="CZ198" s="228">
        <v>33.15</v>
      </c>
      <c r="DA198" s="228">
        <v>33.85</v>
      </c>
      <c r="DB198" s="228">
        <v>-0.7</v>
      </c>
      <c r="DC198" s="228">
        <v>-0.7</v>
      </c>
      <c r="DD198" s="228">
        <v>52.02</v>
      </c>
      <c r="DE198" s="228">
        <v>52.09</v>
      </c>
      <c r="DF198" s="228">
        <v>-18.87</v>
      </c>
      <c r="DG198" s="228">
        <v>-7.0000000000000007E-2</v>
      </c>
      <c r="DH198" s="228">
        <v>33.75</v>
      </c>
      <c r="DI198" s="228">
        <v>33.6</v>
      </c>
      <c r="DJ198" s="228">
        <v>0.15</v>
      </c>
      <c r="DK198" s="228">
        <v>0.15</v>
      </c>
      <c r="DL198" s="228">
        <v>31.73</v>
      </c>
      <c r="DM198" s="228">
        <v>34.65</v>
      </c>
      <c r="DN198" s="228">
        <v>-2.92</v>
      </c>
      <c r="DO198" s="228">
        <v>-2.92</v>
      </c>
      <c r="DP198" s="228">
        <v>0.5</v>
      </c>
      <c r="DQ198" s="228">
        <v>0.51</v>
      </c>
      <c r="DR198" s="228">
        <v>-0.01</v>
      </c>
      <c r="DS198" s="229">
        <v>-1.9599999999999999E-2</v>
      </c>
      <c r="DT198" s="228">
        <v>840</v>
      </c>
      <c r="DU198" s="228">
        <v>800</v>
      </c>
      <c r="DV198" s="228">
        <v>0.42</v>
      </c>
      <c r="DW198" s="228">
        <v>0.3</v>
      </c>
      <c r="DX198" s="228">
        <v>0.12</v>
      </c>
      <c r="DY198" s="229">
        <v>0.4</v>
      </c>
      <c r="DZ198" s="229">
        <v>0</v>
      </c>
      <c r="EA198" s="228">
        <v>0</v>
      </c>
      <c r="EB198" s="229">
        <v>0</v>
      </c>
      <c r="EC198" s="229">
        <v>0</v>
      </c>
      <c r="ED198" s="228">
        <v>0</v>
      </c>
      <c r="EE198" s="229">
        <v>0</v>
      </c>
      <c r="EF198" s="230">
        <v>121735</v>
      </c>
      <c r="EG198" s="230">
        <v>236835</v>
      </c>
      <c r="EH198" s="229">
        <v>-0.48599999999999999</v>
      </c>
      <c r="EI198" s="229">
        <v>0.28910000000000002</v>
      </c>
      <c r="EJ198" s="231">
        <v>18043.48</v>
      </c>
      <c r="EK198" s="231">
        <v>7014.09</v>
      </c>
      <c r="EL198" s="231">
        <v>4937.51</v>
      </c>
      <c r="EM198" s="231">
        <v>1139</v>
      </c>
      <c r="EN198" s="231">
        <v>29995.08</v>
      </c>
      <c r="EO198" s="231">
        <v>28988.1</v>
      </c>
      <c r="EP198" s="231">
        <v>1006.98</v>
      </c>
      <c r="EQ198" s="229">
        <v>3.4700000000000002E-2</v>
      </c>
      <c r="ER198" s="231">
        <v>32734</v>
      </c>
      <c r="ES198" s="231">
        <v>14780</v>
      </c>
      <c r="ET198" s="231">
        <v>42618</v>
      </c>
      <c r="EU198" s="231">
        <v>12028036</v>
      </c>
      <c r="EV198" s="231">
        <v>90132</v>
      </c>
      <c r="EW198" s="231">
        <v>90537</v>
      </c>
      <c r="EX198" s="228">
        <v>-405</v>
      </c>
      <c r="EY198" s="229">
        <v>-4.4999999999999997E-3</v>
      </c>
      <c r="EZ198" s="229">
        <v>0.9284</v>
      </c>
      <c r="FA198" s="227" t="s">
        <v>567</v>
      </c>
      <c r="FB198" s="161">
        <f t="shared" si="5"/>
        <v>0</v>
      </c>
    </row>
    <row r="199" spans="1:158" ht="17.25" thickBot="1" x14ac:dyDescent="0.3">
      <c r="A199" s="226">
        <v>46008</v>
      </c>
      <c r="B199" s="227" t="s">
        <v>168</v>
      </c>
      <c r="C199" s="227" t="s">
        <v>297</v>
      </c>
      <c r="D199" s="228">
        <v>175</v>
      </c>
      <c r="E199" s="231">
        <v>3912.7</v>
      </c>
      <c r="F199" s="231">
        <v>3935.9</v>
      </c>
      <c r="G199" s="228">
        <v>-23.2</v>
      </c>
      <c r="H199" s="229">
        <v>-5.8999999999999999E-3</v>
      </c>
      <c r="I199" s="231">
        <v>3907.9</v>
      </c>
      <c r="J199" s="231">
        <v>3929.5</v>
      </c>
      <c r="K199" s="228">
        <v>-21.6</v>
      </c>
      <c r="L199" s="229">
        <v>-5.4999999999999997E-3</v>
      </c>
      <c r="M199" s="231">
        <v>3912.7</v>
      </c>
      <c r="N199" s="231">
        <v>3935.9</v>
      </c>
      <c r="O199" s="228">
        <v>-23.2</v>
      </c>
      <c r="P199" s="229">
        <v>-5.8999999999999999E-3</v>
      </c>
      <c r="Q199" s="231">
        <v>3935.8</v>
      </c>
      <c r="R199" s="231">
        <v>3960.7</v>
      </c>
      <c r="S199" s="228">
        <v>-24.9</v>
      </c>
      <c r="T199" s="229">
        <v>-6.3E-3</v>
      </c>
      <c r="U199" s="231">
        <v>3956.4</v>
      </c>
      <c r="V199" s="231">
        <v>3979.9</v>
      </c>
      <c r="W199" s="228">
        <v>-23.5</v>
      </c>
      <c r="X199" s="229">
        <v>-5.8999999999999999E-3</v>
      </c>
      <c r="Y199" s="228">
        <v>4.8</v>
      </c>
      <c r="Z199" s="228">
        <v>6.4</v>
      </c>
      <c r="AA199" s="228">
        <v>-1.6</v>
      </c>
      <c r="AB199" s="229">
        <v>1.1999999999999999E-3</v>
      </c>
      <c r="AC199" s="228">
        <v>4.8</v>
      </c>
      <c r="AD199" s="228">
        <v>6.4</v>
      </c>
      <c r="AE199" s="228">
        <v>-1.6</v>
      </c>
      <c r="AF199" s="229">
        <v>1.1999999999999999E-3</v>
      </c>
      <c r="AG199" s="228">
        <v>27.9</v>
      </c>
      <c r="AH199" s="228">
        <v>31.2</v>
      </c>
      <c r="AI199" s="228">
        <v>-3.3</v>
      </c>
      <c r="AJ199" s="229">
        <v>7.1000000000000004E-3</v>
      </c>
      <c r="AK199" s="228">
        <v>48.5</v>
      </c>
      <c r="AL199" s="228">
        <v>50.4</v>
      </c>
      <c r="AM199" s="228">
        <v>-1.9</v>
      </c>
      <c r="AN199" s="229">
        <v>1.24E-2</v>
      </c>
      <c r="AO199" s="231">
        <v>3917.85</v>
      </c>
      <c r="AP199" s="231">
        <v>3941.68</v>
      </c>
      <c r="AQ199" s="228">
        <v>0</v>
      </c>
      <c r="AR199" s="230">
        <v>1172850</v>
      </c>
      <c r="AS199" s="230">
        <v>2297050</v>
      </c>
      <c r="AT199" s="230">
        <v>-1124200</v>
      </c>
      <c r="AU199" s="229">
        <v>-0.4894</v>
      </c>
      <c r="AV199" s="230">
        <v>833875</v>
      </c>
      <c r="AW199" s="230">
        <v>1895775</v>
      </c>
      <c r="AX199" s="230">
        <v>-1061900</v>
      </c>
      <c r="AY199" s="229">
        <v>-0.56010000000000004</v>
      </c>
      <c r="AZ199" s="230">
        <v>329875</v>
      </c>
      <c r="BA199" s="230">
        <v>367150</v>
      </c>
      <c r="BB199" s="230">
        <v>-37275</v>
      </c>
      <c r="BC199" s="229">
        <v>-0.10150000000000001</v>
      </c>
      <c r="BD199" s="230">
        <v>9100</v>
      </c>
      <c r="BE199" s="230">
        <v>34125</v>
      </c>
      <c r="BF199" s="230">
        <v>-25025</v>
      </c>
      <c r="BG199" s="229">
        <v>-0.73329999999999995</v>
      </c>
      <c r="BH199" s="230">
        <v>5565875</v>
      </c>
      <c r="BI199" s="230">
        <v>12284650</v>
      </c>
      <c r="BJ199" s="230">
        <v>-6718775</v>
      </c>
      <c r="BK199" s="229">
        <v>-0.54690000000000005</v>
      </c>
      <c r="BL199" s="230">
        <v>3537800</v>
      </c>
      <c r="BM199" s="230">
        <v>4610725</v>
      </c>
      <c r="BN199" s="230">
        <v>-1072925</v>
      </c>
      <c r="BO199" s="229">
        <v>-0.23269999999999999</v>
      </c>
      <c r="BP199" s="230">
        <v>10276525</v>
      </c>
      <c r="BQ199" s="230">
        <v>19192425</v>
      </c>
      <c r="BR199" s="230">
        <v>-8915900</v>
      </c>
      <c r="BS199" s="229">
        <v>-0.46460000000000001</v>
      </c>
      <c r="BT199" s="230">
        <v>690049</v>
      </c>
      <c r="BU199" s="230">
        <v>1574356</v>
      </c>
      <c r="BV199" s="230">
        <v>-884307</v>
      </c>
      <c r="BW199" s="229">
        <v>-0.56169999999999998</v>
      </c>
      <c r="BX199" s="230">
        <v>9315950</v>
      </c>
      <c r="BY199" s="230">
        <v>9261700</v>
      </c>
      <c r="BZ199" s="230">
        <v>54250</v>
      </c>
      <c r="CA199" s="229">
        <v>5.8999999999999999E-3</v>
      </c>
      <c r="CB199" s="230">
        <v>8154650</v>
      </c>
      <c r="CC199" s="230">
        <v>8367800</v>
      </c>
      <c r="CD199" s="230">
        <v>-213150</v>
      </c>
      <c r="CE199" s="229">
        <v>-2.5499999999999998E-2</v>
      </c>
      <c r="CF199" s="230">
        <v>1050350</v>
      </c>
      <c r="CG199" s="230">
        <v>781375</v>
      </c>
      <c r="CH199" s="230">
        <v>268975</v>
      </c>
      <c r="CI199" s="229">
        <v>0.34420000000000001</v>
      </c>
      <c r="CJ199" s="230">
        <v>110950</v>
      </c>
      <c r="CK199" s="230">
        <v>112525</v>
      </c>
      <c r="CL199" s="230">
        <v>-1575</v>
      </c>
      <c r="CM199" s="229">
        <v>-1.4E-2</v>
      </c>
      <c r="CN199" s="230">
        <v>3753050</v>
      </c>
      <c r="CO199" s="230">
        <v>3823050</v>
      </c>
      <c r="CP199" s="230">
        <v>-70000</v>
      </c>
      <c r="CQ199" s="229">
        <v>-1.83E-2</v>
      </c>
      <c r="CR199" s="230">
        <v>2309475</v>
      </c>
      <c r="CS199" s="230">
        <v>2593500</v>
      </c>
      <c r="CT199" s="230">
        <v>-284025</v>
      </c>
      <c r="CU199" s="229">
        <v>-0.1095</v>
      </c>
      <c r="CV199" s="230">
        <v>15378475</v>
      </c>
      <c r="CW199" s="230">
        <v>15678250</v>
      </c>
      <c r="CX199" s="230">
        <v>-299775</v>
      </c>
      <c r="CY199" s="229">
        <v>-1.9099999999999999E-2</v>
      </c>
      <c r="CZ199" s="228">
        <v>16.46</v>
      </c>
      <c r="DA199" s="228">
        <v>16.47</v>
      </c>
      <c r="DB199" s="228">
        <v>-0.01</v>
      </c>
      <c r="DC199" s="228">
        <v>-0.01</v>
      </c>
      <c r="DD199" s="228">
        <v>24.81</v>
      </c>
      <c r="DE199" s="228">
        <v>24.86</v>
      </c>
      <c r="DF199" s="228">
        <v>-8.35</v>
      </c>
      <c r="DG199" s="228">
        <v>-0.05</v>
      </c>
      <c r="DH199" s="228">
        <v>16.16</v>
      </c>
      <c r="DI199" s="228">
        <v>16.03</v>
      </c>
      <c r="DJ199" s="228">
        <v>0.13</v>
      </c>
      <c r="DK199" s="228">
        <v>0.13</v>
      </c>
      <c r="DL199" s="228">
        <v>16.940000000000001</v>
      </c>
      <c r="DM199" s="228">
        <v>17.62</v>
      </c>
      <c r="DN199" s="228">
        <v>-0.68</v>
      </c>
      <c r="DO199" s="228">
        <v>-0.68</v>
      </c>
      <c r="DP199" s="228">
        <v>0.62</v>
      </c>
      <c r="DQ199" s="228">
        <v>0.68</v>
      </c>
      <c r="DR199" s="228">
        <v>-0.06</v>
      </c>
      <c r="DS199" s="229">
        <v>-8.8200000000000001E-2</v>
      </c>
      <c r="DT199" s="231">
        <v>4000</v>
      </c>
      <c r="DU199" s="231">
        <v>3800</v>
      </c>
      <c r="DV199" s="228">
        <v>0.64</v>
      </c>
      <c r="DW199" s="228">
        <v>0.38</v>
      </c>
      <c r="DX199" s="228">
        <v>0.26</v>
      </c>
      <c r="DY199" s="229">
        <v>0.68420000000000003</v>
      </c>
      <c r="DZ199" s="229">
        <v>0.12470000000000001</v>
      </c>
      <c r="EA199" s="230">
        <v>893900</v>
      </c>
      <c r="EB199" s="229">
        <v>5.8999999999999999E-3</v>
      </c>
      <c r="EC199" s="229">
        <v>0.12470000000000001</v>
      </c>
      <c r="ED199" s="228">
        <v>23.83</v>
      </c>
      <c r="EE199" s="229">
        <v>6.1000000000000004E-3</v>
      </c>
      <c r="EF199" s="230">
        <v>473267</v>
      </c>
      <c r="EG199" s="230">
        <v>1035250</v>
      </c>
      <c r="EH199" s="229">
        <v>-0.54279999999999995</v>
      </c>
      <c r="EI199" s="229">
        <v>0.68579999999999997</v>
      </c>
      <c r="EJ199" s="231">
        <v>223180.18</v>
      </c>
      <c r="EK199" s="231">
        <v>136618.19</v>
      </c>
      <c r="EL199" s="231">
        <v>46033.31</v>
      </c>
      <c r="EM199" s="231">
        <v>5914</v>
      </c>
      <c r="EN199" s="231">
        <v>405831.67999999999</v>
      </c>
      <c r="EO199" s="231">
        <v>758747.16</v>
      </c>
      <c r="EP199" s="231">
        <v>-352915.48</v>
      </c>
      <c r="EQ199" s="229">
        <v>-0.46510000000000001</v>
      </c>
      <c r="ER199" s="231">
        <v>149749</v>
      </c>
      <c r="ES199" s="231">
        <v>86430</v>
      </c>
      <c r="ET199" s="231">
        <v>364796</v>
      </c>
      <c r="EU199" s="231">
        <v>41744334</v>
      </c>
      <c r="EV199" s="231">
        <v>600975</v>
      </c>
      <c r="EW199" s="231">
        <v>614319</v>
      </c>
      <c r="EX199" s="231">
        <v>-13344</v>
      </c>
      <c r="EY199" s="229">
        <v>-2.1700000000000001E-2</v>
      </c>
      <c r="EZ199" s="229">
        <v>0.36840000000000001</v>
      </c>
      <c r="FA199" s="227" t="s">
        <v>567</v>
      </c>
      <c r="FB199" s="161">
        <f t="shared" si="5"/>
        <v>0</v>
      </c>
    </row>
    <row r="200" spans="1:158" ht="17.25" thickBot="1" x14ac:dyDescent="0.3">
      <c r="A200" s="226">
        <v>46008</v>
      </c>
      <c r="B200" s="227" t="s">
        <v>162</v>
      </c>
      <c r="C200" s="227" t="s">
        <v>690</v>
      </c>
      <c r="D200" s="228">
        <v>800</v>
      </c>
      <c r="E200" s="228">
        <v>346.6</v>
      </c>
      <c r="F200" s="228">
        <v>346.35</v>
      </c>
      <c r="G200" s="228">
        <v>0.25</v>
      </c>
      <c r="H200" s="229">
        <v>6.9999999999999999E-4</v>
      </c>
      <c r="I200" s="228">
        <v>346.35</v>
      </c>
      <c r="J200" s="228">
        <v>345.45</v>
      </c>
      <c r="K200" s="228">
        <v>0.9</v>
      </c>
      <c r="L200" s="229">
        <v>2.5999999999999999E-3</v>
      </c>
      <c r="M200" s="228">
        <v>346.6</v>
      </c>
      <c r="N200" s="228">
        <v>346.35</v>
      </c>
      <c r="O200" s="228">
        <v>0.25</v>
      </c>
      <c r="P200" s="229">
        <v>6.9999999999999999E-4</v>
      </c>
      <c r="Q200" s="228">
        <v>348.45</v>
      </c>
      <c r="R200" s="228">
        <v>348.3</v>
      </c>
      <c r="S200" s="228">
        <v>0.15</v>
      </c>
      <c r="T200" s="229">
        <v>4.0000000000000002E-4</v>
      </c>
      <c r="U200" s="228">
        <v>351.15</v>
      </c>
      <c r="V200" s="228">
        <v>350.5</v>
      </c>
      <c r="W200" s="228">
        <v>0.65</v>
      </c>
      <c r="X200" s="229">
        <v>1.9E-3</v>
      </c>
      <c r="Y200" s="228">
        <v>0.25</v>
      </c>
      <c r="Z200" s="228">
        <v>0.9</v>
      </c>
      <c r="AA200" s="228">
        <v>-0.65</v>
      </c>
      <c r="AB200" s="229">
        <v>6.9999999999999999E-4</v>
      </c>
      <c r="AC200" s="228">
        <v>0.25</v>
      </c>
      <c r="AD200" s="228">
        <v>0.9</v>
      </c>
      <c r="AE200" s="228">
        <v>-0.65</v>
      </c>
      <c r="AF200" s="229">
        <v>6.9999999999999999E-4</v>
      </c>
      <c r="AG200" s="228">
        <v>2.1</v>
      </c>
      <c r="AH200" s="228">
        <v>2.85</v>
      </c>
      <c r="AI200" s="228">
        <v>-0.75</v>
      </c>
      <c r="AJ200" s="229">
        <v>6.1000000000000004E-3</v>
      </c>
      <c r="AK200" s="228">
        <v>4.8</v>
      </c>
      <c r="AL200" s="228">
        <v>5.05</v>
      </c>
      <c r="AM200" s="228">
        <v>-0.25</v>
      </c>
      <c r="AN200" s="229">
        <v>1.3899999999999999E-2</v>
      </c>
      <c r="AO200" s="228">
        <v>347.8</v>
      </c>
      <c r="AP200" s="228">
        <v>349.61</v>
      </c>
      <c r="AQ200" s="228">
        <v>0</v>
      </c>
      <c r="AR200" s="230">
        <v>13652800</v>
      </c>
      <c r="AS200" s="230">
        <v>11104800</v>
      </c>
      <c r="AT200" s="230">
        <v>2548000</v>
      </c>
      <c r="AU200" s="229">
        <v>0.22950000000000001</v>
      </c>
      <c r="AV200" s="230">
        <v>10107200</v>
      </c>
      <c r="AW200" s="230">
        <v>8748800</v>
      </c>
      <c r="AX200" s="230">
        <v>1358400</v>
      </c>
      <c r="AY200" s="229">
        <v>0.15529999999999999</v>
      </c>
      <c r="AZ200" s="230">
        <v>3327200</v>
      </c>
      <c r="BA200" s="230">
        <v>2152800</v>
      </c>
      <c r="BB200" s="230">
        <v>1174400</v>
      </c>
      <c r="BC200" s="229">
        <v>0.54549999999999998</v>
      </c>
      <c r="BD200" s="230">
        <v>218400</v>
      </c>
      <c r="BE200" s="230">
        <v>203200</v>
      </c>
      <c r="BF200" s="230">
        <v>15200</v>
      </c>
      <c r="BG200" s="229">
        <v>7.4800000000000005E-2</v>
      </c>
      <c r="BH200" s="230">
        <v>61768000</v>
      </c>
      <c r="BI200" s="230">
        <v>44224000</v>
      </c>
      <c r="BJ200" s="230">
        <v>17544000</v>
      </c>
      <c r="BK200" s="229">
        <v>0.3967</v>
      </c>
      <c r="BL200" s="230">
        <v>19312800</v>
      </c>
      <c r="BM200" s="230">
        <v>11020800</v>
      </c>
      <c r="BN200" s="230">
        <v>8292000</v>
      </c>
      <c r="BO200" s="229">
        <v>0.75239999999999996</v>
      </c>
      <c r="BP200" s="230">
        <v>94733600</v>
      </c>
      <c r="BQ200" s="230">
        <v>66349600</v>
      </c>
      <c r="BR200" s="230">
        <v>28384000</v>
      </c>
      <c r="BS200" s="229">
        <v>0.42780000000000001</v>
      </c>
      <c r="BT200" s="230">
        <v>7045390</v>
      </c>
      <c r="BU200" s="230">
        <v>8391226</v>
      </c>
      <c r="BV200" s="230">
        <v>-1345836</v>
      </c>
      <c r="BW200" s="229">
        <v>-0.16039999999999999</v>
      </c>
      <c r="BX200" s="230">
        <v>97409600</v>
      </c>
      <c r="BY200" s="230">
        <v>95665600</v>
      </c>
      <c r="BZ200" s="230">
        <v>1744000</v>
      </c>
      <c r="CA200" s="229">
        <v>1.8200000000000001E-2</v>
      </c>
      <c r="CB200" s="230">
        <v>82269600</v>
      </c>
      <c r="CC200" s="230">
        <v>82564000</v>
      </c>
      <c r="CD200" s="230">
        <v>-294400</v>
      </c>
      <c r="CE200" s="229">
        <v>-3.5999999999999999E-3</v>
      </c>
      <c r="CF200" s="230">
        <v>13760000</v>
      </c>
      <c r="CG200" s="230">
        <v>11729600</v>
      </c>
      <c r="CH200" s="230">
        <v>2030400</v>
      </c>
      <c r="CI200" s="229">
        <v>0.1731</v>
      </c>
      <c r="CJ200" s="230">
        <v>1380000</v>
      </c>
      <c r="CK200" s="230">
        <v>1372000</v>
      </c>
      <c r="CL200" s="230">
        <v>8000</v>
      </c>
      <c r="CM200" s="229">
        <v>5.7999999999999996E-3</v>
      </c>
      <c r="CN200" s="230">
        <v>75400000</v>
      </c>
      <c r="CO200" s="230">
        <v>75572000</v>
      </c>
      <c r="CP200" s="230">
        <v>-172000</v>
      </c>
      <c r="CQ200" s="229">
        <v>-2.3E-3</v>
      </c>
      <c r="CR200" s="230">
        <v>35515200</v>
      </c>
      <c r="CS200" s="230">
        <v>34304000</v>
      </c>
      <c r="CT200" s="230">
        <v>1211200</v>
      </c>
      <c r="CU200" s="229">
        <v>3.5299999999999998E-2</v>
      </c>
      <c r="CV200" s="230">
        <v>208324800</v>
      </c>
      <c r="CW200" s="230">
        <v>205541600</v>
      </c>
      <c r="CX200" s="230">
        <v>2783200</v>
      </c>
      <c r="CY200" s="229">
        <v>1.35E-2</v>
      </c>
      <c r="CZ200" s="228">
        <v>26.96</v>
      </c>
      <c r="DA200" s="228">
        <v>28.02</v>
      </c>
      <c r="DB200" s="228">
        <v>-1.06</v>
      </c>
      <c r="DC200" s="228">
        <v>-1.06</v>
      </c>
      <c r="DD200" s="228">
        <v>34.17</v>
      </c>
      <c r="DE200" s="228">
        <v>34.26</v>
      </c>
      <c r="DF200" s="228">
        <v>-7.21</v>
      </c>
      <c r="DG200" s="228">
        <v>-0.09</v>
      </c>
      <c r="DH200" s="228">
        <v>28.11</v>
      </c>
      <c r="DI200" s="228">
        <v>29.07</v>
      </c>
      <c r="DJ200" s="228">
        <v>-0.96</v>
      </c>
      <c r="DK200" s="228">
        <v>-0.96</v>
      </c>
      <c r="DL200" s="228">
        <v>23.28</v>
      </c>
      <c r="DM200" s="228">
        <v>23.78</v>
      </c>
      <c r="DN200" s="228">
        <v>-0.5</v>
      </c>
      <c r="DO200" s="228">
        <v>-0.5</v>
      </c>
      <c r="DP200" s="228">
        <v>0.47</v>
      </c>
      <c r="DQ200" s="228">
        <v>0.45</v>
      </c>
      <c r="DR200" s="228">
        <v>0.02</v>
      </c>
      <c r="DS200" s="229">
        <v>4.4400000000000002E-2</v>
      </c>
      <c r="DT200" s="228">
        <v>360</v>
      </c>
      <c r="DU200" s="228">
        <v>340</v>
      </c>
      <c r="DV200" s="228">
        <v>0.31</v>
      </c>
      <c r="DW200" s="228">
        <v>0.25</v>
      </c>
      <c r="DX200" s="228">
        <v>0.06</v>
      </c>
      <c r="DY200" s="229">
        <v>0.24</v>
      </c>
      <c r="DZ200" s="229">
        <v>0.15540000000000001</v>
      </c>
      <c r="EA200" s="230">
        <v>13101600</v>
      </c>
      <c r="EB200" s="229">
        <v>5.3E-3</v>
      </c>
      <c r="EC200" s="229">
        <v>0.15540000000000001</v>
      </c>
      <c r="ED200" s="228">
        <v>1.81</v>
      </c>
      <c r="EE200" s="229">
        <v>5.1999999999999998E-3</v>
      </c>
      <c r="EF200" s="230">
        <v>3460424</v>
      </c>
      <c r="EG200" s="230">
        <v>5454001</v>
      </c>
      <c r="EH200" s="229">
        <v>-0.36549999999999999</v>
      </c>
      <c r="EI200" s="229">
        <v>0.49120000000000003</v>
      </c>
      <c r="EJ200" s="231">
        <v>229818.48</v>
      </c>
      <c r="EK200" s="231">
        <v>65636.37</v>
      </c>
      <c r="EL200" s="231">
        <v>47554.37</v>
      </c>
      <c r="EM200" s="231">
        <v>14303</v>
      </c>
      <c r="EN200" s="231">
        <v>343009.22</v>
      </c>
      <c r="EO200" s="231">
        <v>241992.52</v>
      </c>
      <c r="EP200" s="231">
        <v>101016.7</v>
      </c>
      <c r="EQ200" s="229">
        <v>0.41739999999999999</v>
      </c>
      <c r="ER200" s="231">
        <v>286955</v>
      </c>
      <c r="ES200" s="231">
        <v>125108</v>
      </c>
      <c r="ET200" s="231">
        <v>337939</v>
      </c>
      <c r="EU200" s="231">
        <v>284575867</v>
      </c>
      <c r="EV200" s="231">
        <v>750002</v>
      </c>
      <c r="EW200" s="231">
        <v>740704</v>
      </c>
      <c r="EX200" s="231">
        <v>9298</v>
      </c>
      <c r="EY200" s="229">
        <v>1.26E-2</v>
      </c>
      <c r="EZ200" s="229">
        <v>0.73209999999999997</v>
      </c>
      <c r="FA200" s="227" t="s">
        <v>555</v>
      </c>
      <c r="FB200" s="161">
        <f t="shared" si="5"/>
        <v>0</v>
      </c>
    </row>
    <row r="201" spans="1:158" ht="17.25" thickBot="1" x14ac:dyDescent="0.3">
      <c r="A201" s="226">
        <v>46008</v>
      </c>
      <c r="B201" s="227" t="s">
        <v>170</v>
      </c>
      <c r="C201" s="227" t="s">
        <v>298</v>
      </c>
      <c r="D201" s="228">
        <v>250</v>
      </c>
      <c r="E201" s="231">
        <v>3772.1</v>
      </c>
      <c r="F201" s="231">
        <v>3767.6</v>
      </c>
      <c r="G201" s="228">
        <v>4.5</v>
      </c>
      <c r="H201" s="229">
        <v>1.1999999999999999E-3</v>
      </c>
      <c r="I201" s="231">
        <v>3770.8</v>
      </c>
      <c r="J201" s="231">
        <v>3765.1</v>
      </c>
      <c r="K201" s="228">
        <v>5.7</v>
      </c>
      <c r="L201" s="229">
        <v>1.5E-3</v>
      </c>
      <c r="M201" s="231">
        <v>3772.1</v>
      </c>
      <c r="N201" s="231">
        <v>3767.6</v>
      </c>
      <c r="O201" s="228">
        <v>4.5</v>
      </c>
      <c r="P201" s="229">
        <v>1.1999999999999999E-3</v>
      </c>
      <c r="Q201" s="231">
        <v>3794.1</v>
      </c>
      <c r="R201" s="231">
        <v>3790</v>
      </c>
      <c r="S201" s="228">
        <v>4.0999999999999996</v>
      </c>
      <c r="T201" s="229">
        <v>1.1000000000000001E-3</v>
      </c>
      <c r="U201" s="231">
        <v>3771.9</v>
      </c>
      <c r="V201" s="231">
        <v>3801.4</v>
      </c>
      <c r="W201" s="228">
        <v>-29.5</v>
      </c>
      <c r="X201" s="229">
        <v>-7.7999999999999996E-3</v>
      </c>
      <c r="Y201" s="228">
        <v>1.3</v>
      </c>
      <c r="Z201" s="228">
        <v>2.5</v>
      </c>
      <c r="AA201" s="228">
        <v>-1.2</v>
      </c>
      <c r="AB201" s="229">
        <v>2.9999999999999997E-4</v>
      </c>
      <c r="AC201" s="228">
        <v>1.3</v>
      </c>
      <c r="AD201" s="228">
        <v>2.5</v>
      </c>
      <c r="AE201" s="228">
        <v>-1.2</v>
      </c>
      <c r="AF201" s="229">
        <v>2.9999999999999997E-4</v>
      </c>
      <c r="AG201" s="228">
        <v>23.3</v>
      </c>
      <c r="AH201" s="228">
        <v>24.9</v>
      </c>
      <c r="AI201" s="228">
        <v>-1.6</v>
      </c>
      <c r="AJ201" s="229">
        <v>6.1999999999999998E-3</v>
      </c>
      <c r="AK201" s="228">
        <v>1.1000000000000001</v>
      </c>
      <c r="AL201" s="228">
        <v>36.299999999999997</v>
      </c>
      <c r="AM201" s="228">
        <v>-35.200000000000003</v>
      </c>
      <c r="AN201" s="229">
        <v>2.9999999999999997E-4</v>
      </c>
      <c r="AO201" s="231">
        <v>3758.21</v>
      </c>
      <c r="AP201" s="231">
        <v>3775.69</v>
      </c>
      <c r="AQ201" s="228">
        <v>0</v>
      </c>
      <c r="AR201" s="230">
        <v>207750</v>
      </c>
      <c r="AS201" s="230">
        <v>242750</v>
      </c>
      <c r="AT201" s="230">
        <v>-35000</v>
      </c>
      <c r="AU201" s="229">
        <v>-0.14419999999999999</v>
      </c>
      <c r="AV201" s="230">
        <v>191500</v>
      </c>
      <c r="AW201" s="230">
        <v>233500</v>
      </c>
      <c r="AX201" s="230">
        <v>-42000</v>
      </c>
      <c r="AY201" s="229">
        <v>-0.1799</v>
      </c>
      <c r="AZ201" s="230">
        <v>16000</v>
      </c>
      <c r="BA201" s="230">
        <v>9250</v>
      </c>
      <c r="BB201" s="230">
        <v>6750</v>
      </c>
      <c r="BC201" s="229">
        <v>0.72970000000000002</v>
      </c>
      <c r="BD201" s="228">
        <v>250</v>
      </c>
      <c r="BE201" s="228">
        <v>0</v>
      </c>
      <c r="BF201" s="228">
        <v>250</v>
      </c>
      <c r="BG201" s="229">
        <v>0</v>
      </c>
      <c r="BH201" s="230">
        <v>440250</v>
      </c>
      <c r="BI201" s="230">
        <v>553000</v>
      </c>
      <c r="BJ201" s="230">
        <v>-112750</v>
      </c>
      <c r="BK201" s="229">
        <v>-0.2039</v>
      </c>
      <c r="BL201" s="230">
        <v>205500</v>
      </c>
      <c r="BM201" s="230">
        <v>86500</v>
      </c>
      <c r="BN201" s="230">
        <v>119000</v>
      </c>
      <c r="BO201" s="229">
        <v>1.3756999999999999</v>
      </c>
      <c r="BP201" s="230">
        <v>853500</v>
      </c>
      <c r="BQ201" s="230">
        <v>882250</v>
      </c>
      <c r="BR201" s="230">
        <v>-28750</v>
      </c>
      <c r="BS201" s="229">
        <v>-3.2599999999999997E-2</v>
      </c>
      <c r="BT201" s="230">
        <v>146931</v>
      </c>
      <c r="BU201" s="230">
        <v>138520</v>
      </c>
      <c r="BV201" s="230">
        <v>8411</v>
      </c>
      <c r="BW201" s="229">
        <v>6.0699999999999997E-2</v>
      </c>
      <c r="BX201" s="230">
        <v>2385000</v>
      </c>
      <c r="BY201" s="230">
        <v>2412750</v>
      </c>
      <c r="BZ201" s="230">
        <v>-27750</v>
      </c>
      <c r="CA201" s="229">
        <v>-1.15E-2</v>
      </c>
      <c r="CB201" s="230">
        <v>2357000</v>
      </c>
      <c r="CC201" s="230">
        <v>2384750</v>
      </c>
      <c r="CD201" s="230">
        <v>-27750</v>
      </c>
      <c r="CE201" s="229">
        <v>-1.1599999999999999E-2</v>
      </c>
      <c r="CF201" s="230">
        <v>23750</v>
      </c>
      <c r="CG201" s="230">
        <v>24000</v>
      </c>
      <c r="CH201" s="228">
        <v>-250</v>
      </c>
      <c r="CI201" s="229">
        <v>-1.04E-2</v>
      </c>
      <c r="CJ201" s="230">
        <v>4250</v>
      </c>
      <c r="CK201" s="230">
        <v>4000</v>
      </c>
      <c r="CL201" s="228">
        <v>250</v>
      </c>
      <c r="CM201" s="229">
        <v>6.25E-2</v>
      </c>
      <c r="CN201" s="230">
        <v>673750</v>
      </c>
      <c r="CO201" s="230">
        <v>687000</v>
      </c>
      <c r="CP201" s="230">
        <v>-13250</v>
      </c>
      <c r="CQ201" s="229">
        <v>-1.9300000000000001E-2</v>
      </c>
      <c r="CR201" s="230">
        <v>315500</v>
      </c>
      <c r="CS201" s="230">
        <v>312000</v>
      </c>
      <c r="CT201" s="230">
        <v>3500</v>
      </c>
      <c r="CU201" s="229">
        <v>1.12E-2</v>
      </c>
      <c r="CV201" s="230">
        <v>3374250</v>
      </c>
      <c r="CW201" s="230">
        <v>3411750</v>
      </c>
      <c r="CX201" s="230">
        <v>-37500</v>
      </c>
      <c r="CY201" s="229">
        <v>-1.0999999999999999E-2</v>
      </c>
      <c r="CZ201" s="228">
        <v>18.2</v>
      </c>
      <c r="DA201" s="228">
        <v>17.66</v>
      </c>
      <c r="DB201" s="228">
        <v>0.54</v>
      </c>
      <c r="DC201" s="228">
        <v>0.54</v>
      </c>
      <c r="DD201" s="228">
        <v>25.34</v>
      </c>
      <c r="DE201" s="228">
        <v>25.4</v>
      </c>
      <c r="DF201" s="228">
        <v>-7.14</v>
      </c>
      <c r="DG201" s="228">
        <v>-0.06</v>
      </c>
      <c r="DH201" s="228">
        <v>17.989999999999998</v>
      </c>
      <c r="DI201" s="228">
        <v>17.690000000000001</v>
      </c>
      <c r="DJ201" s="228">
        <v>0.3</v>
      </c>
      <c r="DK201" s="228">
        <v>0.3</v>
      </c>
      <c r="DL201" s="228">
        <v>18.649999999999999</v>
      </c>
      <c r="DM201" s="228">
        <v>17.46</v>
      </c>
      <c r="DN201" s="228">
        <v>1.19</v>
      </c>
      <c r="DO201" s="228">
        <v>1.19</v>
      </c>
      <c r="DP201" s="228">
        <v>0.47</v>
      </c>
      <c r="DQ201" s="228">
        <v>0.45</v>
      </c>
      <c r="DR201" s="228">
        <v>0.02</v>
      </c>
      <c r="DS201" s="229">
        <v>4.4400000000000002E-2</v>
      </c>
      <c r="DT201" s="231">
        <v>3800</v>
      </c>
      <c r="DU201" s="231">
        <v>3800</v>
      </c>
      <c r="DV201" s="228">
        <v>0.47</v>
      </c>
      <c r="DW201" s="228">
        <v>0.16</v>
      </c>
      <c r="DX201" s="228">
        <v>0.31</v>
      </c>
      <c r="DY201" s="229">
        <v>1.9375</v>
      </c>
      <c r="DZ201" s="229">
        <v>1.17E-2</v>
      </c>
      <c r="EA201" s="230">
        <v>28000</v>
      </c>
      <c r="EB201" s="229">
        <v>5.7999999999999996E-3</v>
      </c>
      <c r="EC201" s="229">
        <v>1.17E-2</v>
      </c>
      <c r="ED201" s="228">
        <v>17.48</v>
      </c>
      <c r="EE201" s="229">
        <v>4.7000000000000002E-3</v>
      </c>
      <c r="EF201" s="230">
        <v>87429</v>
      </c>
      <c r="EG201" s="230">
        <v>87282</v>
      </c>
      <c r="EH201" s="229">
        <v>1.6999999999999999E-3</v>
      </c>
      <c r="EI201" s="229">
        <v>0.59499999999999997</v>
      </c>
      <c r="EJ201" s="231">
        <v>17179.830000000002</v>
      </c>
      <c r="EK201" s="231">
        <v>7494.47</v>
      </c>
      <c r="EL201" s="231">
        <v>7810.51</v>
      </c>
      <c r="EM201" s="228">
        <v>980</v>
      </c>
      <c r="EN201" s="231">
        <v>32484.81</v>
      </c>
      <c r="EO201" s="231">
        <v>33921.06</v>
      </c>
      <c r="EP201" s="231">
        <v>-1436.25</v>
      </c>
      <c r="EQ201" s="229">
        <v>-4.2299999999999997E-2</v>
      </c>
      <c r="ER201" s="231">
        <v>26274</v>
      </c>
      <c r="ES201" s="231">
        <v>11504</v>
      </c>
      <c r="ET201" s="231">
        <v>89970</v>
      </c>
      <c r="EU201" s="231">
        <v>16072672</v>
      </c>
      <c r="EV201" s="231">
        <v>127748</v>
      </c>
      <c r="EW201" s="231">
        <v>129145</v>
      </c>
      <c r="EX201" s="231">
        <v>-1397</v>
      </c>
      <c r="EY201" s="229">
        <v>-1.0800000000000001E-2</v>
      </c>
      <c r="EZ201" s="229">
        <v>0.2099</v>
      </c>
      <c r="FA201" s="227" t="s">
        <v>556</v>
      </c>
      <c r="FB201" s="161">
        <f t="shared" si="5"/>
        <v>0</v>
      </c>
    </row>
    <row r="202" spans="1:158" ht="17.25" thickBot="1" x14ac:dyDescent="0.3">
      <c r="A202" s="226">
        <v>46008</v>
      </c>
      <c r="B202" s="227" t="s">
        <v>161</v>
      </c>
      <c r="C202" s="227" t="s">
        <v>299</v>
      </c>
      <c r="D202" s="228">
        <v>375</v>
      </c>
      <c r="E202" s="231">
        <v>1279.4000000000001</v>
      </c>
      <c r="F202" s="231">
        <v>1285.5</v>
      </c>
      <c r="G202" s="228">
        <v>-6.1</v>
      </c>
      <c r="H202" s="229">
        <v>-4.7000000000000002E-3</v>
      </c>
      <c r="I202" s="231">
        <v>1274.5</v>
      </c>
      <c r="J202" s="231">
        <v>1281.2</v>
      </c>
      <c r="K202" s="228">
        <v>-6.7</v>
      </c>
      <c r="L202" s="229">
        <v>-5.1999999999999998E-3</v>
      </c>
      <c r="M202" s="231">
        <v>1279.4000000000001</v>
      </c>
      <c r="N202" s="231">
        <v>1285.5</v>
      </c>
      <c r="O202" s="228">
        <v>-6.1</v>
      </c>
      <c r="P202" s="229">
        <v>-4.7000000000000002E-3</v>
      </c>
      <c r="Q202" s="231">
        <v>1285.5999999999999</v>
      </c>
      <c r="R202" s="231">
        <v>1293.3</v>
      </c>
      <c r="S202" s="228">
        <v>-7.7</v>
      </c>
      <c r="T202" s="229">
        <v>-6.0000000000000001E-3</v>
      </c>
      <c r="U202" s="231">
        <v>1290</v>
      </c>
      <c r="V202" s="231">
        <v>1283.0999999999999</v>
      </c>
      <c r="W202" s="228">
        <v>6.9</v>
      </c>
      <c r="X202" s="229">
        <v>5.4000000000000003E-3</v>
      </c>
      <c r="Y202" s="228">
        <v>4.9000000000000004</v>
      </c>
      <c r="Z202" s="228">
        <v>4.3</v>
      </c>
      <c r="AA202" s="228">
        <v>0.6</v>
      </c>
      <c r="AB202" s="229">
        <v>3.8E-3</v>
      </c>
      <c r="AC202" s="228">
        <v>4.9000000000000004</v>
      </c>
      <c r="AD202" s="228">
        <v>4.3</v>
      </c>
      <c r="AE202" s="228">
        <v>0.6</v>
      </c>
      <c r="AF202" s="229">
        <v>3.8E-3</v>
      </c>
      <c r="AG202" s="228">
        <v>11.1</v>
      </c>
      <c r="AH202" s="228">
        <v>12.1</v>
      </c>
      <c r="AI202" s="228">
        <v>-1</v>
      </c>
      <c r="AJ202" s="229">
        <v>8.6999999999999994E-3</v>
      </c>
      <c r="AK202" s="228">
        <v>15.5</v>
      </c>
      <c r="AL202" s="228">
        <v>1.9</v>
      </c>
      <c r="AM202" s="228">
        <v>13.6</v>
      </c>
      <c r="AN202" s="229">
        <v>1.2200000000000001E-2</v>
      </c>
      <c r="AO202" s="231">
        <v>1291.3699999999999</v>
      </c>
      <c r="AP202" s="231">
        <v>1301.73</v>
      </c>
      <c r="AQ202" s="228">
        <v>0</v>
      </c>
      <c r="AR202" s="230">
        <v>671250</v>
      </c>
      <c r="AS202" s="230">
        <v>1084875</v>
      </c>
      <c r="AT202" s="230">
        <v>-413625</v>
      </c>
      <c r="AU202" s="229">
        <v>-0.38129999999999997</v>
      </c>
      <c r="AV202" s="230">
        <v>406125</v>
      </c>
      <c r="AW202" s="230">
        <v>939750</v>
      </c>
      <c r="AX202" s="230">
        <v>-533625</v>
      </c>
      <c r="AY202" s="229">
        <v>-0.56779999999999997</v>
      </c>
      <c r="AZ202" s="230">
        <v>259875</v>
      </c>
      <c r="BA202" s="230">
        <v>144375</v>
      </c>
      <c r="BB202" s="230">
        <v>115500</v>
      </c>
      <c r="BC202" s="229">
        <v>0.8</v>
      </c>
      <c r="BD202" s="230">
        <v>5250</v>
      </c>
      <c r="BE202" s="228">
        <v>750</v>
      </c>
      <c r="BF202" s="230">
        <v>4500</v>
      </c>
      <c r="BG202" s="229">
        <v>6</v>
      </c>
      <c r="BH202" s="230">
        <v>1317375</v>
      </c>
      <c r="BI202" s="230">
        <v>3407250</v>
      </c>
      <c r="BJ202" s="230">
        <v>-2089875</v>
      </c>
      <c r="BK202" s="229">
        <v>-0.61339999999999995</v>
      </c>
      <c r="BL202" s="230">
        <v>543750</v>
      </c>
      <c r="BM202" s="230">
        <v>2062500</v>
      </c>
      <c r="BN202" s="230">
        <v>-1518750</v>
      </c>
      <c r="BO202" s="229">
        <v>-0.73640000000000005</v>
      </c>
      <c r="BP202" s="230">
        <v>2532375</v>
      </c>
      <c r="BQ202" s="230">
        <v>6554625</v>
      </c>
      <c r="BR202" s="230">
        <v>-4022250</v>
      </c>
      <c r="BS202" s="229">
        <v>-0.61370000000000002</v>
      </c>
      <c r="BT202" s="230">
        <v>404351</v>
      </c>
      <c r="BU202" s="230">
        <v>479101</v>
      </c>
      <c r="BV202" s="230">
        <v>-74750</v>
      </c>
      <c r="BW202" s="229">
        <v>-0.156</v>
      </c>
      <c r="BX202" s="230">
        <v>2811750</v>
      </c>
      <c r="BY202" s="230">
        <v>2739775</v>
      </c>
      <c r="BZ202" s="230">
        <v>71975</v>
      </c>
      <c r="CA202" s="229">
        <v>2.63E-2</v>
      </c>
      <c r="CB202" s="230">
        <v>2486625</v>
      </c>
      <c r="CC202" s="230">
        <v>2564250</v>
      </c>
      <c r="CD202" s="230">
        <v>-77625</v>
      </c>
      <c r="CE202" s="229">
        <v>-3.0300000000000001E-2</v>
      </c>
      <c r="CF202" s="230">
        <v>306000</v>
      </c>
      <c r="CG202" s="230">
        <v>158950</v>
      </c>
      <c r="CH202" s="230">
        <v>147050</v>
      </c>
      <c r="CI202" s="229">
        <v>0.92510000000000003</v>
      </c>
      <c r="CJ202" s="230">
        <v>19125</v>
      </c>
      <c r="CK202" s="230">
        <v>16575</v>
      </c>
      <c r="CL202" s="230">
        <v>2550</v>
      </c>
      <c r="CM202" s="229">
        <v>0.15379999999999999</v>
      </c>
      <c r="CN202" s="230">
        <v>1282250</v>
      </c>
      <c r="CO202" s="230">
        <v>1262225</v>
      </c>
      <c r="CP202" s="230">
        <v>20025</v>
      </c>
      <c r="CQ202" s="229">
        <v>1.5900000000000001E-2</v>
      </c>
      <c r="CR202" s="230">
        <v>749450</v>
      </c>
      <c r="CS202" s="230">
        <v>803250</v>
      </c>
      <c r="CT202" s="230">
        <v>-53800</v>
      </c>
      <c r="CU202" s="229">
        <v>-6.7000000000000004E-2</v>
      </c>
      <c r="CV202" s="230">
        <v>4843450</v>
      </c>
      <c r="CW202" s="230">
        <v>4805250</v>
      </c>
      <c r="CX202" s="230">
        <v>38200</v>
      </c>
      <c r="CY202" s="229">
        <v>7.9000000000000008E-3</v>
      </c>
      <c r="CZ202" s="228">
        <v>22.66</v>
      </c>
      <c r="DA202" s="228">
        <v>22.26</v>
      </c>
      <c r="DB202" s="228">
        <v>0.4</v>
      </c>
      <c r="DC202" s="228">
        <v>0.4</v>
      </c>
      <c r="DD202" s="228">
        <v>39.83</v>
      </c>
      <c r="DE202" s="228">
        <v>39.93</v>
      </c>
      <c r="DF202" s="228">
        <v>-17.170000000000002</v>
      </c>
      <c r="DG202" s="228">
        <v>-0.1</v>
      </c>
      <c r="DH202" s="228">
        <v>22.68</v>
      </c>
      <c r="DI202" s="228">
        <v>22.82</v>
      </c>
      <c r="DJ202" s="228">
        <v>-0.14000000000000001</v>
      </c>
      <c r="DK202" s="228">
        <v>-0.14000000000000001</v>
      </c>
      <c r="DL202" s="228">
        <v>22.61</v>
      </c>
      <c r="DM202" s="228">
        <v>21.34</v>
      </c>
      <c r="DN202" s="228">
        <v>1.27</v>
      </c>
      <c r="DO202" s="228">
        <v>1.27</v>
      </c>
      <c r="DP202" s="228">
        <v>0.57999999999999996</v>
      </c>
      <c r="DQ202" s="228">
        <v>0.64</v>
      </c>
      <c r="DR202" s="228">
        <v>-0.06</v>
      </c>
      <c r="DS202" s="229">
        <v>-9.3799999999999994E-2</v>
      </c>
      <c r="DT202" s="231">
        <v>1300</v>
      </c>
      <c r="DU202" s="231">
        <v>1300</v>
      </c>
      <c r="DV202" s="228">
        <v>0.41</v>
      </c>
      <c r="DW202" s="228">
        <v>0.61</v>
      </c>
      <c r="DX202" s="228">
        <v>-0.2</v>
      </c>
      <c r="DY202" s="229">
        <v>-0.32790000000000002</v>
      </c>
      <c r="DZ202" s="229">
        <v>0.11559999999999999</v>
      </c>
      <c r="EA202" s="230">
        <v>175525</v>
      </c>
      <c r="EB202" s="229">
        <v>4.7999999999999996E-3</v>
      </c>
      <c r="EC202" s="229">
        <v>0.11559999999999999</v>
      </c>
      <c r="ED202" s="228">
        <v>10.36</v>
      </c>
      <c r="EE202" s="229">
        <v>8.0000000000000002E-3</v>
      </c>
      <c r="EF202" s="230">
        <v>199309</v>
      </c>
      <c r="EG202" s="230">
        <v>147252</v>
      </c>
      <c r="EH202" s="229">
        <v>0.35349999999999998</v>
      </c>
      <c r="EI202" s="229">
        <v>0.4929</v>
      </c>
      <c r="EJ202" s="231">
        <v>17540.11</v>
      </c>
      <c r="EK202" s="231">
        <v>6900.18</v>
      </c>
      <c r="EL202" s="231">
        <v>9155.86</v>
      </c>
      <c r="EM202" s="231">
        <v>1253</v>
      </c>
      <c r="EN202" s="231">
        <v>33596.15</v>
      </c>
      <c r="EO202" s="231">
        <v>86222.7</v>
      </c>
      <c r="EP202" s="231">
        <v>-52626.55</v>
      </c>
      <c r="EQ202" s="229">
        <v>-0.61040000000000005</v>
      </c>
      <c r="ER202" s="231">
        <v>17261</v>
      </c>
      <c r="ES202" s="231">
        <v>9489</v>
      </c>
      <c r="ET202" s="231">
        <v>35995</v>
      </c>
      <c r="EU202" s="231">
        <v>24646022</v>
      </c>
      <c r="EV202" s="231">
        <v>62744</v>
      </c>
      <c r="EW202" s="231">
        <v>62365</v>
      </c>
      <c r="EX202" s="228">
        <v>379</v>
      </c>
      <c r="EY202" s="229">
        <v>6.1000000000000004E-3</v>
      </c>
      <c r="EZ202" s="229">
        <v>0.19650000000000001</v>
      </c>
      <c r="FA202" s="227" t="s">
        <v>567</v>
      </c>
      <c r="FB202" s="161">
        <f t="shared" si="5"/>
        <v>0</v>
      </c>
    </row>
    <row r="203" spans="1:158" ht="17.25" thickBot="1" x14ac:dyDescent="0.3">
      <c r="A203" s="226">
        <v>46008</v>
      </c>
      <c r="B203" s="227" t="s">
        <v>197</v>
      </c>
      <c r="C203" s="227" t="s">
        <v>482</v>
      </c>
      <c r="D203" s="228">
        <v>100</v>
      </c>
      <c r="E203" s="231">
        <v>4057.2</v>
      </c>
      <c r="F203" s="231">
        <v>4121</v>
      </c>
      <c r="G203" s="228">
        <v>-63.8</v>
      </c>
      <c r="H203" s="229">
        <v>-1.55E-2</v>
      </c>
      <c r="I203" s="231">
        <v>4045.2</v>
      </c>
      <c r="J203" s="231">
        <v>4108.7</v>
      </c>
      <c r="K203" s="228">
        <v>-63.5</v>
      </c>
      <c r="L203" s="229">
        <v>-1.55E-2</v>
      </c>
      <c r="M203" s="231">
        <v>4057.2</v>
      </c>
      <c r="N203" s="231">
        <v>4121</v>
      </c>
      <c r="O203" s="228">
        <v>-63.8</v>
      </c>
      <c r="P203" s="229">
        <v>-1.55E-2</v>
      </c>
      <c r="Q203" s="231">
        <v>4080.1</v>
      </c>
      <c r="R203" s="231">
        <v>4144.3</v>
      </c>
      <c r="S203" s="228">
        <v>-64.2</v>
      </c>
      <c r="T203" s="229">
        <v>-1.55E-2</v>
      </c>
      <c r="U203" s="231">
        <v>4102.8</v>
      </c>
      <c r="V203" s="231">
        <v>4169.3</v>
      </c>
      <c r="W203" s="228">
        <v>-66.5</v>
      </c>
      <c r="X203" s="229">
        <v>-1.5900000000000001E-2</v>
      </c>
      <c r="Y203" s="228">
        <v>12</v>
      </c>
      <c r="Z203" s="228">
        <v>12.3</v>
      </c>
      <c r="AA203" s="228">
        <v>-0.3</v>
      </c>
      <c r="AB203" s="229">
        <v>3.0000000000000001E-3</v>
      </c>
      <c r="AC203" s="228">
        <v>12</v>
      </c>
      <c r="AD203" s="228">
        <v>12.3</v>
      </c>
      <c r="AE203" s="228">
        <v>-0.3</v>
      </c>
      <c r="AF203" s="229">
        <v>3.0000000000000001E-3</v>
      </c>
      <c r="AG203" s="228">
        <v>34.9</v>
      </c>
      <c r="AH203" s="228">
        <v>35.6</v>
      </c>
      <c r="AI203" s="228">
        <v>-0.7</v>
      </c>
      <c r="AJ203" s="229">
        <v>8.6E-3</v>
      </c>
      <c r="AK203" s="228">
        <v>57.6</v>
      </c>
      <c r="AL203" s="228">
        <v>60.6</v>
      </c>
      <c r="AM203" s="228">
        <v>-3</v>
      </c>
      <c r="AN203" s="229">
        <v>1.4200000000000001E-2</v>
      </c>
      <c r="AO203" s="231">
        <v>4077.31</v>
      </c>
      <c r="AP203" s="231">
        <v>4101.8500000000004</v>
      </c>
      <c r="AQ203" s="228">
        <v>0</v>
      </c>
      <c r="AR203" s="230">
        <v>625600</v>
      </c>
      <c r="AS203" s="230">
        <v>737700</v>
      </c>
      <c r="AT203" s="230">
        <v>-112100</v>
      </c>
      <c r="AU203" s="229">
        <v>-0.152</v>
      </c>
      <c r="AV203" s="230">
        <v>481800</v>
      </c>
      <c r="AW203" s="230">
        <v>605300</v>
      </c>
      <c r="AX203" s="230">
        <v>-123500</v>
      </c>
      <c r="AY203" s="229">
        <v>-0.20399999999999999</v>
      </c>
      <c r="AZ203" s="230">
        <v>128100</v>
      </c>
      <c r="BA203" s="230">
        <v>124400</v>
      </c>
      <c r="BB203" s="230">
        <v>3700</v>
      </c>
      <c r="BC203" s="229">
        <v>2.9700000000000001E-2</v>
      </c>
      <c r="BD203" s="230">
        <v>15700</v>
      </c>
      <c r="BE203" s="230">
        <v>8000</v>
      </c>
      <c r="BF203" s="230">
        <v>7700</v>
      </c>
      <c r="BG203" s="229">
        <v>0.96250000000000002</v>
      </c>
      <c r="BH203" s="230">
        <v>4132700</v>
      </c>
      <c r="BI203" s="230">
        <v>4429500</v>
      </c>
      <c r="BJ203" s="230">
        <v>-296800</v>
      </c>
      <c r="BK203" s="229">
        <v>-6.7000000000000004E-2</v>
      </c>
      <c r="BL203" s="230">
        <v>2216800</v>
      </c>
      <c r="BM203" s="230">
        <v>1166700</v>
      </c>
      <c r="BN203" s="230">
        <v>1050100</v>
      </c>
      <c r="BO203" s="229">
        <v>0.90010000000000001</v>
      </c>
      <c r="BP203" s="230">
        <v>6975100</v>
      </c>
      <c r="BQ203" s="230">
        <v>6333900</v>
      </c>
      <c r="BR203" s="230">
        <v>641200</v>
      </c>
      <c r="BS203" s="229">
        <v>0.1012</v>
      </c>
      <c r="BT203" s="230">
        <v>536728</v>
      </c>
      <c r="BU203" s="230">
        <v>588503</v>
      </c>
      <c r="BV203" s="230">
        <v>-51775</v>
      </c>
      <c r="BW203" s="229">
        <v>-8.7999999999999995E-2</v>
      </c>
      <c r="BX203" s="230">
        <v>9094800</v>
      </c>
      <c r="BY203" s="230">
        <v>9093700</v>
      </c>
      <c r="BZ203" s="230">
        <v>1100</v>
      </c>
      <c r="CA203" s="229">
        <v>1E-4</v>
      </c>
      <c r="CB203" s="230">
        <v>8131000</v>
      </c>
      <c r="CC203" s="230">
        <v>8189200</v>
      </c>
      <c r="CD203" s="230">
        <v>-58200</v>
      </c>
      <c r="CE203" s="229">
        <v>-7.1000000000000004E-3</v>
      </c>
      <c r="CF203" s="230">
        <v>850400</v>
      </c>
      <c r="CG203" s="230">
        <v>795000</v>
      </c>
      <c r="CH203" s="230">
        <v>55400</v>
      </c>
      <c r="CI203" s="229">
        <v>6.9699999999999998E-2</v>
      </c>
      <c r="CJ203" s="230">
        <v>113400</v>
      </c>
      <c r="CK203" s="230">
        <v>109500</v>
      </c>
      <c r="CL203" s="230">
        <v>3900</v>
      </c>
      <c r="CM203" s="229">
        <v>3.56E-2</v>
      </c>
      <c r="CN203" s="230">
        <v>5407700</v>
      </c>
      <c r="CO203" s="230">
        <v>5204700</v>
      </c>
      <c r="CP203" s="230">
        <v>203000</v>
      </c>
      <c r="CQ203" s="229">
        <v>3.9E-2</v>
      </c>
      <c r="CR203" s="230">
        <v>2898400</v>
      </c>
      <c r="CS203" s="230">
        <v>2875400</v>
      </c>
      <c r="CT203" s="230">
        <v>23000</v>
      </c>
      <c r="CU203" s="229">
        <v>8.0000000000000002E-3</v>
      </c>
      <c r="CV203" s="230">
        <v>17400900</v>
      </c>
      <c r="CW203" s="230">
        <v>17173800</v>
      </c>
      <c r="CX203" s="230">
        <v>227100</v>
      </c>
      <c r="CY203" s="229">
        <v>1.32E-2</v>
      </c>
      <c r="CZ203" s="228">
        <v>27.21</v>
      </c>
      <c r="DA203" s="228">
        <v>26.38</v>
      </c>
      <c r="DB203" s="228">
        <v>0.83</v>
      </c>
      <c r="DC203" s="228">
        <v>0.83</v>
      </c>
      <c r="DD203" s="228">
        <v>42.47</v>
      </c>
      <c r="DE203" s="228">
        <v>42.52</v>
      </c>
      <c r="DF203" s="228">
        <v>-15.26</v>
      </c>
      <c r="DG203" s="228">
        <v>-0.05</v>
      </c>
      <c r="DH203" s="228">
        <v>28.42</v>
      </c>
      <c r="DI203" s="228">
        <v>26.49</v>
      </c>
      <c r="DJ203" s="228">
        <v>1.93</v>
      </c>
      <c r="DK203" s="228">
        <v>1.93</v>
      </c>
      <c r="DL203" s="228">
        <v>24.94</v>
      </c>
      <c r="DM203" s="228">
        <v>25.97</v>
      </c>
      <c r="DN203" s="228">
        <v>-1.03</v>
      </c>
      <c r="DO203" s="228">
        <v>-1.03</v>
      </c>
      <c r="DP203" s="228">
        <v>0.54</v>
      </c>
      <c r="DQ203" s="228">
        <v>0.55000000000000004</v>
      </c>
      <c r="DR203" s="228">
        <v>-0.01</v>
      </c>
      <c r="DS203" s="229">
        <v>-1.8200000000000001E-2</v>
      </c>
      <c r="DT203" s="231">
        <v>4300</v>
      </c>
      <c r="DU203" s="231">
        <v>4000</v>
      </c>
      <c r="DV203" s="228">
        <v>0.54</v>
      </c>
      <c r="DW203" s="228">
        <v>0.26</v>
      </c>
      <c r="DX203" s="228">
        <v>0.28000000000000003</v>
      </c>
      <c r="DY203" s="229">
        <v>1.0769</v>
      </c>
      <c r="DZ203" s="229">
        <v>0.106</v>
      </c>
      <c r="EA203" s="230">
        <v>904500</v>
      </c>
      <c r="EB203" s="229">
        <v>5.5999999999999999E-3</v>
      </c>
      <c r="EC203" s="229">
        <v>0.106</v>
      </c>
      <c r="ED203" s="228">
        <v>24.54</v>
      </c>
      <c r="EE203" s="229">
        <v>6.0000000000000001E-3</v>
      </c>
      <c r="EF203" s="230">
        <v>326212</v>
      </c>
      <c r="EG203" s="230">
        <v>294490</v>
      </c>
      <c r="EH203" s="229">
        <v>0.1077</v>
      </c>
      <c r="EI203" s="229">
        <v>0.60780000000000001</v>
      </c>
      <c r="EJ203" s="231">
        <v>178549.37</v>
      </c>
      <c r="EK203" s="231">
        <v>89962.86</v>
      </c>
      <c r="EL203" s="231">
        <v>25545.57</v>
      </c>
      <c r="EM203" s="231">
        <v>9039</v>
      </c>
      <c r="EN203" s="231">
        <v>294057.8</v>
      </c>
      <c r="EO203" s="231">
        <v>268039.01</v>
      </c>
      <c r="EP203" s="231">
        <v>26018.79</v>
      </c>
      <c r="EQ203" s="229">
        <v>9.7100000000000006E-2</v>
      </c>
      <c r="ER203" s="231">
        <v>239390</v>
      </c>
      <c r="ES203" s="231">
        <v>122105</v>
      </c>
      <c r="ET203" s="231">
        <v>369241</v>
      </c>
      <c r="EU203" s="231">
        <v>33590487</v>
      </c>
      <c r="EV203" s="231">
        <v>730735</v>
      </c>
      <c r="EW203" s="231">
        <v>727468</v>
      </c>
      <c r="EX203" s="231">
        <v>3267</v>
      </c>
      <c r="EY203" s="229">
        <v>4.4999999999999997E-3</v>
      </c>
      <c r="EZ203" s="229">
        <v>0.51800000000000002</v>
      </c>
      <c r="FA203" s="227" t="s">
        <v>567</v>
      </c>
      <c r="FB203" s="161">
        <f t="shared" si="5"/>
        <v>0</v>
      </c>
    </row>
    <row r="204" spans="1:158" ht="17.25" thickBot="1" x14ac:dyDescent="0.3">
      <c r="A204" s="226">
        <v>46008</v>
      </c>
      <c r="B204" s="227" t="s">
        <v>162</v>
      </c>
      <c r="C204" s="227" t="s">
        <v>300</v>
      </c>
      <c r="D204" s="228">
        <v>175</v>
      </c>
      <c r="E204" s="231">
        <v>3643.9</v>
      </c>
      <c r="F204" s="231">
        <v>3628.8</v>
      </c>
      <c r="G204" s="228">
        <v>15.1</v>
      </c>
      <c r="H204" s="229">
        <v>4.1999999999999997E-3</v>
      </c>
      <c r="I204" s="231">
        <v>3638.9</v>
      </c>
      <c r="J204" s="231">
        <v>3619.6</v>
      </c>
      <c r="K204" s="228">
        <v>19.3</v>
      </c>
      <c r="L204" s="229">
        <v>5.3E-3</v>
      </c>
      <c r="M204" s="231">
        <v>3643.9</v>
      </c>
      <c r="N204" s="231">
        <v>3628.8</v>
      </c>
      <c r="O204" s="228">
        <v>15.1</v>
      </c>
      <c r="P204" s="229">
        <v>4.1999999999999997E-3</v>
      </c>
      <c r="Q204" s="231">
        <v>3661.7</v>
      </c>
      <c r="R204" s="231">
        <v>3643.4</v>
      </c>
      <c r="S204" s="228">
        <v>18.3</v>
      </c>
      <c r="T204" s="229">
        <v>5.0000000000000001E-3</v>
      </c>
      <c r="U204" s="231">
        <v>3671.4</v>
      </c>
      <c r="V204" s="231">
        <v>3658.8</v>
      </c>
      <c r="W204" s="228">
        <v>12.6</v>
      </c>
      <c r="X204" s="229">
        <v>3.3999999999999998E-3</v>
      </c>
      <c r="Y204" s="228">
        <v>5</v>
      </c>
      <c r="Z204" s="228">
        <v>9.1999999999999993</v>
      </c>
      <c r="AA204" s="228">
        <v>-4.2</v>
      </c>
      <c r="AB204" s="229">
        <v>1.4E-3</v>
      </c>
      <c r="AC204" s="228">
        <v>5</v>
      </c>
      <c r="AD204" s="228">
        <v>9.1999999999999993</v>
      </c>
      <c r="AE204" s="228">
        <v>-4.2</v>
      </c>
      <c r="AF204" s="229">
        <v>1.4E-3</v>
      </c>
      <c r="AG204" s="228">
        <v>22.8</v>
      </c>
      <c r="AH204" s="228">
        <v>23.8</v>
      </c>
      <c r="AI204" s="228">
        <v>-1</v>
      </c>
      <c r="AJ204" s="229">
        <v>6.3E-3</v>
      </c>
      <c r="AK204" s="228">
        <v>32.5</v>
      </c>
      <c r="AL204" s="228">
        <v>39.200000000000003</v>
      </c>
      <c r="AM204" s="228">
        <v>-6.7</v>
      </c>
      <c r="AN204" s="229">
        <v>8.8999999999999999E-3</v>
      </c>
      <c r="AO204" s="231">
        <v>3646.32</v>
      </c>
      <c r="AP204" s="231">
        <v>3664.11</v>
      </c>
      <c r="AQ204" s="228">
        <v>0</v>
      </c>
      <c r="AR204" s="230">
        <v>451675</v>
      </c>
      <c r="AS204" s="230">
        <v>374150</v>
      </c>
      <c r="AT204" s="230">
        <v>77525</v>
      </c>
      <c r="AU204" s="229">
        <v>0.2072</v>
      </c>
      <c r="AV204" s="230">
        <v>408100</v>
      </c>
      <c r="AW204" s="230">
        <v>353325</v>
      </c>
      <c r="AX204" s="230">
        <v>54775</v>
      </c>
      <c r="AY204" s="229">
        <v>0.155</v>
      </c>
      <c r="AZ204" s="230">
        <v>43050</v>
      </c>
      <c r="BA204" s="230">
        <v>19600</v>
      </c>
      <c r="BB204" s="230">
        <v>23450</v>
      </c>
      <c r="BC204" s="229">
        <v>1.1963999999999999</v>
      </c>
      <c r="BD204" s="228">
        <v>525</v>
      </c>
      <c r="BE204" s="230">
        <v>1225</v>
      </c>
      <c r="BF204" s="228">
        <v>-700</v>
      </c>
      <c r="BG204" s="229">
        <v>-0.57140000000000002</v>
      </c>
      <c r="BH204" s="230">
        <v>1949675</v>
      </c>
      <c r="BI204" s="230">
        <v>1109325</v>
      </c>
      <c r="BJ204" s="230">
        <v>840350</v>
      </c>
      <c r="BK204" s="229">
        <v>0.75749999999999995</v>
      </c>
      <c r="BL204" s="230">
        <v>1071175</v>
      </c>
      <c r="BM204" s="230">
        <v>635950</v>
      </c>
      <c r="BN204" s="230">
        <v>435225</v>
      </c>
      <c r="BO204" s="229">
        <v>0.68440000000000001</v>
      </c>
      <c r="BP204" s="230">
        <v>3472525</v>
      </c>
      <c r="BQ204" s="230">
        <v>2119425</v>
      </c>
      <c r="BR204" s="230">
        <v>1353100</v>
      </c>
      <c r="BS204" s="229">
        <v>0.63839999999999997</v>
      </c>
      <c r="BT204" s="230">
        <v>449395</v>
      </c>
      <c r="BU204" s="230">
        <v>271365</v>
      </c>
      <c r="BV204" s="230">
        <v>178030</v>
      </c>
      <c r="BW204" s="229">
        <v>0.65610000000000002</v>
      </c>
      <c r="BX204" s="230">
        <v>7476700</v>
      </c>
      <c r="BY204" s="230">
        <v>7498750</v>
      </c>
      <c r="BZ204" s="230">
        <v>-22050</v>
      </c>
      <c r="CA204" s="229">
        <v>-2.8999999999999998E-3</v>
      </c>
      <c r="CB204" s="230">
        <v>7336525</v>
      </c>
      <c r="CC204" s="230">
        <v>7376075</v>
      </c>
      <c r="CD204" s="230">
        <v>-39550</v>
      </c>
      <c r="CE204" s="229">
        <v>-5.4000000000000003E-3</v>
      </c>
      <c r="CF204" s="230">
        <v>105350</v>
      </c>
      <c r="CG204" s="230">
        <v>87850</v>
      </c>
      <c r="CH204" s="230">
        <v>17500</v>
      </c>
      <c r="CI204" s="229">
        <v>0.19919999999999999</v>
      </c>
      <c r="CJ204" s="230">
        <v>34825</v>
      </c>
      <c r="CK204" s="230">
        <v>34825</v>
      </c>
      <c r="CL204" s="228">
        <v>0</v>
      </c>
      <c r="CM204" s="229">
        <v>0</v>
      </c>
      <c r="CN204" s="230">
        <v>1812825</v>
      </c>
      <c r="CO204" s="230">
        <v>1813700</v>
      </c>
      <c r="CP204" s="228">
        <v>-875</v>
      </c>
      <c r="CQ204" s="229">
        <v>-5.0000000000000001E-4</v>
      </c>
      <c r="CR204" s="230">
        <v>1796900</v>
      </c>
      <c r="CS204" s="230">
        <v>1783950</v>
      </c>
      <c r="CT204" s="230">
        <v>12950</v>
      </c>
      <c r="CU204" s="229">
        <v>7.3000000000000001E-3</v>
      </c>
      <c r="CV204" s="230">
        <v>11086425</v>
      </c>
      <c r="CW204" s="230">
        <v>11096400</v>
      </c>
      <c r="CX204" s="230">
        <v>-9975</v>
      </c>
      <c r="CY204" s="229">
        <v>-8.9999999999999998E-4</v>
      </c>
      <c r="CZ204" s="228">
        <v>20.6</v>
      </c>
      <c r="DA204" s="228">
        <v>20.07</v>
      </c>
      <c r="DB204" s="228">
        <v>0.53</v>
      </c>
      <c r="DC204" s="228">
        <v>0.53</v>
      </c>
      <c r="DD204" s="228">
        <v>29.68</v>
      </c>
      <c r="DE204" s="228">
        <v>29.75</v>
      </c>
      <c r="DF204" s="228">
        <v>-9.08</v>
      </c>
      <c r="DG204" s="228">
        <v>-7.0000000000000007E-2</v>
      </c>
      <c r="DH204" s="228">
        <v>20.27</v>
      </c>
      <c r="DI204" s="228">
        <v>20.010000000000002</v>
      </c>
      <c r="DJ204" s="228">
        <v>0.26</v>
      </c>
      <c r="DK204" s="228">
        <v>0.26</v>
      </c>
      <c r="DL204" s="228">
        <v>21.21</v>
      </c>
      <c r="DM204" s="228">
        <v>20.170000000000002</v>
      </c>
      <c r="DN204" s="228">
        <v>1.04</v>
      </c>
      <c r="DO204" s="228">
        <v>1.04</v>
      </c>
      <c r="DP204" s="228">
        <v>0.99</v>
      </c>
      <c r="DQ204" s="228">
        <v>0.98</v>
      </c>
      <c r="DR204" s="228">
        <v>0.01</v>
      </c>
      <c r="DS204" s="229">
        <v>1.0200000000000001E-2</v>
      </c>
      <c r="DT204" s="231">
        <v>3700</v>
      </c>
      <c r="DU204" s="231">
        <v>3400</v>
      </c>
      <c r="DV204" s="228">
        <v>0.55000000000000004</v>
      </c>
      <c r="DW204" s="228">
        <v>0.56999999999999995</v>
      </c>
      <c r="DX204" s="228">
        <v>-0.02</v>
      </c>
      <c r="DY204" s="229">
        <v>-3.5099999999999999E-2</v>
      </c>
      <c r="DZ204" s="229">
        <v>1.8700000000000001E-2</v>
      </c>
      <c r="EA204" s="230">
        <v>122675</v>
      </c>
      <c r="EB204" s="229">
        <v>4.8999999999999998E-3</v>
      </c>
      <c r="EC204" s="229">
        <v>1.8700000000000001E-2</v>
      </c>
      <c r="ED204" s="228">
        <v>17.79</v>
      </c>
      <c r="EE204" s="229">
        <v>4.8999999999999998E-3</v>
      </c>
      <c r="EF204" s="230">
        <v>299749</v>
      </c>
      <c r="EG204" s="230">
        <v>148308</v>
      </c>
      <c r="EH204" s="229">
        <v>1.0210999999999999</v>
      </c>
      <c r="EI204" s="229">
        <v>0.66700000000000004</v>
      </c>
      <c r="EJ204" s="231">
        <v>73142.22</v>
      </c>
      <c r="EK204" s="231">
        <v>38113.440000000002</v>
      </c>
      <c r="EL204" s="231">
        <v>16477.32</v>
      </c>
      <c r="EM204" s="231">
        <v>2506</v>
      </c>
      <c r="EN204" s="231">
        <v>127732.98</v>
      </c>
      <c r="EO204" s="231">
        <v>77953.73</v>
      </c>
      <c r="EP204" s="231">
        <v>49779.25</v>
      </c>
      <c r="EQ204" s="229">
        <v>0.63859999999999995</v>
      </c>
      <c r="ER204" s="231">
        <v>66998</v>
      </c>
      <c r="ES204" s="231">
        <v>61398</v>
      </c>
      <c r="ET204" s="231">
        <v>272472</v>
      </c>
      <c r="EU204" s="231">
        <v>35369445</v>
      </c>
      <c r="EV204" s="231">
        <v>400868</v>
      </c>
      <c r="EW204" s="231">
        <v>400043</v>
      </c>
      <c r="EX204" s="228">
        <v>825</v>
      </c>
      <c r="EY204" s="229">
        <v>2.0999999999999999E-3</v>
      </c>
      <c r="EZ204" s="229">
        <v>0.31340000000000001</v>
      </c>
      <c r="FA204" s="227" t="s">
        <v>556</v>
      </c>
      <c r="FB204" s="161">
        <f t="shared" si="5"/>
        <v>0</v>
      </c>
    </row>
    <row r="205" spans="1:158" ht="17.25" thickBot="1" x14ac:dyDescent="0.3">
      <c r="A205" s="226">
        <v>46008</v>
      </c>
      <c r="B205" s="227" t="s">
        <v>157</v>
      </c>
      <c r="C205" s="227" t="s">
        <v>302</v>
      </c>
      <c r="D205" s="228">
        <v>50</v>
      </c>
      <c r="E205" s="231">
        <v>11568</v>
      </c>
      <c r="F205" s="231">
        <v>11571</v>
      </c>
      <c r="G205" s="228">
        <v>-3</v>
      </c>
      <c r="H205" s="229">
        <v>-2.9999999999999997E-4</v>
      </c>
      <c r="I205" s="231">
        <v>11540</v>
      </c>
      <c r="J205" s="231">
        <v>11528</v>
      </c>
      <c r="K205" s="228">
        <v>12</v>
      </c>
      <c r="L205" s="229">
        <v>1E-3</v>
      </c>
      <c r="M205" s="231">
        <v>11568</v>
      </c>
      <c r="N205" s="231">
        <v>11571</v>
      </c>
      <c r="O205" s="228">
        <v>-3</v>
      </c>
      <c r="P205" s="229">
        <v>-2.9999999999999997E-4</v>
      </c>
      <c r="Q205" s="231">
        <v>11637</v>
      </c>
      <c r="R205" s="231">
        <v>11639</v>
      </c>
      <c r="S205" s="228">
        <v>-2</v>
      </c>
      <c r="T205" s="229">
        <v>-2.0000000000000001E-4</v>
      </c>
      <c r="U205" s="231">
        <v>11713</v>
      </c>
      <c r="V205" s="231">
        <v>11710</v>
      </c>
      <c r="W205" s="228">
        <v>3</v>
      </c>
      <c r="X205" s="229">
        <v>2.9999999999999997E-4</v>
      </c>
      <c r="Y205" s="228">
        <v>28</v>
      </c>
      <c r="Z205" s="228">
        <v>43</v>
      </c>
      <c r="AA205" s="228">
        <v>-15</v>
      </c>
      <c r="AB205" s="229">
        <v>2.3999999999999998E-3</v>
      </c>
      <c r="AC205" s="228">
        <v>28</v>
      </c>
      <c r="AD205" s="228">
        <v>43</v>
      </c>
      <c r="AE205" s="228">
        <v>-15</v>
      </c>
      <c r="AF205" s="229">
        <v>2.3999999999999998E-3</v>
      </c>
      <c r="AG205" s="228">
        <v>97</v>
      </c>
      <c r="AH205" s="228">
        <v>111</v>
      </c>
      <c r="AI205" s="228">
        <v>-14</v>
      </c>
      <c r="AJ205" s="229">
        <v>8.3999999999999995E-3</v>
      </c>
      <c r="AK205" s="228">
        <v>173</v>
      </c>
      <c r="AL205" s="228">
        <v>182</v>
      </c>
      <c r="AM205" s="228">
        <v>-9</v>
      </c>
      <c r="AN205" s="229">
        <v>1.4999999999999999E-2</v>
      </c>
      <c r="AO205" s="231">
        <v>11569.65</v>
      </c>
      <c r="AP205" s="231">
        <v>11640.19</v>
      </c>
      <c r="AQ205" s="228">
        <v>0</v>
      </c>
      <c r="AR205" s="230">
        <v>228950</v>
      </c>
      <c r="AS205" s="230">
        <v>232100</v>
      </c>
      <c r="AT205" s="230">
        <v>-3150</v>
      </c>
      <c r="AU205" s="229">
        <v>-1.3599999999999999E-2</v>
      </c>
      <c r="AV205" s="230">
        <v>150000</v>
      </c>
      <c r="AW205" s="230">
        <v>177450</v>
      </c>
      <c r="AX205" s="230">
        <v>-27450</v>
      </c>
      <c r="AY205" s="229">
        <v>-0.1547</v>
      </c>
      <c r="AZ205" s="230">
        <v>78100</v>
      </c>
      <c r="BA205" s="230">
        <v>53850</v>
      </c>
      <c r="BB205" s="230">
        <v>24250</v>
      </c>
      <c r="BC205" s="229">
        <v>0.45029999999999998</v>
      </c>
      <c r="BD205" s="228">
        <v>850</v>
      </c>
      <c r="BE205" s="228">
        <v>800</v>
      </c>
      <c r="BF205" s="228">
        <v>50</v>
      </c>
      <c r="BG205" s="229">
        <v>6.25E-2</v>
      </c>
      <c r="BH205" s="230">
        <v>681400</v>
      </c>
      <c r="BI205" s="230">
        <v>671050</v>
      </c>
      <c r="BJ205" s="230">
        <v>10350</v>
      </c>
      <c r="BK205" s="229">
        <v>1.54E-2</v>
      </c>
      <c r="BL205" s="230">
        <v>240550</v>
      </c>
      <c r="BM205" s="230">
        <v>354250</v>
      </c>
      <c r="BN205" s="230">
        <v>-113700</v>
      </c>
      <c r="BO205" s="229">
        <v>-0.32100000000000001</v>
      </c>
      <c r="BP205" s="230">
        <v>1150900</v>
      </c>
      <c r="BQ205" s="230">
        <v>1257400</v>
      </c>
      <c r="BR205" s="230">
        <v>-106500</v>
      </c>
      <c r="BS205" s="229">
        <v>-8.4699999999999998E-2</v>
      </c>
      <c r="BT205" s="230">
        <v>208589</v>
      </c>
      <c r="BU205" s="230">
        <v>188841</v>
      </c>
      <c r="BV205" s="230">
        <v>19748</v>
      </c>
      <c r="BW205" s="229">
        <v>0.1046</v>
      </c>
      <c r="BX205" s="230">
        <v>2948250</v>
      </c>
      <c r="BY205" s="230">
        <v>2910650</v>
      </c>
      <c r="BZ205" s="230">
        <v>37600</v>
      </c>
      <c r="CA205" s="229">
        <v>1.29E-2</v>
      </c>
      <c r="CB205" s="230">
        <v>2685500</v>
      </c>
      <c r="CC205" s="230">
        <v>2709950</v>
      </c>
      <c r="CD205" s="230">
        <v>-24450</v>
      </c>
      <c r="CE205" s="229">
        <v>-8.9999999999999993E-3</v>
      </c>
      <c r="CF205" s="230">
        <v>250150</v>
      </c>
      <c r="CG205" s="230">
        <v>188500</v>
      </c>
      <c r="CH205" s="230">
        <v>61650</v>
      </c>
      <c r="CI205" s="229">
        <v>0.3271</v>
      </c>
      <c r="CJ205" s="230">
        <v>12600</v>
      </c>
      <c r="CK205" s="230">
        <v>12200</v>
      </c>
      <c r="CL205" s="228">
        <v>400</v>
      </c>
      <c r="CM205" s="229">
        <v>3.2800000000000003E-2</v>
      </c>
      <c r="CN205" s="230">
        <v>1001650</v>
      </c>
      <c r="CO205" s="230">
        <v>963300</v>
      </c>
      <c r="CP205" s="230">
        <v>38350</v>
      </c>
      <c r="CQ205" s="229">
        <v>3.9800000000000002E-2</v>
      </c>
      <c r="CR205" s="230">
        <v>588150</v>
      </c>
      <c r="CS205" s="230">
        <v>578550</v>
      </c>
      <c r="CT205" s="230">
        <v>9600</v>
      </c>
      <c r="CU205" s="229">
        <v>1.66E-2</v>
      </c>
      <c r="CV205" s="230">
        <v>4538050</v>
      </c>
      <c r="CW205" s="230">
        <v>4452500</v>
      </c>
      <c r="CX205" s="230">
        <v>85550</v>
      </c>
      <c r="CY205" s="229">
        <v>1.9199999999999998E-2</v>
      </c>
      <c r="CZ205" s="228">
        <v>16.559999999999999</v>
      </c>
      <c r="DA205" s="228">
        <v>16.8</v>
      </c>
      <c r="DB205" s="228">
        <v>-0.24</v>
      </c>
      <c r="DC205" s="228">
        <v>-0.24</v>
      </c>
      <c r="DD205" s="228">
        <v>24.06</v>
      </c>
      <c r="DE205" s="228">
        <v>24.12</v>
      </c>
      <c r="DF205" s="228">
        <v>-7.5</v>
      </c>
      <c r="DG205" s="228">
        <v>-0.06</v>
      </c>
      <c r="DH205" s="228">
        <v>16.91</v>
      </c>
      <c r="DI205" s="228">
        <v>17.34</v>
      </c>
      <c r="DJ205" s="228">
        <v>-0.43</v>
      </c>
      <c r="DK205" s="228">
        <v>-0.43</v>
      </c>
      <c r="DL205" s="228">
        <v>15.58</v>
      </c>
      <c r="DM205" s="228">
        <v>15.77</v>
      </c>
      <c r="DN205" s="228">
        <v>-0.19</v>
      </c>
      <c r="DO205" s="228">
        <v>-0.19</v>
      </c>
      <c r="DP205" s="228">
        <v>0.59</v>
      </c>
      <c r="DQ205" s="228">
        <v>0.6</v>
      </c>
      <c r="DR205" s="228">
        <v>-0.01</v>
      </c>
      <c r="DS205" s="229">
        <v>-1.67E-2</v>
      </c>
      <c r="DT205" s="231">
        <v>12000</v>
      </c>
      <c r="DU205" s="231">
        <v>10800</v>
      </c>
      <c r="DV205" s="228">
        <v>0.35</v>
      </c>
      <c r="DW205" s="228">
        <v>0.53</v>
      </c>
      <c r="DX205" s="228">
        <v>-0.18</v>
      </c>
      <c r="DY205" s="229">
        <v>-0.33960000000000001</v>
      </c>
      <c r="DZ205" s="229">
        <v>8.9099999999999999E-2</v>
      </c>
      <c r="EA205" s="230">
        <v>200700</v>
      </c>
      <c r="EB205" s="229">
        <v>6.0000000000000001E-3</v>
      </c>
      <c r="EC205" s="229">
        <v>8.9099999999999999E-2</v>
      </c>
      <c r="ED205" s="228">
        <v>70.540000000000006</v>
      </c>
      <c r="EE205" s="229">
        <v>6.1000000000000004E-3</v>
      </c>
      <c r="EF205" s="230">
        <v>137767</v>
      </c>
      <c r="EG205" s="230">
        <v>129360</v>
      </c>
      <c r="EH205" s="229">
        <v>6.5000000000000002E-2</v>
      </c>
      <c r="EI205" s="229">
        <v>0.66049999999999998</v>
      </c>
      <c r="EJ205" s="231">
        <v>81399.600000000006</v>
      </c>
      <c r="EK205" s="231">
        <v>27643.09</v>
      </c>
      <c r="EL205" s="231">
        <v>26545</v>
      </c>
      <c r="EM205" s="231">
        <v>5142</v>
      </c>
      <c r="EN205" s="231">
        <v>135587.69</v>
      </c>
      <c r="EO205" s="231">
        <v>148368.07</v>
      </c>
      <c r="EP205" s="231">
        <v>-12780.38</v>
      </c>
      <c r="EQ205" s="229">
        <v>-8.6099999999999996E-2</v>
      </c>
      <c r="ER205" s="231">
        <v>121315</v>
      </c>
      <c r="ES205" s="231">
        <v>66429</v>
      </c>
      <c r="ET205" s="231">
        <v>341244</v>
      </c>
      <c r="EU205" s="231">
        <v>11962066</v>
      </c>
      <c r="EV205" s="231">
        <v>528989</v>
      </c>
      <c r="EW205" s="231">
        <v>519169</v>
      </c>
      <c r="EX205" s="231">
        <v>9820</v>
      </c>
      <c r="EY205" s="229">
        <v>1.89E-2</v>
      </c>
      <c r="EZ205" s="229">
        <v>0.37940000000000002</v>
      </c>
      <c r="FA205" s="227" t="s">
        <v>567</v>
      </c>
      <c r="FB205" s="161">
        <f t="shared" si="5"/>
        <v>0</v>
      </c>
    </row>
    <row r="206" spans="1:158" ht="17.25" thickBot="1" x14ac:dyDescent="0.3">
      <c r="A206" s="226">
        <v>46008</v>
      </c>
      <c r="B206" s="227" t="s">
        <v>172</v>
      </c>
      <c r="C206" s="227" t="s">
        <v>593</v>
      </c>
      <c r="D206" s="228">
        <v>4425</v>
      </c>
      <c r="E206" s="228">
        <v>153.55000000000001</v>
      </c>
      <c r="F206" s="228">
        <v>153.22</v>
      </c>
      <c r="G206" s="228">
        <v>0.33</v>
      </c>
      <c r="H206" s="229">
        <v>2.2000000000000001E-3</v>
      </c>
      <c r="I206" s="228">
        <v>153.04</v>
      </c>
      <c r="J206" s="228">
        <v>153.19999999999999</v>
      </c>
      <c r="K206" s="228">
        <v>-0.16</v>
      </c>
      <c r="L206" s="229">
        <v>-1E-3</v>
      </c>
      <c r="M206" s="228">
        <v>153.55000000000001</v>
      </c>
      <c r="N206" s="228">
        <v>153.22</v>
      </c>
      <c r="O206" s="228">
        <v>0.33</v>
      </c>
      <c r="P206" s="229">
        <v>2.2000000000000001E-3</v>
      </c>
      <c r="Q206" s="228">
        <v>154.1</v>
      </c>
      <c r="R206" s="228">
        <v>153.6</v>
      </c>
      <c r="S206" s="228">
        <v>0.5</v>
      </c>
      <c r="T206" s="229">
        <v>3.3E-3</v>
      </c>
      <c r="U206" s="228">
        <v>154.79</v>
      </c>
      <c r="V206" s="228">
        <v>154.07</v>
      </c>
      <c r="W206" s="228">
        <v>0.72</v>
      </c>
      <c r="X206" s="229">
        <v>4.7000000000000002E-3</v>
      </c>
      <c r="Y206" s="228">
        <v>0.51</v>
      </c>
      <c r="Z206" s="228">
        <v>0.02</v>
      </c>
      <c r="AA206" s="228">
        <v>0.49</v>
      </c>
      <c r="AB206" s="229">
        <v>3.3E-3</v>
      </c>
      <c r="AC206" s="228">
        <v>0.51</v>
      </c>
      <c r="AD206" s="228">
        <v>0.02</v>
      </c>
      <c r="AE206" s="228">
        <v>0.49</v>
      </c>
      <c r="AF206" s="229">
        <v>3.3E-3</v>
      </c>
      <c r="AG206" s="228">
        <v>1.06</v>
      </c>
      <c r="AH206" s="228">
        <v>0.4</v>
      </c>
      <c r="AI206" s="228">
        <v>0.66</v>
      </c>
      <c r="AJ206" s="229">
        <v>6.8999999999999999E-3</v>
      </c>
      <c r="AK206" s="228">
        <v>1.75</v>
      </c>
      <c r="AL206" s="228">
        <v>0.87</v>
      </c>
      <c r="AM206" s="228">
        <v>0.88</v>
      </c>
      <c r="AN206" s="229">
        <v>1.14E-2</v>
      </c>
      <c r="AO206" s="228">
        <v>153.85</v>
      </c>
      <c r="AP206" s="228">
        <v>154.31</v>
      </c>
      <c r="AQ206" s="228">
        <v>0</v>
      </c>
      <c r="AR206" s="230">
        <v>11699700</v>
      </c>
      <c r="AS206" s="230">
        <v>9199575</v>
      </c>
      <c r="AT206" s="230">
        <v>2500125</v>
      </c>
      <c r="AU206" s="229">
        <v>0.27179999999999999</v>
      </c>
      <c r="AV206" s="230">
        <v>9540300</v>
      </c>
      <c r="AW206" s="230">
        <v>7580025</v>
      </c>
      <c r="AX206" s="230">
        <v>1960275</v>
      </c>
      <c r="AY206" s="229">
        <v>0.2586</v>
      </c>
      <c r="AZ206" s="230">
        <v>2097450</v>
      </c>
      <c r="BA206" s="230">
        <v>1579725</v>
      </c>
      <c r="BB206" s="230">
        <v>517725</v>
      </c>
      <c r="BC206" s="229">
        <v>0.32769999999999999</v>
      </c>
      <c r="BD206" s="230">
        <v>61950</v>
      </c>
      <c r="BE206" s="230">
        <v>39825</v>
      </c>
      <c r="BF206" s="230">
        <v>22125</v>
      </c>
      <c r="BG206" s="229">
        <v>0.55559999999999998</v>
      </c>
      <c r="BH206" s="230">
        <v>16784025</v>
      </c>
      <c r="BI206" s="230">
        <v>11779350</v>
      </c>
      <c r="BJ206" s="230">
        <v>5004675</v>
      </c>
      <c r="BK206" s="229">
        <v>0.4249</v>
      </c>
      <c r="BL206" s="230">
        <v>8938500</v>
      </c>
      <c r="BM206" s="230">
        <v>7270275</v>
      </c>
      <c r="BN206" s="230">
        <v>1668225</v>
      </c>
      <c r="BO206" s="229">
        <v>0.22950000000000001</v>
      </c>
      <c r="BP206" s="230">
        <v>37422225</v>
      </c>
      <c r="BQ206" s="230">
        <v>28249200</v>
      </c>
      <c r="BR206" s="230">
        <v>9173025</v>
      </c>
      <c r="BS206" s="229">
        <v>0.32469999999999999</v>
      </c>
      <c r="BT206" s="230">
        <v>10114338</v>
      </c>
      <c r="BU206" s="230">
        <v>7441082</v>
      </c>
      <c r="BV206" s="230">
        <v>2673256</v>
      </c>
      <c r="BW206" s="229">
        <v>0.35930000000000001</v>
      </c>
      <c r="BX206" s="230">
        <v>76490550</v>
      </c>
      <c r="BY206" s="230">
        <v>76087875</v>
      </c>
      <c r="BZ206" s="230">
        <v>402675</v>
      </c>
      <c r="CA206" s="229">
        <v>5.3E-3</v>
      </c>
      <c r="CB206" s="230">
        <v>68317575</v>
      </c>
      <c r="CC206" s="230">
        <v>68450325</v>
      </c>
      <c r="CD206" s="230">
        <v>-132750</v>
      </c>
      <c r="CE206" s="229">
        <v>-1.9E-3</v>
      </c>
      <c r="CF206" s="230">
        <v>7504800</v>
      </c>
      <c r="CG206" s="230">
        <v>7004775</v>
      </c>
      <c r="CH206" s="230">
        <v>500025</v>
      </c>
      <c r="CI206" s="229">
        <v>7.1400000000000005E-2</v>
      </c>
      <c r="CJ206" s="230">
        <v>668175</v>
      </c>
      <c r="CK206" s="230">
        <v>632775</v>
      </c>
      <c r="CL206" s="230">
        <v>35400</v>
      </c>
      <c r="CM206" s="229">
        <v>5.5899999999999998E-2</v>
      </c>
      <c r="CN206" s="230">
        <v>39037350</v>
      </c>
      <c r="CO206" s="230">
        <v>38869200</v>
      </c>
      <c r="CP206" s="230">
        <v>168150</v>
      </c>
      <c r="CQ206" s="229">
        <v>4.3E-3</v>
      </c>
      <c r="CR206" s="230">
        <v>26328750</v>
      </c>
      <c r="CS206" s="230">
        <v>26545575</v>
      </c>
      <c r="CT206" s="230">
        <v>-216825</v>
      </c>
      <c r="CU206" s="229">
        <v>-8.2000000000000007E-3</v>
      </c>
      <c r="CV206" s="230">
        <v>141856650</v>
      </c>
      <c r="CW206" s="230">
        <v>141502650</v>
      </c>
      <c r="CX206" s="230">
        <v>354000</v>
      </c>
      <c r="CY206" s="229">
        <v>2.5000000000000001E-3</v>
      </c>
      <c r="CZ206" s="228">
        <v>29.15</v>
      </c>
      <c r="DA206" s="228">
        <v>29.54</v>
      </c>
      <c r="DB206" s="228">
        <v>-0.39</v>
      </c>
      <c r="DC206" s="228">
        <v>-0.39</v>
      </c>
      <c r="DD206" s="228">
        <v>40.74</v>
      </c>
      <c r="DE206" s="228">
        <v>40.840000000000003</v>
      </c>
      <c r="DF206" s="228">
        <v>-11.59</v>
      </c>
      <c r="DG206" s="228">
        <v>-0.1</v>
      </c>
      <c r="DH206" s="228">
        <v>29.25</v>
      </c>
      <c r="DI206" s="228">
        <v>29.8</v>
      </c>
      <c r="DJ206" s="228">
        <v>-0.55000000000000004</v>
      </c>
      <c r="DK206" s="228">
        <v>-0.55000000000000004</v>
      </c>
      <c r="DL206" s="228">
        <v>28.96</v>
      </c>
      <c r="DM206" s="228">
        <v>29.13</v>
      </c>
      <c r="DN206" s="228">
        <v>-0.17</v>
      </c>
      <c r="DO206" s="228">
        <v>-0.17</v>
      </c>
      <c r="DP206" s="228">
        <v>0.67</v>
      </c>
      <c r="DQ206" s="228">
        <v>0.68</v>
      </c>
      <c r="DR206" s="228">
        <v>-0.01</v>
      </c>
      <c r="DS206" s="229">
        <v>-1.47E-2</v>
      </c>
      <c r="DT206" s="228">
        <v>160</v>
      </c>
      <c r="DU206" s="228">
        <v>150</v>
      </c>
      <c r="DV206" s="228">
        <v>0.53</v>
      </c>
      <c r="DW206" s="228">
        <v>0.62</v>
      </c>
      <c r="DX206" s="228">
        <v>-0.09</v>
      </c>
      <c r="DY206" s="229">
        <v>-0.1452</v>
      </c>
      <c r="DZ206" s="229">
        <v>0.10680000000000001</v>
      </c>
      <c r="EA206" s="230">
        <v>7637550</v>
      </c>
      <c r="EB206" s="229">
        <v>3.5999999999999999E-3</v>
      </c>
      <c r="EC206" s="229">
        <v>0.10680000000000001</v>
      </c>
      <c r="ED206" s="228">
        <v>0.46</v>
      </c>
      <c r="EE206" s="229">
        <v>3.0000000000000001E-3</v>
      </c>
      <c r="EF206" s="230">
        <v>5645089</v>
      </c>
      <c r="EG206" s="230">
        <v>3534755</v>
      </c>
      <c r="EH206" s="229">
        <v>0.59699999999999998</v>
      </c>
      <c r="EI206" s="229">
        <v>0.55810000000000004</v>
      </c>
      <c r="EJ206" s="231">
        <v>26911.78</v>
      </c>
      <c r="EK206" s="231">
        <v>13466.44</v>
      </c>
      <c r="EL206" s="231">
        <v>18010.669999999998</v>
      </c>
      <c r="EM206" s="231">
        <v>2651</v>
      </c>
      <c r="EN206" s="231">
        <v>58388.89</v>
      </c>
      <c r="EO206" s="231">
        <v>43742.080000000002</v>
      </c>
      <c r="EP206" s="231">
        <v>14646.81</v>
      </c>
      <c r="EQ206" s="229">
        <v>0.33479999999999999</v>
      </c>
      <c r="ER206" s="231">
        <v>62451</v>
      </c>
      <c r="ES206" s="231">
        <v>38842</v>
      </c>
      <c r="ET206" s="231">
        <v>117501</v>
      </c>
      <c r="EU206" s="231">
        <v>289041713</v>
      </c>
      <c r="EV206" s="231">
        <v>218794</v>
      </c>
      <c r="EW206" s="231">
        <v>217894</v>
      </c>
      <c r="EX206" s="228">
        <v>900</v>
      </c>
      <c r="EY206" s="229">
        <v>4.1000000000000003E-3</v>
      </c>
      <c r="EZ206" s="229">
        <v>0.49080000000000001</v>
      </c>
      <c r="FA206" s="227" t="s">
        <v>555</v>
      </c>
      <c r="FB206" s="161">
        <f t="shared" si="5"/>
        <v>0</v>
      </c>
    </row>
    <row r="207" spans="1:158" ht="17.25" thickBot="1" x14ac:dyDescent="0.3">
      <c r="A207" s="226">
        <v>46008</v>
      </c>
      <c r="B207" s="227" t="s">
        <v>168</v>
      </c>
      <c r="C207" s="227" t="s">
        <v>569</v>
      </c>
      <c r="D207" s="228">
        <v>400</v>
      </c>
      <c r="E207" s="231">
        <v>1422.1</v>
      </c>
      <c r="F207" s="231">
        <v>1453.3</v>
      </c>
      <c r="G207" s="228">
        <v>-31.2</v>
      </c>
      <c r="H207" s="229">
        <v>-2.1499999999999998E-2</v>
      </c>
      <c r="I207" s="231">
        <v>1424.9</v>
      </c>
      <c r="J207" s="231">
        <v>1451.4</v>
      </c>
      <c r="K207" s="228">
        <v>-26.5</v>
      </c>
      <c r="L207" s="229">
        <v>-1.83E-2</v>
      </c>
      <c r="M207" s="231">
        <v>1422.1</v>
      </c>
      <c r="N207" s="231">
        <v>1453.3</v>
      </c>
      <c r="O207" s="228">
        <v>-31.2</v>
      </c>
      <c r="P207" s="229">
        <v>-2.1499999999999998E-2</v>
      </c>
      <c r="Q207" s="231">
        <v>1430.1</v>
      </c>
      <c r="R207" s="231">
        <v>1462.2</v>
      </c>
      <c r="S207" s="228">
        <v>-32.1</v>
      </c>
      <c r="T207" s="229">
        <v>-2.1999999999999999E-2</v>
      </c>
      <c r="U207" s="231">
        <v>1442.5</v>
      </c>
      <c r="V207" s="231">
        <v>1463.5</v>
      </c>
      <c r="W207" s="228">
        <v>-21</v>
      </c>
      <c r="X207" s="229">
        <v>-1.43E-2</v>
      </c>
      <c r="Y207" s="228">
        <v>-2.8</v>
      </c>
      <c r="Z207" s="228">
        <v>1.9</v>
      </c>
      <c r="AA207" s="228">
        <v>-4.7</v>
      </c>
      <c r="AB207" s="229">
        <v>-2E-3</v>
      </c>
      <c r="AC207" s="228">
        <v>-2.8</v>
      </c>
      <c r="AD207" s="228">
        <v>1.9</v>
      </c>
      <c r="AE207" s="228">
        <v>-4.7</v>
      </c>
      <c r="AF207" s="229">
        <v>-2E-3</v>
      </c>
      <c r="AG207" s="228">
        <v>5.2</v>
      </c>
      <c r="AH207" s="228">
        <v>10.8</v>
      </c>
      <c r="AI207" s="228">
        <v>-5.6</v>
      </c>
      <c r="AJ207" s="229">
        <v>3.5999999999999999E-3</v>
      </c>
      <c r="AK207" s="228">
        <v>17.600000000000001</v>
      </c>
      <c r="AL207" s="228">
        <v>12.1</v>
      </c>
      <c r="AM207" s="228">
        <v>5.5</v>
      </c>
      <c r="AN207" s="229">
        <v>1.24E-2</v>
      </c>
      <c r="AO207" s="231">
        <v>1436.3</v>
      </c>
      <c r="AP207" s="231">
        <v>1446.97</v>
      </c>
      <c r="AQ207" s="228">
        <v>0</v>
      </c>
      <c r="AR207" s="230">
        <v>2270800</v>
      </c>
      <c r="AS207" s="230">
        <v>864800</v>
      </c>
      <c r="AT207" s="230">
        <v>1406000</v>
      </c>
      <c r="AU207" s="229">
        <v>1.6257999999999999</v>
      </c>
      <c r="AV207" s="230">
        <v>2031200</v>
      </c>
      <c r="AW207" s="230">
        <v>806000</v>
      </c>
      <c r="AX207" s="230">
        <v>1225200</v>
      </c>
      <c r="AY207" s="229">
        <v>1.5201</v>
      </c>
      <c r="AZ207" s="230">
        <v>231200</v>
      </c>
      <c r="BA207" s="230">
        <v>55600</v>
      </c>
      <c r="BB207" s="230">
        <v>175600</v>
      </c>
      <c r="BC207" s="229">
        <v>3.1583000000000001</v>
      </c>
      <c r="BD207" s="230">
        <v>8400</v>
      </c>
      <c r="BE207" s="230">
        <v>3200</v>
      </c>
      <c r="BF207" s="230">
        <v>5200</v>
      </c>
      <c r="BG207" s="229">
        <v>1.625</v>
      </c>
      <c r="BH207" s="230">
        <v>3691200</v>
      </c>
      <c r="BI207" s="230">
        <v>1472800</v>
      </c>
      <c r="BJ207" s="230">
        <v>2218400</v>
      </c>
      <c r="BK207" s="229">
        <v>1.5062</v>
      </c>
      <c r="BL207" s="230">
        <v>3090000</v>
      </c>
      <c r="BM207" s="230">
        <v>364400</v>
      </c>
      <c r="BN207" s="230">
        <v>2725600</v>
      </c>
      <c r="BO207" s="229">
        <v>7.4797000000000002</v>
      </c>
      <c r="BP207" s="230">
        <v>9052000</v>
      </c>
      <c r="BQ207" s="230">
        <v>2702000</v>
      </c>
      <c r="BR207" s="230">
        <v>6350000</v>
      </c>
      <c r="BS207" s="229">
        <v>2.3500999999999999</v>
      </c>
      <c r="BT207" s="230">
        <v>1185574</v>
      </c>
      <c r="BU207" s="230">
        <v>431893</v>
      </c>
      <c r="BV207" s="230">
        <v>753681</v>
      </c>
      <c r="BW207" s="229">
        <v>1.7451000000000001</v>
      </c>
      <c r="BX207" s="230">
        <v>12549600</v>
      </c>
      <c r="BY207" s="230">
        <v>12482000</v>
      </c>
      <c r="BZ207" s="230">
        <v>67600</v>
      </c>
      <c r="CA207" s="229">
        <v>5.4000000000000003E-3</v>
      </c>
      <c r="CB207" s="230">
        <v>12192000</v>
      </c>
      <c r="CC207" s="230">
        <v>12257200</v>
      </c>
      <c r="CD207" s="230">
        <v>-65200</v>
      </c>
      <c r="CE207" s="229">
        <v>-5.3E-3</v>
      </c>
      <c r="CF207" s="230">
        <v>330000</v>
      </c>
      <c r="CG207" s="230">
        <v>200800</v>
      </c>
      <c r="CH207" s="230">
        <v>129200</v>
      </c>
      <c r="CI207" s="229">
        <v>0.64339999999999997</v>
      </c>
      <c r="CJ207" s="230">
        <v>27600</v>
      </c>
      <c r="CK207" s="230">
        <v>24000</v>
      </c>
      <c r="CL207" s="230">
        <v>3600</v>
      </c>
      <c r="CM207" s="229">
        <v>0.15</v>
      </c>
      <c r="CN207" s="230">
        <v>4028400</v>
      </c>
      <c r="CO207" s="230">
        <v>3556800</v>
      </c>
      <c r="CP207" s="230">
        <v>471600</v>
      </c>
      <c r="CQ207" s="229">
        <v>0.1326</v>
      </c>
      <c r="CR207" s="230">
        <v>3418000</v>
      </c>
      <c r="CS207" s="230">
        <v>2658000</v>
      </c>
      <c r="CT207" s="230">
        <v>760000</v>
      </c>
      <c r="CU207" s="229">
        <v>0.28589999999999999</v>
      </c>
      <c r="CV207" s="230">
        <v>19996000</v>
      </c>
      <c r="CW207" s="230">
        <v>18696800</v>
      </c>
      <c r="CX207" s="230">
        <v>1299200</v>
      </c>
      <c r="CY207" s="229">
        <v>6.9500000000000006E-2</v>
      </c>
      <c r="CZ207" s="228">
        <v>22.34</v>
      </c>
      <c r="DA207" s="228">
        <v>19.079999999999998</v>
      </c>
      <c r="DB207" s="228">
        <v>3.26</v>
      </c>
      <c r="DC207" s="228">
        <v>3.26</v>
      </c>
      <c r="DD207" s="228">
        <v>27.04</v>
      </c>
      <c r="DE207" s="228">
        <v>26.99</v>
      </c>
      <c r="DF207" s="228">
        <v>-4.7</v>
      </c>
      <c r="DG207" s="228">
        <v>0.05</v>
      </c>
      <c r="DH207" s="228">
        <v>22.77</v>
      </c>
      <c r="DI207" s="228">
        <v>19.059999999999999</v>
      </c>
      <c r="DJ207" s="228">
        <v>3.71</v>
      </c>
      <c r="DK207" s="228">
        <v>3.71</v>
      </c>
      <c r="DL207" s="228">
        <v>21.83</v>
      </c>
      <c r="DM207" s="228">
        <v>19.18</v>
      </c>
      <c r="DN207" s="228">
        <v>2.65</v>
      </c>
      <c r="DO207" s="228">
        <v>2.65</v>
      </c>
      <c r="DP207" s="228">
        <v>0.85</v>
      </c>
      <c r="DQ207" s="228">
        <v>0.75</v>
      </c>
      <c r="DR207" s="228">
        <v>0.1</v>
      </c>
      <c r="DS207" s="229">
        <v>0.1333</v>
      </c>
      <c r="DT207" s="231">
        <v>1500</v>
      </c>
      <c r="DU207" s="231">
        <v>1400</v>
      </c>
      <c r="DV207" s="228">
        <v>0.84</v>
      </c>
      <c r="DW207" s="228">
        <v>0.25</v>
      </c>
      <c r="DX207" s="228">
        <v>0.59</v>
      </c>
      <c r="DY207" s="229">
        <v>2.36</v>
      </c>
      <c r="DZ207" s="229">
        <v>2.8500000000000001E-2</v>
      </c>
      <c r="EA207" s="230">
        <v>224800</v>
      </c>
      <c r="EB207" s="229">
        <v>5.5999999999999999E-3</v>
      </c>
      <c r="EC207" s="229">
        <v>2.8500000000000001E-2</v>
      </c>
      <c r="ED207" s="228">
        <v>10.67</v>
      </c>
      <c r="EE207" s="229">
        <v>7.4000000000000003E-3</v>
      </c>
      <c r="EF207" s="230">
        <v>885836</v>
      </c>
      <c r="EG207" s="230">
        <v>303754</v>
      </c>
      <c r="EH207" s="229">
        <v>1.9162999999999999</v>
      </c>
      <c r="EI207" s="229">
        <v>0.74719999999999998</v>
      </c>
      <c r="EJ207" s="231">
        <v>54718.34</v>
      </c>
      <c r="EK207" s="231">
        <v>44136.06</v>
      </c>
      <c r="EL207" s="231">
        <v>32641.73</v>
      </c>
      <c r="EM207" s="231">
        <v>1989</v>
      </c>
      <c r="EN207" s="231">
        <v>131496.13</v>
      </c>
      <c r="EO207" s="231">
        <v>39698.720000000001</v>
      </c>
      <c r="EP207" s="231">
        <v>91797.41</v>
      </c>
      <c r="EQ207" s="229">
        <v>2.3123999999999998</v>
      </c>
      <c r="ER207" s="231">
        <v>59810</v>
      </c>
      <c r="ES207" s="231">
        <v>48053</v>
      </c>
      <c r="ET207" s="231">
        <v>178500</v>
      </c>
      <c r="EU207" s="231">
        <v>47269416</v>
      </c>
      <c r="EV207" s="231">
        <v>286363</v>
      </c>
      <c r="EW207" s="231">
        <v>271780</v>
      </c>
      <c r="EX207" s="231">
        <v>14583</v>
      </c>
      <c r="EY207" s="229">
        <v>5.3699999999999998E-2</v>
      </c>
      <c r="EZ207" s="229">
        <v>0.42299999999999999</v>
      </c>
      <c r="FA207" s="227" t="s">
        <v>567</v>
      </c>
      <c r="FB207" s="161">
        <f t="shared" si="5"/>
        <v>0</v>
      </c>
    </row>
    <row r="208" spans="1:158" ht="17.25" thickBot="1" x14ac:dyDescent="0.3">
      <c r="A208" s="226">
        <v>46008</v>
      </c>
      <c r="B208" s="227" t="s">
        <v>162</v>
      </c>
      <c r="C208" s="227" t="s">
        <v>675</v>
      </c>
      <c r="D208" s="228">
        <v>550</v>
      </c>
      <c r="E208" s="231">
        <v>1251.5</v>
      </c>
      <c r="F208" s="231">
        <v>1258.7</v>
      </c>
      <c r="G208" s="228">
        <v>-7.2</v>
      </c>
      <c r="H208" s="229">
        <v>-5.7000000000000002E-3</v>
      </c>
      <c r="I208" s="231">
        <v>1248.8</v>
      </c>
      <c r="J208" s="231">
        <v>1257</v>
      </c>
      <c r="K208" s="228">
        <v>-8.1999999999999993</v>
      </c>
      <c r="L208" s="229">
        <v>-6.4999999999999997E-3</v>
      </c>
      <c r="M208" s="231">
        <v>1251.5</v>
      </c>
      <c r="N208" s="231">
        <v>1258.7</v>
      </c>
      <c r="O208" s="228">
        <v>-7.2</v>
      </c>
      <c r="P208" s="229">
        <v>-5.7000000000000002E-3</v>
      </c>
      <c r="Q208" s="231">
        <v>1258.9000000000001</v>
      </c>
      <c r="R208" s="231">
        <v>1266.4000000000001</v>
      </c>
      <c r="S208" s="228">
        <v>-7.5</v>
      </c>
      <c r="T208" s="229">
        <v>-5.8999999999999999E-3</v>
      </c>
      <c r="U208" s="231">
        <v>1256</v>
      </c>
      <c r="V208" s="231">
        <v>1270.5</v>
      </c>
      <c r="W208" s="228">
        <v>-14.5</v>
      </c>
      <c r="X208" s="229">
        <v>-1.14E-2</v>
      </c>
      <c r="Y208" s="228">
        <v>2.7</v>
      </c>
      <c r="Z208" s="228">
        <v>1.7</v>
      </c>
      <c r="AA208" s="228">
        <v>1</v>
      </c>
      <c r="AB208" s="229">
        <v>2.2000000000000001E-3</v>
      </c>
      <c r="AC208" s="228">
        <v>2.7</v>
      </c>
      <c r="AD208" s="228">
        <v>1.7</v>
      </c>
      <c r="AE208" s="228">
        <v>1</v>
      </c>
      <c r="AF208" s="229">
        <v>2.2000000000000001E-3</v>
      </c>
      <c r="AG208" s="228">
        <v>10.1</v>
      </c>
      <c r="AH208" s="228">
        <v>9.4</v>
      </c>
      <c r="AI208" s="228">
        <v>0.7</v>
      </c>
      <c r="AJ208" s="229">
        <v>8.0999999999999996E-3</v>
      </c>
      <c r="AK208" s="228">
        <v>7.2</v>
      </c>
      <c r="AL208" s="228">
        <v>13.5</v>
      </c>
      <c r="AM208" s="228">
        <v>-6.3</v>
      </c>
      <c r="AN208" s="229">
        <v>5.7999999999999996E-3</v>
      </c>
      <c r="AO208" s="231">
        <v>1255.44</v>
      </c>
      <c r="AP208" s="231">
        <v>1261.24</v>
      </c>
      <c r="AQ208" s="228">
        <v>0</v>
      </c>
      <c r="AR208" s="230">
        <v>411400</v>
      </c>
      <c r="AS208" s="230">
        <v>3189450</v>
      </c>
      <c r="AT208" s="230">
        <v>-2778050</v>
      </c>
      <c r="AU208" s="229">
        <v>-0.871</v>
      </c>
      <c r="AV208" s="230">
        <v>389400</v>
      </c>
      <c r="AW208" s="230">
        <v>2554750</v>
      </c>
      <c r="AX208" s="230">
        <v>-2165350</v>
      </c>
      <c r="AY208" s="229">
        <v>-0.84760000000000002</v>
      </c>
      <c r="AZ208" s="230">
        <v>20900</v>
      </c>
      <c r="BA208" s="230">
        <v>630850</v>
      </c>
      <c r="BB208" s="230">
        <v>-609950</v>
      </c>
      <c r="BC208" s="229">
        <v>-0.96689999999999998</v>
      </c>
      <c r="BD208" s="230">
        <v>1100</v>
      </c>
      <c r="BE208" s="230">
        <v>3850</v>
      </c>
      <c r="BF208" s="230">
        <v>-2750</v>
      </c>
      <c r="BG208" s="229">
        <v>-0.71430000000000005</v>
      </c>
      <c r="BH208" s="230">
        <v>1199000</v>
      </c>
      <c r="BI208" s="230">
        <v>8354500</v>
      </c>
      <c r="BJ208" s="230">
        <v>-7155500</v>
      </c>
      <c r="BK208" s="229">
        <v>-0.85650000000000004</v>
      </c>
      <c r="BL208" s="230">
        <v>431200</v>
      </c>
      <c r="BM208" s="230">
        <v>5706250</v>
      </c>
      <c r="BN208" s="230">
        <v>-5275050</v>
      </c>
      <c r="BO208" s="229">
        <v>-0.9244</v>
      </c>
      <c r="BP208" s="230">
        <v>2041600</v>
      </c>
      <c r="BQ208" s="230">
        <v>17250200</v>
      </c>
      <c r="BR208" s="230">
        <v>-15208600</v>
      </c>
      <c r="BS208" s="229">
        <v>-0.88160000000000005</v>
      </c>
      <c r="BT208" s="230">
        <v>383340</v>
      </c>
      <c r="BU208" s="230">
        <v>1145261</v>
      </c>
      <c r="BV208" s="230">
        <v>-761921</v>
      </c>
      <c r="BW208" s="229">
        <v>-0.6653</v>
      </c>
      <c r="BX208" s="230">
        <v>4317500</v>
      </c>
      <c r="BY208" s="230">
        <v>4402750</v>
      </c>
      <c r="BZ208" s="230">
        <v>-85250</v>
      </c>
      <c r="CA208" s="229">
        <v>-1.9400000000000001E-2</v>
      </c>
      <c r="CB208" s="230">
        <v>4125550</v>
      </c>
      <c r="CC208" s="230">
        <v>4209700</v>
      </c>
      <c r="CD208" s="230">
        <v>-84150</v>
      </c>
      <c r="CE208" s="229">
        <v>-0.02</v>
      </c>
      <c r="CF208" s="230">
        <v>184800</v>
      </c>
      <c r="CG208" s="230">
        <v>185900</v>
      </c>
      <c r="CH208" s="230">
        <v>-1100</v>
      </c>
      <c r="CI208" s="229">
        <v>-5.8999999999999999E-3</v>
      </c>
      <c r="CJ208" s="230">
        <v>7150</v>
      </c>
      <c r="CK208" s="230">
        <v>7150</v>
      </c>
      <c r="CL208" s="228">
        <v>0</v>
      </c>
      <c r="CM208" s="229">
        <v>0</v>
      </c>
      <c r="CN208" s="230">
        <v>2790700</v>
      </c>
      <c r="CO208" s="230">
        <v>2763750</v>
      </c>
      <c r="CP208" s="230">
        <v>26950</v>
      </c>
      <c r="CQ208" s="229">
        <v>9.7999999999999997E-3</v>
      </c>
      <c r="CR208" s="230">
        <v>1563100</v>
      </c>
      <c r="CS208" s="230">
        <v>1567500</v>
      </c>
      <c r="CT208" s="230">
        <v>-4400</v>
      </c>
      <c r="CU208" s="229">
        <v>-2.8E-3</v>
      </c>
      <c r="CV208" s="230">
        <v>8671300</v>
      </c>
      <c r="CW208" s="230">
        <v>8734000</v>
      </c>
      <c r="CX208" s="230">
        <v>-62700</v>
      </c>
      <c r="CY208" s="229">
        <v>-7.1999999999999998E-3</v>
      </c>
      <c r="CZ208" s="228">
        <v>25.88</v>
      </c>
      <c r="DA208" s="228">
        <v>25.45</v>
      </c>
      <c r="DB208" s="228">
        <v>0.43</v>
      </c>
      <c r="DC208" s="228">
        <v>0.43</v>
      </c>
      <c r="DD208" s="228">
        <v>40.450000000000003</v>
      </c>
      <c r="DE208" s="228">
        <v>40.549999999999997</v>
      </c>
      <c r="DF208" s="228">
        <v>-14.57</v>
      </c>
      <c r="DG208" s="228">
        <v>-0.1</v>
      </c>
      <c r="DH208" s="228">
        <v>25.97</v>
      </c>
      <c r="DI208" s="228">
        <v>25.75</v>
      </c>
      <c r="DJ208" s="228">
        <v>0.22</v>
      </c>
      <c r="DK208" s="228">
        <v>0.22</v>
      </c>
      <c r="DL208" s="228">
        <v>25.61</v>
      </c>
      <c r="DM208" s="228">
        <v>25</v>
      </c>
      <c r="DN208" s="228">
        <v>0.61</v>
      </c>
      <c r="DO208" s="228">
        <v>0.61</v>
      </c>
      <c r="DP208" s="228">
        <v>0.56000000000000005</v>
      </c>
      <c r="DQ208" s="228">
        <v>0.56999999999999995</v>
      </c>
      <c r="DR208" s="228">
        <v>-0.01</v>
      </c>
      <c r="DS208" s="229">
        <v>-1.7500000000000002E-2</v>
      </c>
      <c r="DT208" s="231">
        <v>1320</v>
      </c>
      <c r="DU208" s="231">
        <v>1180</v>
      </c>
      <c r="DV208" s="228">
        <v>0.36</v>
      </c>
      <c r="DW208" s="228">
        <v>0.68</v>
      </c>
      <c r="DX208" s="228">
        <v>-0.32</v>
      </c>
      <c r="DY208" s="229">
        <v>-0.47060000000000002</v>
      </c>
      <c r="DZ208" s="229">
        <v>4.4499999999999998E-2</v>
      </c>
      <c r="EA208" s="230">
        <v>193050</v>
      </c>
      <c r="EB208" s="229">
        <v>5.8999999999999999E-3</v>
      </c>
      <c r="EC208" s="229">
        <v>4.4499999999999998E-2</v>
      </c>
      <c r="ED208" s="228">
        <v>5.8</v>
      </c>
      <c r="EE208" s="229">
        <v>4.5999999999999999E-3</v>
      </c>
      <c r="EF208" s="230">
        <v>198359</v>
      </c>
      <c r="EG208" s="230">
        <v>373858</v>
      </c>
      <c r="EH208" s="229">
        <v>-0.46939999999999998</v>
      </c>
      <c r="EI208" s="229">
        <v>0.51739999999999997</v>
      </c>
      <c r="EJ208" s="231">
        <v>15643.75</v>
      </c>
      <c r="EK208" s="231">
        <v>5316.2</v>
      </c>
      <c r="EL208" s="231">
        <v>5166.16</v>
      </c>
      <c r="EM208" s="231">
        <v>2045</v>
      </c>
      <c r="EN208" s="231">
        <v>26126.11</v>
      </c>
      <c r="EO208" s="231">
        <v>219664.05</v>
      </c>
      <c r="EP208" s="231">
        <v>-193537.94</v>
      </c>
      <c r="EQ208" s="229">
        <v>-0.88109999999999999</v>
      </c>
      <c r="ER208" s="231">
        <v>36982</v>
      </c>
      <c r="ES208" s="231">
        <v>19363</v>
      </c>
      <c r="ET208" s="231">
        <v>54048</v>
      </c>
      <c r="EU208" s="231">
        <v>22813802</v>
      </c>
      <c r="EV208" s="231">
        <v>110392</v>
      </c>
      <c r="EW208" s="231">
        <v>111526</v>
      </c>
      <c r="EX208" s="231">
        <v>-1134</v>
      </c>
      <c r="EY208" s="229">
        <v>-1.0200000000000001E-2</v>
      </c>
      <c r="EZ208" s="229">
        <v>0.38009999999999999</v>
      </c>
      <c r="FA208" s="227" t="s">
        <v>568</v>
      </c>
      <c r="FB208" s="161">
        <f t="shared" si="5"/>
        <v>0</v>
      </c>
    </row>
    <row r="209" spans="1:158" ht="17.25" thickBot="1" x14ac:dyDescent="0.3">
      <c r="A209" s="226">
        <v>46008</v>
      </c>
      <c r="B209" s="227" t="s">
        <v>498</v>
      </c>
      <c r="C209" s="227" t="s">
        <v>303</v>
      </c>
      <c r="D209" s="228">
        <v>1355</v>
      </c>
      <c r="E209" s="228">
        <v>747.75</v>
      </c>
      <c r="F209" s="228">
        <v>752.6</v>
      </c>
      <c r="G209" s="228">
        <v>-4.8499999999999996</v>
      </c>
      <c r="H209" s="229">
        <v>-6.4000000000000003E-3</v>
      </c>
      <c r="I209" s="228">
        <v>746.3</v>
      </c>
      <c r="J209" s="228">
        <v>749.9</v>
      </c>
      <c r="K209" s="228">
        <v>-3.6</v>
      </c>
      <c r="L209" s="229">
        <v>-4.7999999999999996E-3</v>
      </c>
      <c r="M209" s="228">
        <v>747.75</v>
      </c>
      <c r="N209" s="228">
        <v>752.6</v>
      </c>
      <c r="O209" s="228">
        <v>-4.8499999999999996</v>
      </c>
      <c r="P209" s="229">
        <v>-6.4000000000000003E-3</v>
      </c>
      <c r="Q209" s="228">
        <v>752.45</v>
      </c>
      <c r="R209" s="228">
        <v>756.75</v>
      </c>
      <c r="S209" s="228">
        <v>-4.3</v>
      </c>
      <c r="T209" s="229">
        <v>-5.7000000000000002E-3</v>
      </c>
      <c r="U209" s="228">
        <v>755.45</v>
      </c>
      <c r="V209" s="228">
        <v>761.25</v>
      </c>
      <c r="W209" s="228">
        <v>-5.8</v>
      </c>
      <c r="X209" s="229">
        <v>-7.6E-3</v>
      </c>
      <c r="Y209" s="228">
        <v>1.45</v>
      </c>
      <c r="Z209" s="228">
        <v>2.7</v>
      </c>
      <c r="AA209" s="228">
        <v>-1.25</v>
      </c>
      <c r="AB209" s="229">
        <v>1.9E-3</v>
      </c>
      <c r="AC209" s="228">
        <v>1.45</v>
      </c>
      <c r="AD209" s="228">
        <v>2.7</v>
      </c>
      <c r="AE209" s="228">
        <v>-1.25</v>
      </c>
      <c r="AF209" s="229">
        <v>1.9E-3</v>
      </c>
      <c r="AG209" s="228">
        <v>6.15</v>
      </c>
      <c r="AH209" s="228">
        <v>6.85</v>
      </c>
      <c r="AI209" s="228">
        <v>-0.7</v>
      </c>
      <c r="AJ209" s="229">
        <v>8.2000000000000007E-3</v>
      </c>
      <c r="AK209" s="228">
        <v>9.15</v>
      </c>
      <c r="AL209" s="228">
        <v>11.35</v>
      </c>
      <c r="AM209" s="228">
        <v>-2.2000000000000002</v>
      </c>
      <c r="AN209" s="229">
        <v>1.23E-2</v>
      </c>
      <c r="AO209" s="228">
        <v>748.37</v>
      </c>
      <c r="AP209" s="228">
        <v>753.21</v>
      </c>
      <c r="AQ209" s="228">
        <v>0</v>
      </c>
      <c r="AR209" s="230">
        <v>2247945</v>
      </c>
      <c r="AS209" s="230">
        <v>4073130</v>
      </c>
      <c r="AT209" s="230">
        <v>-1825185</v>
      </c>
      <c r="AU209" s="229">
        <v>-0.4481</v>
      </c>
      <c r="AV209" s="230">
        <v>1990495</v>
      </c>
      <c r="AW209" s="230">
        <v>3555520</v>
      </c>
      <c r="AX209" s="230">
        <v>-1565025</v>
      </c>
      <c r="AY209" s="229">
        <v>-0.44019999999999998</v>
      </c>
      <c r="AZ209" s="230">
        <v>247965</v>
      </c>
      <c r="BA209" s="230">
        <v>455280</v>
      </c>
      <c r="BB209" s="230">
        <v>-207315</v>
      </c>
      <c r="BC209" s="229">
        <v>-0.45540000000000003</v>
      </c>
      <c r="BD209" s="230">
        <v>9485</v>
      </c>
      <c r="BE209" s="230">
        <v>62330</v>
      </c>
      <c r="BF209" s="230">
        <v>-52845</v>
      </c>
      <c r="BG209" s="229">
        <v>-0.8478</v>
      </c>
      <c r="BH209" s="230">
        <v>6933535</v>
      </c>
      <c r="BI209" s="230">
        <v>10494475</v>
      </c>
      <c r="BJ209" s="230">
        <v>-3560940</v>
      </c>
      <c r="BK209" s="229">
        <v>-0.33929999999999999</v>
      </c>
      <c r="BL209" s="230">
        <v>2654445</v>
      </c>
      <c r="BM209" s="230">
        <v>4630035</v>
      </c>
      <c r="BN209" s="230">
        <v>-1975590</v>
      </c>
      <c r="BO209" s="229">
        <v>-0.42670000000000002</v>
      </c>
      <c r="BP209" s="230">
        <v>11835925</v>
      </c>
      <c r="BQ209" s="230">
        <v>19197640</v>
      </c>
      <c r="BR209" s="230">
        <v>-7361715</v>
      </c>
      <c r="BS209" s="229">
        <v>-0.38350000000000001</v>
      </c>
      <c r="BT209" s="230">
        <v>1718891</v>
      </c>
      <c r="BU209" s="230">
        <v>1234228</v>
      </c>
      <c r="BV209" s="230">
        <v>484663</v>
      </c>
      <c r="BW209" s="229">
        <v>0.39269999999999999</v>
      </c>
      <c r="BX209" s="230">
        <v>35212385</v>
      </c>
      <c r="BY209" s="230">
        <v>34998295</v>
      </c>
      <c r="BZ209" s="230">
        <v>214090</v>
      </c>
      <c r="CA209" s="229">
        <v>6.1000000000000004E-3</v>
      </c>
      <c r="CB209" s="230">
        <v>34407515</v>
      </c>
      <c r="CC209" s="230">
        <v>34266595</v>
      </c>
      <c r="CD209" s="230">
        <v>140920</v>
      </c>
      <c r="CE209" s="229">
        <v>4.1000000000000003E-3</v>
      </c>
      <c r="CF209" s="230">
        <v>719505</v>
      </c>
      <c r="CG209" s="230">
        <v>650400</v>
      </c>
      <c r="CH209" s="230">
        <v>69105</v>
      </c>
      <c r="CI209" s="229">
        <v>0.10630000000000001</v>
      </c>
      <c r="CJ209" s="230">
        <v>85365</v>
      </c>
      <c r="CK209" s="230">
        <v>81300</v>
      </c>
      <c r="CL209" s="230">
        <v>4065</v>
      </c>
      <c r="CM209" s="229">
        <v>0.05</v>
      </c>
      <c r="CN209" s="230">
        <v>9970090</v>
      </c>
      <c r="CO209" s="230">
        <v>9737030</v>
      </c>
      <c r="CP209" s="230">
        <v>233060</v>
      </c>
      <c r="CQ209" s="229">
        <v>2.3900000000000001E-2</v>
      </c>
      <c r="CR209" s="230">
        <v>6856300</v>
      </c>
      <c r="CS209" s="230">
        <v>6560910</v>
      </c>
      <c r="CT209" s="230">
        <v>295390</v>
      </c>
      <c r="CU209" s="229">
        <v>4.4999999999999998E-2</v>
      </c>
      <c r="CV209" s="230">
        <v>52038775</v>
      </c>
      <c r="CW209" s="230">
        <v>51296235</v>
      </c>
      <c r="CX209" s="230">
        <v>742540</v>
      </c>
      <c r="CY209" s="229">
        <v>1.4500000000000001E-2</v>
      </c>
      <c r="CZ209" s="228">
        <v>22.18</v>
      </c>
      <c r="DA209" s="228">
        <v>22.34</v>
      </c>
      <c r="DB209" s="228">
        <v>-0.16</v>
      </c>
      <c r="DC209" s="228">
        <v>-0.16</v>
      </c>
      <c r="DD209" s="228">
        <v>32.1</v>
      </c>
      <c r="DE209" s="228">
        <v>32.17</v>
      </c>
      <c r="DF209" s="228">
        <v>-9.92</v>
      </c>
      <c r="DG209" s="228">
        <v>-7.0000000000000007E-2</v>
      </c>
      <c r="DH209" s="228">
        <v>22.14</v>
      </c>
      <c r="DI209" s="228">
        <v>22.45</v>
      </c>
      <c r="DJ209" s="228">
        <v>-0.31</v>
      </c>
      <c r="DK209" s="228">
        <v>-0.31</v>
      </c>
      <c r="DL209" s="228">
        <v>22.29</v>
      </c>
      <c r="DM209" s="228">
        <v>22.07</v>
      </c>
      <c r="DN209" s="228">
        <v>0.22</v>
      </c>
      <c r="DO209" s="228">
        <v>0.22</v>
      </c>
      <c r="DP209" s="228">
        <v>0.69</v>
      </c>
      <c r="DQ209" s="228">
        <v>0.67</v>
      </c>
      <c r="DR209" s="228">
        <v>0.02</v>
      </c>
      <c r="DS209" s="229">
        <v>2.9899999999999999E-2</v>
      </c>
      <c r="DT209" s="228">
        <v>770</v>
      </c>
      <c r="DU209" s="228">
        <v>700</v>
      </c>
      <c r="DV209" s="228">
        <v>0.38</v>
      </c>
      <c r="DW209" s="228">
        <v>0.44</v>
      </c>
      <c r="DX209" s="228">
        <v>-0.06</v>
      </c>
      <c r="DY209" s="229">
        <v>-0.13639999999999999</v>
      </c>
      <c r="DZ209" s="229">
        <v>2.29E-2</v>
      </c>
      <c r="EA209" s="230">
        <v>731700</v>
      </c>
      <c r="EB209" s="229">
        <v>6.3E-3</v>
      </c>
      <c r="EC209" s="229">
        <v>2.29E-2</v>
      </c>
      <c r="ED209" s="228">
        <v>4.84</v>
      </c>
      <c r="EE209" s="229">
        <v>6.4999999999999997E-3</v>
      </c>
      <c r="EF209" s="230">
        <v>973025</v>
      </c>
      <c r="EG209" s="230">
        <v>599923</v>
      </c>
      <c r="EH209" s="229">
        <v>0.62190000000000001</v>
      </c>
      <c r="EI209" s="229">
        <v>0.56610000000000005</v>
      </c>
      <c r="EJ209" s="231">
        <v>53785.42</v>
      </c>
      <c r="EK209" s="231">
        <v>19743.75</v>
      </c>
      <c r="EL209" s="231">
        <v>16835.95</v>
      </c>
      <c r="EM209" s="231">
        <v>3062</v>
      </c>
      <c r="EN209" s="231">
        <v>90365.119999999995</v>
      </c>
      <c r="EO209" s="231">
        <v>147892.32</v>
      </c>
      <c r="EP209" s="231">
        <v>-57527.199999999997</v>
      </c>
      <c r="EQ209" s="229">
        <v>-0.38900000000000001</v>
      </c>
      <c r="ER209" s="231">
        <v>77195</v>
      </c>
      <c r="ES209" s="231">
        <v>49705</v>
      </c>
      <c r="ET209" s="231">
        <v>263341</v>
      </c>
      <c r="EU209" s="231">
        <v>82588393</v>
      </c>
      <c r="EV209" s="231">
        <v>390242</v>
      </c>
      <c r="EW209" s="231">
        <v>386585</v>
      </c>
      <c r="EX209" s="231">
        <v>3657</v>
      </c>
      <c r="EY209" s="229">
        <v>9.4999999999999998E-3</v>
      </c>
      <c r="EZ209" s="229">
        <v>0.63009999999999999</v>
      </c>
      <c r="FA209" s="227" t="s">
        <v>567</v>
      </c>
      <c r="FB209" s="161">
        <f t="shared" si="5"/>
        <v>0</v>
      </c>
    </row>
    <row r="210" spans="1:158" ht="17.25" thickBot="1" x14ac:dyDescent="0.3">
      <c r="A210" s="226">
        <v>46008</v>
      </c>
      <c r="B210" s="227" t="s">
        <v>168</v>
      </c>
      <c r="C210" s="227" t="s">
        <v>586</v>
      </c>
      <c r="D210" s="228">
        <v>1025</v>
      </c>
      <c r="E210" s="228">
        <v>471.95</v>
      </c>
      <c r="F210" s="228">
        <v>478.95</v>
      </c>
      <c r="G210" s="228">
        <v>-7</v>
      </c>
      <c r="H210" s="229">
        <v>-1.46E-2</v>
      </c>
      <c r="I210" s="228">
        <v>470.85</v>
      </c>
      <c r="J210" s="228">
        <v>477.15</v>
      </c>
      <c r="K210" s="228">
        <v>-6.3</v>
      </c>
      <c r="L210" s="229">
        <v>-1.32E-2</v>
      </c>
      <c r="M210" s="228">
        <v>471.95</v>
      </c>
      <c r="N210" s="228">
        <v>478.95</v>
      </c>
      <c r="O210" s="228">
        <v>-7</v>
      </c>
      <c r="P210" s="229">
        <v>-1.46E-2</v>
      </c>
      <c r="Q210" s="228">
        <v>474.25</v>
      </c>
      <c r="R210" s="228">
        <v>481.65</v>
      </c>
      <c r="S210" s="228">
        <v>-7.4</v>
      </c>
      <c r="T210" s="229">
        <v>-1.54E-2</v>
      </c>
      <c r="U210" s="228">
        <v>476.65</v>
      </c>
      <c r="V210" s="228">
        <v>486.2</v>
      </c>
      <c r="W210" s="228">
        <v>-9.5500000000000007</v>
      </c>
      <c r="X210" s="229">
        <v>-1.9599999999999999E-2</v>
      </c>
      <c r="Y210" s="228">
        <v>1.1000000000000001</v>
      </c>
      <c r="Z210" s="228">
        <v>1.8</v>
      </c>
      <c r="AA210" s="228">
        <v>-0.7</v>
      </c>
      <c r="AB210" s="229">
        <v>2.3E-3</v>
      </c>
      <c r="AC210" s="228">
        <v>1.1000000000000001</v>
      </c>
      <c r="AD210" s="228">
        <v>1.8</v>
      </c>
      <c r="AE210" s="228">
        <v>-0.7</v>
      </c>
      <c r="AF210" s="229">
        <v>2.3E-3</v>
      </c>
      <c r="AG210" s="228">
        <v>3.4</v>
      </c>
      <c r="AH210" s="228">
        <v>4.5</v>
      </c>
      <c r="AI210" s="228">
        <v>-1.1000000000000001</v>
      </c>
      <c r="AJ210" s="229">
        <v>7.1999999999999998E-3</v>
      </c>
      <c r="AK210" s="228">
        <v>5.8</v>
      </c>
      <c r="AL210" s="228">
        <v>9.0500000000000007</v>
      </c>
      <c r="AM210" s="228">
        <v>-3.25</v>
      </c>
      <c r="AN210" s="229">
        <v>1.23E-2</v>
      </c>
      <c r="AO210" s="228">
        <v>474.38</v>
      </c>
      <c r="AP210" s="228">
        <v>477.24</v>
      </c>
      <c r="AQ210" s="228">
        <v>0</v>
      </c>
      <c r="AR210" s="230">
        <v>5792275</v>
      </c>
      <c r="AS210" s="230">
        <v>6566150</v>
      </c>
      <c r="AT210" s="230">
        <v>-773875</v>
      </c>
      <c r="AU210" s="229">
        <v>-0.1179</v>
      </c>
      <c r="AV210" s="230">
        <v>5203925</v>
      </c>
      <c r="AW210" s="230">
        <v>6020850</v>
      </c>
      <c r="AX210" s="230">
        <v>-816925</v>
      </c>
      <c r="AY210" s="229">
        <v>-0.13569999999999999</v>
      </c>
      <c r="AZ210" s="230">
        <v>556575</v>
      </c>
      <c r="BA210" s="230">
        <v>528900</v>
      </c>
      <c r="BB210" s="230">
        <v>27675</v>
      </c>
      <c r="BC210" s="229">
        <v>5.2299999999999999E-2</v>
      </c>
      <c r="BD210" s="230">
        <v>31775</v>
      </c>
      <c r="BE210" s="230">
        <v>16400</v>
      </c>
      <c r="BF210" s="230">
        <v>15375</v>
      </c>
      <c r="BG210" s="229">
        <v>0.9375</v>
      </c>
      <c r="BH210" s="230">
        <v>17799125</v>
      </c>
      <c r="BI210" s="230">
        <v>23422275</v>
      </c>
      <c r="BJ210" s="230">
        <v>-5623150</v>
      </c>
      <c r="BK210" s="229">
        <v>-0.24010000000000001</v>
      </c>
      <c r="BL210" s="230">
        <v>7852525</v>
      </c>
      <c r="BM210" s="230">
        <v>7402550</v>
      </c>
      <c r="BN210" s="230">
        <v>449975</v>
      </c>
      <c r="BO210" s="229">
        <v>6.08E-2</v>
      </c>
      <c r="BP210" s="230">
        <v>31443925</v>
      </c>
      <c r="BQ210" s="230">
        <v>37390975</v>
      </c>
      <c r="BR210" s="230">
        <v>-5947050</v>
      </c>
      <c r="BS210" s="229">
        <v>-0.15909999999999999</v>
      </c>
      <c r="BT210" s="230">
        <v>3565788</v>
      </c>
      <c r="BU210" s="230">
        <v>4229999</v>
      </c>
      <c r="BV210" s="230">
        <v>-664211</v>
      </c>
      <c r="BW210" s="229">
        <v>-0.157</v>
      </c>
      <c r="BX210" s="230">
        <v>47049450</v>
      </c>
      <c r="BY210" s="230">
        <v>46532150</v>
      </c>
      <c r="BZ210" s="230">
        <v>517300</v>
      </c>
      <c r="CA210" s="229">
        <v>1.11E-2</v>
      </c>
      <c r="CB210" s="230">
        <v>45021075</v>
      </c>
      <c r="CC210" s="230">
        <v>44696150</v>
      </c>
      <c r="CD210" s="230">
        <v>324925</v>
      </c>
      <c r="CE210" s="229">
        <v>7.3000000000000001E-3</v>
      </c>
      <c r="CF210" s="230">
        <v>1874250</v>
      </c>
      <c r="CG210" s="230">
        <v>1690875</v>
      </c>
      <c r="CH210" s="230">
        <v>183375</v>
      </c>
      <c r="CI210" s="229">
        <v>0.1084</v>
      </c>
      <c r="CJ210" s="230">
        <v>154125</v>
      </c>
      <c r="CK210" s="230">
        <v>145125</v>
      </c>
      <c r="CL210" s="230">
        <v>9000</v>
      </c>
      <c r="CM210" s="229">
        <v>6.2E-2</v>
      </c>
      <c r="CN210" s="230">
        <v>24848975</v>
      </c>
      <c r="CO210" s="230">
        <v>25175500</v>
      </c>
      <c r="CP210" s="230">
        <v>-326525</v>
      </c>
      <c r="CQ210" s="229">
        <v>-1.2999999999999999E-2</v>
      </c>
      <c r="CR210" s="230">
        <v>10497500</v>
      </c>
      <c r="CS210" s="230">
        <v>10747975</v>
      </c>
      <c r="CT210" s="230">
        <v>-250475</v>
      </c>
      <c r="CU210" s="229">
        <v>-2.3300000000000001E-2</v>
      </c>
      <c r="CV210" s="230">
        <v>82395925</v>
      </c>
      <c r="CW210" s="230">
        <v>82455625</v>
      </c>
      <c r="CX210" s="230">
        <v>-59700</v>
      </c>
      <c r="CY210" s="229">
        <v>-6.9999999999999999E-4</v>
      </c>
      <c r="CZ210" s="228">
        <v>27.34</v>
      </c>
      <c r="DA210" s="228">
        <v>27.87</v>
      </c>
      <c r="DB210" s="228">
        <v>-0.53</v>
      </c>
      <c r="DC210" s="228">
        <v>-0.53</v>
      </c>
      <c r="DD210" s="228">
        <v>37.83</v>
      </c>
      <c r="DE210" s="228">
        <v>37.880000000000003</v>
      </c>
      <c r="DF210" s="228">
        <v>-10.49</v>
      </c>
      <c r="DG210" s="228">
        <v>-0.05</v>
      </c>
      <c r="DH210" s="228">
        <v>27.84</v>
      </c>
      <c r="DI210" s="228">
        <v>28.16</v>
      </c>
      <c r="DJ210" s="228">
        <v>-0.32</v>
      </c>
      <c r="DK210" s="228">
        <v>-0.32</v>
      </c>
      <c r="DL210" s="228">
        <v>26.21</v>
      </c>
      <c r="DM210" s="228">
        <v>26.93</v>
      </c>
      <c r="DN210" s="228">
        <v>-0.72</v>
      </c>
      <c r="DO210" s="228">
        <v>-0.72</v>
      </c>
      <c r="DP210" s="228">
        <v>0.42</v>
      </c>
      <c r="DQ210" s="228">
        <v>0.43</v>
      </c>
      <c r="DR210" s="228">
        <v>-0.01</v>
      </c>
      <c r="DS210" s="229">
        <v>-2.3300000000000001E-2</v>
      </c>
      <c r="DT210" s="228">
        <v>500</v>
      </c>
      <c r="DU210" s="228">
        <v>450</v>
      </c>
      <c r="DV210" s="228">
        <v>0.44</v>
      </c>
      <c r="DW210" s="228">
        <v>0.32</v>
      </c>
      <c r="DX210" s="228">
        <v>0.12</v>
      </c>
      <c r="DY210" s="229">
        <v>0.375</v>
      </c>
      <c r="DZ210" s="229">
        <v>4.3099999999999999E-2</v>
      </c>
      <c r="EA210" s="230">
        <v>1836000</v>
      </c>
      <c r="EB210" s="229">
        <v>4.8999999999999998E-3</v>
      </c>
      <c r="EC210" s="229">
        <v>4.3099999999999999E-2</v>
      </c>
      <c r="ED210" s="228">
        <v>2.86</v>
      </c>
      <c r="EE210" s="229">
        <v>6.0000000000000001E-3</v>
      </c>
      <c r="EF210" s="230">
        <v>1802539</v>
      </c>
      <c r="EG210" s="230">
        <v>1925209</v>
      </c>
      <c r="EH210" s="229">
        <v>-6.3700000000000007E-2</v>
      </c>
      <c r="EI210" s="229">
        <v>0.50549999999999995</v>
      </c>
      <c r="EJ210" s="231">
        <v>88397.14</v>
      </c>
      <c r="EK210" s="231">
        <v>37245.15</v>
      </c>
      <c r="EL210" s="231">
        <v>27768.35</v>
      </c>
      <c r="EM210" s="231">
        <v>5106</v>
      </c>
      <c r="EN210" s="231">
        <v>153410.64000000001</v>
      </c>
      <c r="EO210" s="231">
        <v>184679.69</v>
      </c>
      <c r="EP210" s="231">
        <v>-31269.05</v>
      </c>
      <c r="EQ210" s="229">
        <v>-0.16930000000000001</v>
      </c>
      <c r="ER210" s="231">
        <v>123519</v>
      </c>
      <c r="ES210" s="231">
        <v>48018</v>
      </c>
      <c r="ET210" s="231">
        <v>222100</v>
      </c>
      <c r="EU210" s="231">
        <v>203804339</v>
      </c>
      <c r="EV210" s="231">
        <v>393637</v>
      </c>
      <c r="EW210" s="231">
        <v>397536</v>
      </c>
      <c r="EX210" s="231">
        <v>-3899</v>
      </c>
      <c r="EY210" s="229">
        <v>-9.7999999999999997E-3</v>
      </c>
      <c r="EZ210" s="229">
        <v>0.40429999999999999</v>
      </c>
      <c r="FA210" s="227" t="s">
        <v>567</v>
      </c>
      <c r="FB210" s="161">
        <f t="shared" si="5"/>
        <v>0</v>
      </c>
    </row>
    <row r="211" spans="1:158" ht="17.25" thickBot="1" x14ac:dyDescent="0.3">
      <c r="A211" s="226">
        <v>46008</v>
      </c>
      <c r="B211" s="227" t="s">
        <v>227</v>
      </c>
      <c r="C211" s="227" t="s">
        <v>304</v>
      </c>
      <c r="D211" s="228">
        <v>1150</v>
      </c>
      <c r="E211" s="228">
        <v>570.1</v>
      </c>
      <c r="F211" s="228">
        <v>570.85</v>
      </c>
      <c r="G211" s="228">
        <v>-0.75</v>
      </c>
      <c r="H211" s="229">
        <v>-1.2999999999999999E-3</v>
      </c>
      <c r="I211" s="228">
        <v>569.79999999999995</v>
      </c>
      <c r="J211" s="228">
        <v>569.5</v>
      </c>
      <c r="K211" s="228">
        <v>0.3</v>
      </c>
      <c r="L211" s="229">
        <v>5.0000000000000001E-4</v>
      </c>
      <c r="M211" s="228">
        <v>570.1</v>
      </c>
      <c r="N211" s="228">
        <v>570.85</v>
      </c>
      <c r="O211" s="228">
        <v>-0.75</v>
      </c>
      <c r="P211" s="229">
        <v>-1.2999999999999999E-3</v>
      </c>
      <c r="Q211" s="228">
        <v>572.6</v>
      </c>
      <c r="R211" s="228">
        <v>573.29999999999995</v>
      </c>
      <c r="S211" s="228">
        <v>-0.7</v>
      </c>
      <c r="T211" s="229">
        <v>-1.1999999999999999E-3</v>
      </c>
      <c r="U211" s="228">
        <v>573.75</v>
      </c>
      <c r="V211" s="228">
        <v>574.95000000000005</v>
      </c>
      <c r="W211" s="228">
        <v>-1.2</v>
      </c>
      <c r="X211" s="229">
        <v>-2.0999999999999999E-3</v>
      </c>
      <c r="Y211" s="228">
        <v>0.3</v>
      </c>
      <c r="Z211" s="228">
        <v>1.35</v>
      </c>
      <c r="AA211" s="228">
        <v>-1.05</v>
      </c>
      <c r="AB211" s="229">
        <v>5.0000000000000001E-4</v>
      </c>
      <c r="AC211" s="228">
        <v>0.3</v>
      </c>
      <c r="AD211" s="228">
        <v>1.35</v>
      </c>
      <c r="AE211" s="228">
        <v>-1.05</v>
      </c>
      <c r="AF211" s="229">
        <v>5.0000000000000001E-4</v>
      </c>
      <c r="AG211" s="228">
        <v>2.8</v>
      </c>
      <c r="AH211" s="228">
        <v>3.8</v>
      </c>
      <c r="AI211" s="228">
        <v>-1</v>
      </c>
      <c r="AJ211" s="229">
        <v>4.8999999999999998E-3</v>
      </c>
      <c r="AK211" s="228">
        <v>3.95</v>
      </c>
      <c r="AL211" s="228">
        <v>5.45</v>
      </c>
      <c r="AM211" s="228">
        <v>-1.5</v>
      </c>
      <c r="AN211" s="229">
        <v>6.8999999999999999E-3</v>
      </c>
      <c r="AO211" s="228">
        <v>572.45000000000005</v>
      </c>
      <c r="AP211" s="228">
        <v>575.02</v>
      </c>
      <c r="AQ211" s="228">
        <v>0</v>
      </c>
      <c r="AR211" s="230">
        <v>35628150</v>
      </c>
      <c r="AS211" s="230">
        <v>75499800</v>
      </c>
      <c r="AT211" s="230">
        <v>-39871650</v>
      </c>
      <c r="AU211" s="229">
        <v>-0.52810000000000001</v>
      </c>
      <c r="AV211" s="230">
        <v>29628600</v>
      </c>
      <c r="AW211" s="230">
        <v>67019700</v>
      </c>
      <c r="AX211" s="230">
        <v>-37391100</v>
      </c>
      <c r="AY211" s="229">
        <v>-0.55789999999999995</v>
      </c>
      <c r="AZ211" s="230">
        <v>5521150</v>
      </c>
      <c r="BA211" s="230">
        <v>7884400</v>
      </c>
      <c r="BB211" s="230">
        <v>-2363250</v>
      </c>
      <c r="BC211" s="229">
        <v>-0.29970000000000002</v>
      </c>
      <c r="BD211" s="230">
        <v>478400</v>
      </c>
      <c r="BE211" s="230">
        <v>595700</v>
      </c>
      <c r="BF211" s="230">
        <v>-117300</v>
      </c>
      <c r="BG211" s="229">
        <v>-0.19689999999999999</v>
      </c>
      <c r="BH211" s="230">
        <v>165439000</v>
      </c>
      <c r="BI211" s="230">
        <v>272615550</v>
      </c>
      <c r="BJ211" s="230">
        <v>-107176550</v>
      </c>
      <c r="BK211" s="229">
        <v>-0.3931</v>
      </c>
      <c r="BL211" s="230">
        <v>86289100</v>
      </c>
      <c r="BM211" s="230">
        <v>136776400</v>
      </c>
      <c r="BN211" s="230">
        <v>-50487300</v>
      </c>
      <c r="BO211" s="229">
        <v>-0.36909999999999998</v>
      </c>
      <c r="BP211" s="230">
        <v>287356250</v>
      </c>
      <c r="BQ211" s="230">
        <v>484891750</v>
      </c>
      <c r="BR211" s="230">
        <v>-197535500</v>
      </c>
      <c r="BS211" s="229">
        <v>-0.40739999999999998</v>
      </c>
      <c r="BT211" s="230">
        <v>31591329</v>
      </c>
      <c r="BU211" s="230">
        <v>35971221</v>
      </c>
      <c r="BV211" s="230">
        <v>-4379892</v>
      </c>
      <c r="BW211" s="229">
        <v>-0.12180000000000001</v>
      </c>
      <c r="BX211" s="230">
        <v>107385850</v>
      </c>
      <c r="BY211" s="230">
        <v>112626400</v>
      </c>
      <c r="BZ211" s="230">
        <v>-5240550</v>
      </c>
      <c r="CA211" s="229">
        <v>-4.65E-2</v>
      </c>
      <c r="CB211" s="230">
        <v>101035550</v>
      </c>
      <c r="CC211" s="230">
        <v>107240950</v>
      </c>
      <c r="CD211" s="230">
        <v>-6205400</v>
      </c>
      <c r="CE211" s="229">
        <v>-5.79E-2</v>
      </c>
      <c r="CF211" s="230">
        <v>5667200</v>
      </c>
      <c r="CG211" s="230">
        <v>4731100</v>
      </c>
      <c r="CH211" s="230">
        <v>936100</v>
      </c>
      <c r="CI211" s="229">
        <v>0.19789999999999999</v>
      </c>
      <c r="CJ211" s="230">
        <v>683100</v>
      </c>
      <c r="CK211" s="230">
        <v>654350</v>
      </c>
      <c r="CL211" s="230">
        <v>28750</v>
      </c>
      <c r="CM211" s="229">
        <v>4.3900000000000002E-2</v>
      </c>
      <c r="CN211" s="230">
        <v>56289050</v>
      </c>
      <c r="CO211" s="230">
        <v>52385950</v>
      </c>
      <c r="CP211" s="230">
        <v>3903100</v>
      </c>
      <c r="CQ211" s="229">
        <v>7.4499999999999997E-2</v>
      </c>
      <c r="CR211" s="230">
        <v>50876000</v>
      </c>
      <c r="CS211" s="230">
        <v>48140150</v>
      </c>
      <c r="CT211" s="230">
        <v>2735850</v>
      </c>
      <c r="CU211" s="229">
        <v>5.6800000000000003E-2</v>
      </c>
      <c r="CV211" s="230">
        <v>214550900</v>
      </c>
      <c r="CW211" s="230">
        <v>213152500</v>
      </c>
      <c r="CX211" s="230">
        <v>1398400</v>
      </c>
      <c r="CY211" s="229">
        <v>6.6E-3</v>
      </c>
      <c r="CZ211" s="228">
        <v>27.66</v>
      </c>
      <c r="DA211" s="228">
        <v>30.41</v>
      </c>
      <c r="DB211" s="228">
        <v>-2.75</v>
      </c>
      <c r="DC211" s="228">
        <v>-2.75</v>
      </c>
      <c r="DD211" s="228">
        <v>37.119999999999997</v>
      </c>
      <c r="DE211" s="228">
        <v>37.21</v>
      </c>
      <c r="DF211" s="228">
        <v>-9.4600000000000009</v>
      </c>
      <c r="DG211" s="228">
        <v>-0.09</v>
      </c>
      <c r="DH211" s="228">
        <v>27.52</v>
      </c>
      <c r="DI211" s="228">
        <v>29.41</v>
      </c>
      <c r="DJ211" s="228">
        <v>-1.89</v>
      </c>
      <c r="DK211" s="228">
        <v>-1.89</v>
      </c>
      <c r="DL211" s="228">
        <v>27.94</v>
      </c>
      <c r="DM211" s="228">
        <v>32.39</v>
      </c>
      <c r="DN211" s="228">
        <v>-4.45</v>
      </c>
      <c r="DO211" s="228">
        <v>-4.45</v>
      </c>
      <c r="DP211" s="228">
        <v>0.9</v>
      </c>
      <c r="DQ211" s="228">
        <v>0.92</v>
      </c>
      <c r="DR211" s="228">
        <v>-0.02</v>
      </c>
      <c r="DS211" s="229">
        <v>-2.1700000000000001E-2</v>
      </c>
      <c r="DT211" s="228">
        <v>600</v>
      </c>
      <c r="DU211" s="228">
        <v>540</v>
      </c>
      <c r="DV211" s="228">
        <v>0.52</v>
      </c>
      <c r="DW211" s="228">
        <v>0.5</v>
      </c>
      <c r="DX211" s="228">
        <v>0.02</v>
      </c>
      <c r="DY211" s="229">
        <v>0.04</v>
      </c>
      <c r="DZ211" s="229">
        <v>5.91E-2</v>
      </c>
      <c r="EA211" s="230">
        <v>5385450</v>
      </c>
      <c r="EB211" s="229">
        <v>4.4000000000000003E-3</v>
      </c>
      <c r="EC211" s="229">
        <v>5.91E-2</v>
      </c>
      <c r="ED211" s="228">
        <v>2.57</v>
      </c>
      <c r="EE211" s="229">
        <v>4.4999999999999997E-3</v>
      </c>
      <c r="EF211" s="230">
        <v>12338576</v>
      </c>
      <c r="EG211" s="230">
        <v>13684264</v>
      </c>
      <c r="EH211" s="229">
        <v>-9.8299999999999998E-2</v>
      </c>
      <c r="EI211" s="229">
        <v>0.3906</v>
      </c>
      <c r="EJ211" s="231">
        <v>983288.47</v>
      </c>
      <c r="EK211" s="231">
        <v>484033.11</v>
      </c>
      <c r="EL211" s="231">
        <v>204112.83</v>
      </c>
      <c r="EM211" s="231">
        <v>26839</v>
      </c>
      <c r="EN211" s="231">
        <v>1671434.41</v>
      </c>
      <c r="EO211" s="231">
        <v>2756708.56</v>
      </c>
      <c r="EP211" s="231">
        <v>-1085274.1499999999</v>
      </c>
      <c r="EQ211" s="229">
        <v>-0.39369999999999999</v>
      </c>
      <c r="ER211" s="231">
        <v>320374</v>
      </c>
      <c r="ES211" s="231">
        <v>268184</v>
      </c>
      <c r="ET211" s="231">
        <v>612373</v>
      </c>
      <c r="EU211" s="231">
        <v>255091106</v>
      </c>
      <c r="EV211" s="231">
        <v>1200932</v>
      </c>
      <c r="EW211" s="231">
        <v>1190443</v>
      </c>
      <c r="EX211" s="231">
        <v>10489</v>
      </c>
      <c r="EY211" s="229">
        <v>8.8000000000000005E-3</v>
      </c>
      <c r="EZ211" s="229">
        <v>0.84109999999999996</v>
      </c>
      <c r="FA211" s="227" t="s">
        <v>568</v>
      </c>
      <c r="FB211" s="161">
        <f t="shared" si="5"/>
        <v>0</v>
      </c>
    </row>
    <row r="212" spans="1:158" ht="17.25" thickBot="1" x14ac:dyDescent="0.3">
      <c r="A212" s="226">
        <v>46008</v>
      </c>
      <c r="B212" s="227" t="s">
        <v>184</v>
      </c>
      <c r="C212" s="227" t="s">
        <v>305</v>
      </c>
      <c r="D212" s="228">
        <v>375</v>
      </c>
      <c r="E212" s="231">
        <v>1383.1</v>
      </c>
      <c r="F212" s="231">
        <v>1391.6</v>
      </c>
      <c r="G212" s="228">
        <v>-8.5</v>
      </c>
      <c r="H212" s="229">
        <v>-6.1000000000000004E-3</v>
      </c>
      <c r="I212" s="231">
        <v>1380.5</v>
      </c>
      <c r="J212" s="231">
        <v>1394.3</v>
      </c>
      <c r="K212" s="228">
        <v>-13.8</v>
      </c>
      <c r="L212" s="229">
        <v>-9.9000000000000008E-3</v>
      </c>
      <c r="M212" s="231">
        <v>1383.1</v>
      </c>
      <c r="N212" s="231">
        <v>1391.6</v>
      </c>
      <c r="O212" s="228">
        <v>-8.5</v>
      </c>
      <c r="P212" s="229">
        <v>-6.1000000000000004E-3</v>
      </c>
      <c r="Q212" s="231">
        <v>1370.4</v>
      </c>
      <c r="R212" s="231">
        <v>1377.7</v>
      </c>
      <c r="S212" s="228">
        <v>-7.3</v>
      </c>
      <c r="T212" s="229">
        <v>-5.3E-3</v>
      </c>
      <c r="U212" s="231">
        <v>1365.4</v>
      </c>
      <c r="V212" s="231">
        <v>1368.3</v>
      </c>
      <c r="W212" s="228">
        <v>-2.9</v>
      </c>
      <c r="X212" s="229">
        <v>-2.0999999999999999E-3</v>
      </c>
      <c r="Y212" s="228">
        <v>2.6</v>
      </c>
      <c r="Z212" s="228">
        <v>-2.7</v>
      </c>
      <c r="AA212" s="228">
        <v>5.3</v>
      </c>
      <c r="AB212" s="229">
        <v>1.9E-3</v>
      </c>
      <c r="AC212" s="228">
        <v>2.6</v>
      </c>
      <c r="AD212" s="228">
        <v>-2.7</v>
      </c>
      <c r="AE212" s="228">
        <v>5.3</v>
      </c>
      <c r="AF212" s="229">
        <v>1.9E-3</v>
      </c>
      <c r="AG212" s="228">
        <v>-10.1</v>
      </c>
      <c r="AH212" s="228">
        <v>-16.600000000000001</v>
      </c>
      <c r="AI212" s="228">
        <v>6.5</v>
      </c>
      <c r="AJ212" s="229">
        <v>-7.3000000000000001E-3</v>
      </c>
      <c r="AK212" s="228">
        <v>-15.1</v>
      </c>
      <c r="AL212" s="228">
        <v>-26</v>
      </c>
      <c r="AM212" s="228">
        <v>10.9</v>
      </c>
      <c r="AN212" s="229">
        <v>-1.09E-2</v>
      </c>
      <c r="AO212" s="231">
        <v>1386.23</v>
      </c>
      <c r="AP212" s="231">
        <v>1372.26</v>
      </c>
      <c r="AQ212" s="228">
        <v>0</v>
      </c>
      <c r="AR212" s="230">
        <v>1444875</v>
      </c>
      <c r="AS212" s="230">
        <v>1934625</v>
      </c>
      <c r="AT212" s="230">
        <v>-489750</v>
      </c>
      <c r="AU212" s="229">
        <v>-0.25309999999999999</v>
      </c>
      <c r="AV212" s="230">
        <v>1150125</v>
      </c>
      <c r="AW212" s="230">
        <v>1399125</v>
      </c>
      <c r="AX212" s="230">
        <v>-249000</v>
      </c>
      <c r="AY212" s="229">
        <v>-0.17799999999999999</v>
      </c>
      <c r="AZ212" s="230">
        <v>281625</v>
      </c>
      <c r="BA212" s="230">
        <v>513000</v>
      </c>
      <c r="BB212" s="230">
        <v>-231375</v>
      </c>
      <c r="BC212" s="229">
        <v>-0.45100000000000001</v>
      </c>
      <c r="BD212" s="230">
        <v>13125</v>
      </c>
      <c r="BE212" s="230">
        <v>22500</v>
      </c>
      <c r="BF212" s="230">
        <v>-9375</v>
      </c>
      <c r="BG212" s="229">
        <v>-0.41670000000000001</v>
      </c>
      <c r="BH212" s="230">
        <v>2976375</v>
      </c>
      <c r="BI212" s="230">
        <v>4518750</v>
      </c>
      <c r="BJ212" s="230">
        <v>-1542375</v>
      </c>
      <c r="BK212" s="229">
        <v>-0.34129999999999999</v>
      </c>
      <c r="BL212" s="230">
        <v>1721625</v>
      </c>
      <c r="BM212" s="230">
        <v>1897500</v>
      </c>
      <c r="BN212" s="230">
        <v>-175875</v>
      </c>
      <c r="BO212" s="229">
        <v>-9.2700000000000005E-2</v>
      </c>
      <c r="BP212" s="230">
        <v>6142875</v>
      </c>
      <c r="BQ212" s="230">
        <v>8350875</v>
      </c>
      <c r="BR212" s="230">
        <v>-2208000</v>
      </c>
      <c r="BS212" s="229">
        <v>-0.26440000000000002</v>
      </c>
      <c r="BT212" s="230">
        <v>666857</v>
      </c>
      <c r="BU212" s="230">
        <v>624975</v>
      </c>
      <c r="BV212" s="230">
        <v>41882</v>
      </c>
      <c r="BW212" s="229">
        <v>6.7000000000000004E-2</v>
      </c>
      <c r="BX212" s="230">
        <v>11552250</v>
      </c>
      <c r="BY212" s="230">
        <v>11458500</v>
      </c>
      <c r="BZ212" s="230">
        <v>93750</v>
      </c>
      <c r="CA212" s="229">
        <v>8.2000000000000007E-3</v>
      </c>
      <c r="CB212" s="230">
        <v>9910500</v>
      </c>
      <c r="CC212" s="230">
        <v>9948000</v>
      </c>
      <c r="CD212" s="230">
        <v>-37500</v>
      </c>
      <c r="CE212" s="229">
        <v>-3.8E-3</v>
      </c>
      <c r="CF212" s="230">
        <v>1582875</v>
      </c>
      <c r="CG212" s="230">
        <v>1450500</v>
      </c>
      <c r="CH212" s="230">
        <v>132375</v>
      </c>
      <c r="CI212" s="229">
        <v>9.1300000000000006E-2</v>
      </c>
      <c r="CJ212" s="230">
        <v>58875</v>
      </c>
      <c r="CK212" s="230">
        <v>60000</v>
      </c>
      <c r="CL212" s="230">
        <v>-1125</v>
      </c>
      <c r="CM212" s="229">
        <v>-1.8800000000000001E-2</v>
      </c>
      <c r="CN212" s="230">
        <v>3265875</v>
      </c>
      <c r="CO212" s="230">
        <v>2862750</v>
      </c>
      <c r="CP212" s="230">
        <v>403125</v>
      </c>
      <c r="CQ212" s="229">
        <v>0.14080000000000001</v>
      </c>
      <c r="CR212" s="230">
        <v>2514750</v>
      </c>
      <c r="CS212" s="230">
        <v>2609250</v>
      </c>
      <c r="CT212" s="230">
        <v>-94500</v>
      </c>
      <c r="CU212" s="229">
        <v>-3.6200000000000003E-2</v>
      </c>
      <c r="CV212" s="230">
        <v>17332875</v>
      </c>
      <c r="CW212" s="230">
        <v>16930500</v>
      </c>
      <c r="CX212" s="230">
        <v>402375</v>
      </c>
      <c r="CY212" s="229">
        <v>2.3800000000000002E-2</v>
      </c>
      <c r="CZ212" s="228">
        <v>23.82</v>
      </c>
      <c r="DA212" s="228">
        <v>21.56</v>
      </c>
      <c r="DB212" s="228">
        <v>2.2599999999999998</v>
      </c>
      <c r="DC212" s="228">
        <v>2.2599999999999998</v>
      </c>
      <c r="DD212" s="228">
        <v>36.33</v>
      </c>
      <c r="DE212" s="228">
        <v>36.4</v>
      </c>
      <c r="DF212" s="228">
        <v>-12.51</v>
      </c>
      <c r="DG212" s="228">
        <v>-7.0000000000000007E-2</v>
      </c>
      <c r="DH212" s="228">
        <v>23.69</v>
      </c>
      <c r="DI212" s="228">
        <v>21.17</v>
      </c>
      <c r="DJ212" s="228">
        <v>2.52</v>
      </c>
      <c r="DK212" s="228">
        <v>2.52</v>
      </c>
      <c r="DL212" s="228">
        <v>24.04</v>
      </c>
      <c r="DM212" s="228">
        <v>22.49</v>
      </c>
      <c r="DN212" s="228">
        <v>1.55</v>
      </c>
      <c r="DO212" s="228">
        <v>1.55</v>
      </c>
      <c r="DP212" s="228">
        <v>0.77</v>
      </c>
      <c r="DQ212" s="228">
        <v>0.91</v>
      </c>
      <c r="DR212" s="228">
        <v>-0.14000000000000001</v>
      </c>
      <c r="DS212" s="229">
        <v>-0.15379999999999999</v>
      </c>
      <c r="DT212" s="231">
        <v>1400</v>
      </c>
      <c r="DU212" s="231">
        <v>1360</v>
      </c>
      <c r="DV212" s="228">
        <v>0.57999999999999996</v>
      </c>
      <c r="DW212" s="228">
        <v>0.42</v>
      </c>
      <c r="DX212" s="228">
        <v>0.16</v>
      </c>
      <c r="DY212" s="229">
        <v>0.38100000000000001</v>
      </c>
      <c r="DZ212" s="229">
        <v>0.1421</v>
      </c>
      <c r="EA212" s="230">
        <v>1510500</v>
      </c>
      <c r="EB212" s="229">
        <v>-9.1999999999999998E-3</v>
      </c>
      <c r="EC212" s="229">
        <v>0.1421</v>
      </c>
      <c r="ED212" s="228">
        <v>-13.97</v>
      </c>
      <c r="EE212" s="229">
        <v>-1.01E-2</v>
      </c>
      <c r="EF212" s="230">
        <v>438834</v>
      </c>
      <c r="EG212" s="230">
        <v>283138</v>
      </c>
      <c r="EH212" s="229">
        <v>0.54990000000000006</v>
      </c>
      <c r="EI212" s="229">
        <v>0.65810000000000002</v>
      </c>
      <c r="EJ212" s="231">
        <v>42689.34</v>
      </c>
      <c r="EK212" s="231">
        <v>23344.37</v>
      </c>
      <c r="EL212" s="231">
        <v>19987.439999999999</v>
      </c>
      <c r="EM212" s="231">
        <v>3861</v>
      </c>
      <c r="EN212" s="231">
        <v>86021.15</v>
      </c>
      <c r="EO212" s="231">
        <v>116979.9</v>
      </c>
      <c r="EP212" s="231">
        <v>-30958.75</v>
      </c>
      <c r="EQ212" s="229">
        <v>-0.26469999999999999</v>
      </c>
      <c r="ER212" s="231">
        <v>46274</v>
      </c>
      <c r="ES212" s="231">
        <v>33481</v>
      </c>
      <c r="ET212" s="231">
        <v>159568</v>
      </c>
      <c r="EU212" s="231">
        <v>34594689</v>
      </c>
      <c r="EV212" s="231">
        <v>239323</v>
      </c>
      <c r="EW212" s="231">
        <v>234414</v>
      </c>
      <c r="EX212" s="231">
        <v>4909</v>
      </c>
      <c r="EY212" s="229">
        <v>2.0899999999999998E-2</v>
      </c>
      <c r="EZ212" s="229">
        <v>0.501</v>
      </c>
      <c r="FA212" s="227" t="s">
        <v>567</v>
      </c>
      <c r="FB212" s="161">
        <f t="shared" si="5"/>
        <v>0</v>
      </c>
    </row>
    <row r="213" spans="1:158" ht="17.25" thickBot="1" x14ac:dyDescent="0.3">
      <c r="A213" s="226">
        <v>46008</v>
      </c>
      <c r="B213" s="227" t="s">
        <v>221</v>
      </c>
      <c r="C213" s="227" t="s">
        <v>306</v>
      </c>
      <c r="D213" s="228">
        <v>3000</v>
      </c>
      <c r="E213" s="228">
        <v>261.27999999999997</v>
      </c>
      <c r="F213" s="228">
        <v>259.8</v>
      </c>
      <c r="G213" s="228">
        <v>1.48</v>
      </c>
      <c r="H213" s="229">
        <v>5.7000000000000002E-3</v>
      </c>
      <c r="I213" s="228">
        <v>261.14</v>
      </c>
      <c r="J213" s="228">
        <v>259.22000000000003</v>
      </c>
      <c r="K213" s="228">
        <v>1.92</v>
      </c>
      <c r="L213" s="229">
        <v>7.4000000000000003E-3</v>
      </c>
      <c r="M213" s="228">
        <v>261.27999999999997</v>
      </c>
      <c r="N213" s="228">
        <v>259.8</v>
      </c>
      <c r="O213" s="228">
        <v>1.48</v>
      </c>
      <c r="P213" s="229">
        <v>5.7000000000000002E-3</v>
      </c>
      <c r="Q213" s="228">
        <v>260.16000000000003</v>
      </c>
      <c r="R213" s="228">
        <v>258.61</v>
      </c>
      <c r="S213" s="228">
        <v>1.55</v>
      </c>
      <c r="T213" s="229">
        <v>6.0000000000000001E-3</v>
      </c>
      <c r="U213" s="228">
        <v>259.56</v>
      </c>
      <c r="V213" s="228">
        <v>257.85000000000002</v>
      </c>
      <c r="W213" s="228">
        <v>1.71</v>
      </c>
      <c r="X213" s="229">
        <v>6.6E-3</v>
      </c>
      <c r="Y213" s="228">
        <v>0.14000000000000001</v>
      </c>
      <c r="Z213" s="228">
        <v>0.57999999999999996</v>
      </c>
      <c r="AA213" s="228">
        <v>-0.44</v>
      </c>
      <c r="AB213" s="229">
        <v>5.0000000000000001E-4</v>
      </c>
      <c r="AC213" s="228">
        <v>0.14000000000000001</v>
      </c>
      <c r="AD213" s="228">
        <v>0.57999999999999996</v>
      </c>
      <c r="AE213" s="228">
        <v>-0.44</v>
      </c>
      <c r="AF213" s="229">
        <v>5.0000000000000001E-4</v>
      </c>
      <c r="AG213" s="228">
        <v>-0.98</v>
      </c>
      <c r="AH213" s="228">
        <v>-0.61</v>
      </c>
      <c r="AI213" s="228">
        <v>-0.37</v>
      </c>
      <c r="AJ213" s="229">
        <v>-3.8E-3</v>
      </c>
      <c r="AK213" s="228">
        <v>-1.58</v>
      </c>
      <c r="AL213" s="228">
        <v>-1.37</v>
      </c>
      <c r="AM213" s="228">
        <v>-0.21</v>
      </c>
      <c r="AN213" s="229">
        <v>-6.1000000000000004E-3</v>
      </c>
      <c r="AO213" s="228">
        <v>261.27</v>
      </c>
      <c r="AP213" s="228">
        <v>260.29000000000002</v>
      </c>
      <c r="AQ213" s="228">
        <v>0</v>
      </c>
      <c r="AR213" s="230">
        <v>9702000</v>
      </c>
      <c r="AS213" s="230">
        <v>11817000</v>
      </c>
      <c r="AT213" s="230">
        <v>-2115000</v>
      </c>
      <c r="AU213" s="229">
        <v>-0.17899999999999999</v>
      </c>
      <c r="AV213" s="230">
        <v>7356000</v>
      </c>
      <c r="AW213" s="230">
        <v>9150000</v>
      </c>
      <c r="AX213" s="230">
        <v>-1794000</v>
      </c>
      <c r="AY213" s="229">
        <v>-0.1961</v>
      </c>
      <c r="AZ213" s="230">
        <v>2181000</v>
      </c>
      <c r="BA213" s="230">
        <v>2535000</v>
      </c>
      <c r="BB213" s="230">
        <v>-354000</v>
      </c>
      <c r="BC213" s="229">
        <v>-0.1396</v>
      </c>
      <c r="BD213" s="230">
        <v>165000</v>
      </c>
      <c r="BE213" s="230">
        <v>132000</v>
      </c>
      <c r="BF213" s="230">
        <v>33000</v>
      </c>
      <c r="BG213" s="229">
        <v>0.25</v>
      </c>
      <c r="BH213" s="230">
        <v>38085000</v>
      </c>
      <c r="BI213" s="230">
        <v>34959000</v>
      </c>
      <c r="BJ213" s="230">
        <v>3126000</v>
      </c>
      <c r="BK213" s="229">
        <v>8.9399999999999993E-2</v>
      </c>
      <c r="BL213" s="230">
        <v>20313000</v>
      </c>
      <c r="BM213" s="230">
        <v>17667000</v>
      </c>
      <c r="BN213" s="230">
        <v>2646000</v>
      </c>
      <c r="BO213" s="229">
        <v>0.14979999999999999</v>
      </c>
      <c r="BP213" s="230">
        <v>68100000</v>
      </c>
      <c r="BQ213" s="230">
        <v>64443000</v>
      </c>
      <c r="BR213" s="230">
        <v>3657000</v>
      </c>
      <c r="BS213" s="229">
        <v>5.67E-2</v>
      </c>
      <c r="BT213" s="230">
        <v>5106624</v>
      </c>
      <c r="BU213" s="230">
        <v>3116894</v>
      </c>
      <c r="BV213" s="230">
        <v>1989730</v>
      </c>
      <c r="BW213" s="229">
        <v>0.63839999999999997</v>
      </c>
      <c r="BX213" s="230">
        <v>120459000</v>
      </c>
      <c r="BY213" s="230">
        <v>119346000</v>
      </c>
      <c r="BZ213" s="230">
        <v>1113000</v>
      </c>
      <c r="CA213" s="229">
        <v>9.2999999999999992E-3</v>
      </c>
      <c r="CB213" s="230">
        <v>112917000</v>
      </c>
      <c r="CC213" s="230">
        <v>112350000</v>
      </c>
      <c r="CD213" s="230">
        <v>567000</v>
      </c>
      <c r="CE213" s="229">
        <v>5.0000000000000001E-3</v>
      </c>
      <c r="CF213" s="230">
        <v>6510000</v>
      </c>
      <c r="CG213" s="230">
        <v>6003000</v>
      </c>
      <c r="CH213" s="230">
        <v>507000</v>
      </c>
      <c r="CI213" s="229">
        <v>8.4500000000000006E-2</v>
      </c>
      <c r="CJ213" s="230">
        <v>1032000</v>
      </c>
      <c r="CK213" s="230">
        <v>993000</v>
      </c>
      <c r="CL213" s="230">
        <v>39000</v>
      </c>
      <c r="CM213" s="229">
        <v>3.9300000000000002E-2</v>
      </c>
      <c r="CN213" s="230">
        <v>46080000</v>
      </c>
      <c r="CO213" s="230">
        <v>45462000</v>
      </c>
      <c r="CP213" s="230">
        <v>618000</v>
      </c>
      <c r="CQ213" s="229">
        <v>1.3599999999999999E-2</v>
      </c>
      <c r="CR213" s="230">
        <v>37353000</v>
      </c>
      <c r="CS213" s="230">
        <v>36636000</v>
      </c>
      <c r="CT213" s="230">
        <v>717000</v>
      </c>
      <c r="CU213" s="229">
        <v>1.9599999999999999E-2</v>
      </c>
      <c r="CV213" s="230">
        <v>203892000</v>
      </c>
      <c r="CW213" s="230">
        <v>201444000</v>
      </c>
      <c r="CX213" s="230">
        <v>2448000</v>
      </c>
      <c r="CY213" s="229">
        <v>1.2200000000000001E-2</v>
      </c>
      <c r="CZ213" s="228">
        <v>19.43</v>
      </c>
      <c r="DA213" s="228">
        <v>19.940000000000001</v>
      </c>
      <c r="DB213" s="228">
        <v>-0.51</v>
      </c>
      <c r="DC213" s="228">
        <v>-0.51</v>
      </c>
      <c r="DD213" s="228">
        <v>29.56</v>
      </c>
      <c r="DE213" s="228">
        <v>29.63</v>
      </c>
      <c r="DF213" s="228">
        <v>-10.130000000000001</v>
      </c>
      <c r="DG213" s="228">
        <v>-7.0000000000000007E-2</v>
      </c>
      <c r="DH213" s="228">
        <v>19.13</v>
      </c>
      <c r="DI213" s="228">
        <v>19.809999999999999</v>
      </c>
      <c r="DJ213" s="228">
        <v>-0.68</v>
      </c>
      <c r="DK213" s="228">
        <v>-0.68</v>
      </c>
      <c r="DL213" s="228">
        <v>20.010000000000002</v>
      </c>
      <c r="DM213" s="228">
        <v>20.21</v>
      </c>
      <c r="DN213" s="228">
        <v>-0.2</v>
      </c>
      <c r="DO213" s="228">
        <v>-0.2</v>
      </c>
      <c r="DP213" s="228">
        <v>0.81</v>
      </c>
      <c r="DQ213" s="228">
        <v>0.81</v>
      </c>
      <c r="DR213" s="228">
        <v>0</v>
      </c>
      <c r="DS213" s="229">
        <v>0</v>
      </c>
      <c r="DT213" s="228">
        <v>260</v>
      </c>
      <c r="DU213" s="228">
        <v>250</v>
      </c>
      <c r="DV213" s="228">
        <v>0.53</v>
      </c>
      <c r="DW213" s="228">
        <v>0.51</v>
      </c>
      <c r="DX213" s="228">
        <v>0.02</v>
      </c>
      <c r="DY213" s="229">
        <v>3.9199999999999999E-2</v>
      </c>
      <c r="DZ213" s="229">
        <v>6.2600000000000003E-2</v>
      </c>
      <c r="EA213" s="230">
        <v>6996000</v>
      </c>
      <c r="EB213" s="229">
        <v>-4.3E-3</v>
      </c>
      <c r="EC213" s="229">
        <v>6.2600000000000003E-2</v>
      </c>
      <c r="ED213" s="228">
        <v>-0.98</v>
      </c>
      <c r="EE213" s="229">
        <v>-3.8E-3</v>
      </c>
      <c r="EF213" s="230">
        <v>2934437</v>
      </c>
      <c r="EG213" s="230">
        <v>1629427</v>
      </c>
      <c r="EH213" s="229">
        <v>0.80089999999999995</v>
      </c>
      <c r="EI213" s="229">
        <v>0.5746</v>
      </c>
      <c r="EJ213" s="231">
        <v>102124.2</v>
      </c>
      <c r="EK213" s="231">
        <v>52517.71</v>
      </c>
      <c r="EL213" s="231">
        <v>25323.84</v>
      </c>
      <c r="EM213" s="231">
        <v>3906</v>
      </c>
      <c r="EN213" s="231">
        <v>179965.75</v>
      </c>
      <c r="EO213" s="231">
        <v>170398.58</v>
      </c>
      <c r="EP213" s="231">
        <v>9567.17</v>
      </c>
      <c r="EQ213" s="229">
        <v>5.6099999999999997E-2</v>
      </c>
      <c r="ER213" s="231">
        <v>122623</v>
      </c>
      <c r="ES213" s="231">
        <v>92065</v>
      </c>
      <c r="ET213" s="231">
        <v>314645</v>
      </c>
      <c r="EU213" s="231">
        <v>292948819</v>
      </c>
      <c r="EV213" s="231">
        <v>529332</v>
      </c>
      <c r="EW213" s="231">
        <v>521001</v>
      </c>
      <c r="EX213" s="231">
        <v>8331</v>
      </c>
      <c r="EY213" s="229">
        <v>1.6E-2</v>
      </c>
      <c r="EZ213" s="229">
        <v>0.69599999999999995</v>
      </c>
      <c r="FA213" s="227" t="s">
        <v>555</v>
      </c>
      <c r="FB213" s="161">
        <f t="shared" si="5"/>
        <v>0</v>
      </c>
    </row>
    <row r="214" spans="1:158" ht="17.25" thickBot="1" x14ac:dyDescent="0.3">
      <c r="A214" s="226">
        <v>46008</v>
      </c>
      <c r="B214" s="227" t="s">
        <v>172</v>
      </c>
      <c r="C214" s="227" t="s">
        <v>590</v>
      </c>
      <c r="D214" s="228">
        <v>31100</v>
      </c>
      <c r="E214" s="228">
        <v>21.57</v>
      </c>
      <c r="F214" s="228">
        <v>21.54</v>
      </c>
      <c r="G214" s="228">
        <v>0.03</v>
      </c>
      <c r="H214" s="229">
        <v>1.4E-3</v>
      </c>
      <c r="I214" s="228">
        <v>21.56</v>
      </c>
      <c r="J214" s="228">
        <v>21.5</v>
      </c>
      <c r="K214" s="228">
        <v>0.06</v>
      </c>
      <c r="L214" s="229">
        <v>2.8E-3</v>
      </c>
      <c r="M214" s="228">
        <v>21.57</v>
      </c>
      <c r="N214" s="228">
        <v>21.54</v>
      </c>
      <c r="O214" s="228">
        <v>0.03</v>
      </c>
      <c r="P214" s="229">
        <v>1.4E-3</v>
      </c>
      <c r="Q214" s="228">
        <v>21.7</v>
      </c>
      <c r="R214" s="228">
        <v>21.68</v>
      </c>
      <c r="S214" s="228">
        <v>0.02</v>
      </c>
      <c r="T214" s="229">
        <v>8.9999999999999998E-4</v>
      </c>
      <c r="U214" s="228">
        <v>21.83</v>
      </c>
      <c r="V214" s="228">
        <v>21.8</v>
      </c>
      <c r="W214" s="228">
        <v>0.03</v>
      </c>
      <c r="X214" s="229">
        <v>1.4E-3</v>
      </c>
      <c r="Y214" s="228">
        <v>0.01</v>
      </c>
      <c r="Z214" s="228">
        <v>0.04</v>
      </c>
      <c r="AA214" s="228">
        <v>-0.03</v>
      </c>
      <c r="AB214" s="229">
        <v>5.0000000000000001E-4</v>
      </c>
      <c r="AC214" s="228">
        <v>0.01</v>
      </c>
      <c r="AD214" s="228">
        <v>0.04</v>
      </c>
      <c r="AE214" s="228">
        <v>-0.03</v>
      </c>
      <c r="AF214" s="229">
        <v>5.0000000000000001E-4</v>
      </c>
      <c r="AG214" s="228">
        <v>0.14000000000000001</v>
      </c>
      <c r="AH214" s="228">
        <v>0.18</v>
      </c>
      <c r="AI214" s="228">
        <v>-0.04</v>
      </c>
      <c r="AJ214" s="229">
        <v>6.4999999999999997E-3</v>
      </c>
      <c r="AK214" s="228">
        <v>0.27</v>
      </c>
      <c r="AL214" s="228">
        <v>0.3</v>
      </c>
      <c r="AM214" s="228">
        <v>-0.03</v>
      </c>
      <c r="AN214" s="229">
        <v>1.2500000000000001E-2</v>
      </c>
      <c r="AO214" s="228">
        <v>21.59</v>
      </c>
      <c r="AP214" s="228">
        <v>21.73</v>
      </c>
      <c r="AQ214" s="228">
        <v>0</v>
      </c>
      <c r="AR214" s="230">
        <v>61173700</v>
      </c>
      <c r="AS214" s="230">
        <v>102225700</v>
      </c>
      <c r="AT214" s="230">
        <v>-41052000</v>
      </c>
      <c r="AU214" s="229">
        <v>-0.40160000000000001</v>
      </c>
      <c r="AV214" s="230">
        <v>46805500</v>
      </c>
      <c r="AW214" s="230">
        <v>69290800</v>
      </c>
      <c r="AX214" s="230">
        <v>-22485300</v>
      </c>
      <c r="AY214" s="229">
        <v>-0.32450000000000001</v>
      </c>
      <c r="AZ214" s="230">
        <v>13030900</v>
      </c>
      <c r="BA214" s="230">
        <v>29047400</v>
      </c>
      <c r="BB214" s="230">
        <v>-16016500</v>
      </c>
      <c r="BC214" s="229">
        <v>-0.5514</v>
      </c>
      <c r="BD214" s="230">
        <v>1337300</v>
      </c>
      <c r="BE214" s="230">
        <v>3887500</v>
      </c>
      <c r="BF214" s="230">
        <v>-2550200</v>
      </c>
      <c r="BG214" s="229">
        <v>-0.65600000000000003</v>
      </c>
      <c r="BH214" s="230">
        <v>227372100</v>
      </c>
      <c r="BI214" s="230">
        <v>255548700</v>
      </c>
      <c r="BJ214" s="230">
        <v>-28176600</v>
      </c>
      <c r="BK214" s="229">
        <v>-0.1103</v>
      </c>
      <c r="BL214" s="230">
        <v>62822000</v>
      </c>
      <c r="BM214" s="230">
        <v>86395800</v>
      </c>
      <c r="BN214" s="230">
        <v>-23573800</v>
      </c>
      <c r="BO214" s="229">
        <v>-0.27289999999999998</v>
      </c>
      <c r="BP214" s="230">
        <v>351367800</v>
      </c>
      <c r="BQ214" s="230">
        <v>444170200</v>
      </c>
      <c r="BR214" s="230">
        <v>-92802400</v>
      </c>
      <c r="BS214" s="229">
        <v>-0.2089</v>
      </c>
      <c r="BT214" s="230">
        <v>58249840</v>
      </c>
      <c r="BU214" s="230">
        <v>64621567</v>
      </c>
      <c r="BV214" s="230">
        <v>-6371727</v>
      </c>
      <c r="BW214" s="229">
        <v>-9.8599999999999993E-2</v>
      </c>
      <c r="BX214" s="230">
        <v>1128339100</v>
      </c>
      <c r="BY214" s="230">
        <v>1134714600</v>
      </c>
      <c r="BZ214" s="230">
        <v>-6375500</v>
      </c>
      <c r="CA214" s="229">
        <v>-5.5999999999999999E-3</v>
      </c>
      <c r="CB214" s="230">
        <v>978872500</v>
      </c>
      <c r="CC214" s="230">
        <v>989788600</v>
      </c>
      <c r="CD214" s="230">
        <v>-10916100</v>
      </c>
      <c r="CE214" s="229">
        <v>-1.0999999999999999E-2</v>
      </c>
      <c r="CF214" s="230">
        <v>133232400</v>
      </c>
      <c r="CG214" s="230">
        <v>128909500</v>
      </c>
      <c r="CH214" s="230">
        <v>4322900</v>
      </c>
      <c r="CI214" s="229">
        <v>3.3500000000000002E-2</v>
      </c>
      <c r="CJ214" s="230">
        <v>16234200</v>
      </c>
      <c r="CK214" s="230">
        <v>16016500</v>
      </c>
      <c r="CL214" s="230">
        <v>217700</v>
      </c>
      <c r="CM214" s="229">
        <v>1.3599999999999999E-2</v>
      </c>
      <c r="CN214" s="230">
        <v>475176900</v>
      </c>
      <c r="CO214" s="230">
        <v>482392100</v>
      </c>
      <c r="CP214" s="230">
        <v>-7215200</v>
      </c>
      <c r="CQ214" s="229">
        <v>-1.4999999999999999E-2</v>
      </c>
      <c r="CR214" s="230">
        <v>238474800</v>
      </c>
      <c r="CS214" s="230">
        <v>236982000</v>
      </c>
      <c r="CT214" s="230">
        <v>1492800</v>
      </c>
      <c r="CU214" s="229">
        <v>6.3E-3</v>
      </c>
      <c r="CV214" s="230">
        <v>1841990800</v>
      </c>
      <c r="CW214" s="230">
        <v>1854088700</v>
      </c>
      <c r="CX214" s="230">
        <v>-12097900</v>
      </c>
      <c r="CY214" s="229">
        <v>-6.4999999999999997E-3</v>
      </c>
      <c r="CZ214" s="228">
        <v>26.27</v>
      </c>
      <c r="DA214" s="228">
        <v>29.08</v>
      </c>
      <c r="DB214" s="228">
        <v>-2.81</v>
      </c>
      <c r="DC214" s="228">
        <v>-2.81</v>
      </c>
      <c r="DD214" s="228">
        <v>39.57</v>
      </c>
      <c r="DE214" s="228">
        <v>39.67</v>
      </c>
      <c r="DF214" s="228">
        <v>-13.3</v>
      </c>
      <c r="DG214" s="228">
        <v>-0.1</v>
      </c>
      <c r="DH214" s="228">
        <v>27.08</v>
      </c>
      <c r="DI214" s="228">
        <v>30.56</v>
      </c>
      <c r="DJ214" s="228">
        <v>-3.48</v>
      </c>
      <c r="DK214" s="228">
        <v>-3.48</v>
      </c>
      <c r="DL214" s="228">
        <v>23.33</v>
      </c>
      <c r="DM214" s="228">
        <v>24.7</v>
      </c>
      <c r="DN214" s="228">
        <v>-1.37</v>
      </c>
      <c r="DO214" s="228">
        <v>-1.37</v>
      </c>
      <c r="DP214" s="228">
        <v>0.5</v>
      </c>
      <c r="DQ214" s="228">
        <v>0.49</v>
      </c>
      <c r="DR214" s="228">
        <v>0.01</v>
      </c>
      <c r="DS214" s="229">
        <v>2.0400000000000001E-2</v>
      </c>
      <c r="DT214" s="228">
        <v>23</v>
      </c>
      <c r="DU214" s="228">
        <v>22</v>
      </c>
      <c r="DV214" s="228">
        <v>0.28000000000000003</v>
      </c>
      <c r="DW214" s="228">
        <v>0.34</v>
      </c>
      <c r="DX214" s="228">
        <v>-0.06</v>
      </c>
      <c r="DY214" s="229">
        <v>-0.17649999999999999</v>
      </c>
      <c r="DZ214" s="229">
        <v>0.13250000000000001</v>
      </c>
      <c r="EA214" s="230">
        <v>144926000</v>
      </c>
      <c r="EB214" s="229">
        <v>6.0000000000000001E-3</v>
      </c>
      <c r="EC214" s="229">
        <v>0.13250000000000001</v>
      </c>
      <c r="ED214" s="228">
        <v>0.14000000000000001</v>
      </c>
      <c r="EE214" s="229">
        <v>6.4999999999999997E-3</v>
      </c>
      <c r="EF214" s="230">
        <v>29879998</v>
      </c>
      <c r="EG214" s="230">
        <v>32863086</v>
      </c>
      <c r="EH214" s="229">
        <v>-9.0800000000000006E-2</v>
      </c>
      <c r="EI214" s="229">
        <v>0.51300000000000001</v>
      </c>
      <c r="EJ214" s="231">
        <v>52021.23</v>
      </c>
      <c r="EK214" s="231">
        <v>13506.79</v>
      </c>
      <c r="EL214" s="231">
        <v>13228.43</v>
      </c>
      <c r="EM214" s="231">
        <v>3067</v>
      </c>
      <c r="EN214" s="231">
        <v>78756.45</v>
      </c>
      <c r="EO214" s="231">
        <v>100448.53</v>
      </c>
      <c r="EP214" s="231">
        <v>-21692.080000000002</v>
      </c>
      <c r="EQ214" s="229">
        <v>-0.216</v>
      </c>
      <c r="ER214" s="231">
        <v>113365</v>
      </c>
      <c r="ES214" s="231">
        <v>52283</v>
      </c>
      <c r="ET214" s="231">
        <v>243598</v>
      </c>
      <c r="EU214" s="231">
        <v>3136562346</v>
      </c>
      <c r="EV214" s="231">
        <v>409245</v>
      </c>
      <c r="EW214" s="231">
        <v>411820</v>
      </c>
      <c r="EX214" s="231">
        <v>-2575</v>
      </c>
      <c r="EY214" s="229">
        <v>-6.3E-3</v>
      </c>
      <c r="EZ214" s="229">
        <v>0.58730000000000004</v>
      </c>
      <c r="FA214" s="227" t="s">
        <v>556</v>
      </c>
      <c r="FB214" s="161">
        <f t="shared" si="5"/>
        <v>0</v>
      </c>
    </row>
    <row r="215" spans="1:158" ht="17.25" thickBot="1" x14ac:dyDescent="0.3">
      <c r="A215" s="226">
        <v>46008</v>
      </c>
      <c r="B215" s="227" t="s">
        <v>170</v>
      </c>
      <c r="C215" s="227" t="s">
        <v>557</v>
      </c>
      <c r="D215" s="228">
        <v>900</v>
      </c>
      <c r="E215" s="228">
        <v>919.1</v>
      </c>
      <c r="F215" s="228">
        <v>917.7</v>
      </c>
      <c r="G215" s="228">
        <v>1.4</v>
      </c>
      <c r="H215" s="229">
        <v>1.5E-3</v>
      </c>
      <c r="I215" s="228">
        <v>918.1</v>
      </c>
      <c r="J215" s="228">
        <v>914.35</v>
      </c>
      <c r="K215" s="228">
        <v>3.75</v>
      </c>
      <c r="L215" s="229">
        <v>4.1000000000000003E-3</v>
      </c>
      <c r="M215" s="228">
        <v>919.1</v>
      </c>
      <c r="N215" s="228">
        <v>917.7</v>
      </c>
      <c r="O215" s="228">
        <v>1.4</v>
      </c>
      <c r="P215" s="229">
        <v>1.5E-3</v>
      </c>
      <c r="Q215" s="228">
        <v>924.55</v>
      </c>
      <c r="R215" s="228">
        <v>922.85</v>
      </c>
      <c r="S215" s="228">
        <v>1.7</v>
      </c>
      <c r="T215" s="229">
        <v>1.8E-3</v>
      </c>
      <c r="U215" s="228">
        <v>929.45</v>
      </c>
      <c r="V215" s="228">
        <v>927.2</v>
      </c>
      <c r="W215" s="228">
        <v>2.25</v>
      </c>
      <c r="X215" s="229">
        <v>2.3999999999999998E-3</v>
      </c>
      <c r="Y215" s="228">
        <v>1</v>
      </c>
      <c r="Z215" s="228">
        <v>3.35</v>
      </c>
      <c r="AA215" s="228">
        <v>-2.35</v>
      </c>
      <c r="AB215" s="229">
        <v>1.1000000000000001E-3</v>
      </c>
      <c r="AC215" s="228">
        <v>1</v>
      </c>
      <c r="AD215" s="228">
        <v>3.35</v>
      </c>
      <c r="AE215" s="228">
        <v>-2.35</v>
      </c>
      <c r="AF215" s="229">
        <v>1.1000000000000001E-3</v>
      </c>
      <c r="AG215" s="228">
        <v>6.45</v>
      </c>
      <c r="AH215" s="228">
        <v>8.5</v>
      </c>
      <c r="AI215" s="228">
        <v>-2.0499999999999998</v>
      </c>
      <c r="AJ215" s="229">
        <v>7.0000000000000001E-3</v>
      </c>
      <c r="AK215" s="228">
        <v>11.35</v>
      </c>
      <c r="AL215" s="228">
        <v>12.85</v>
      </c>
      <c r="AM215" s="228">
        <v>-1.5</v>
      </c>
      <c r="AN215" s="229">
        <v>1.24E-2</v>
      </c>
      <c r="AO215" s="228">
        <v>918.97</v>
      </c>
      <c r="AP215" s="228">
        <v>924.37</v>
      </c>
      <c r="AQ215" s="228">
        <v>0</v>
      </c>
      <c r="AR215" s="230">
        <v>846000</v>
      </c>
      <c r="AS215" s="230">
        <v>1282500</v>
      </c>
      <c r="AT215" s="230">
        <v>-436500</v>
      </c>
      <c r="AU215" s="229">
        <v>-0.34039999999999998</v>
      </c>
      <c r="AV215" s="230">
        <v>733500</v>
      </c>
      <c r="AW215" s="230">
        <v>1091700</v>
      </c>
      <c r="AX215" s="230">
        <v>-358200</v>
      </c>
      <c r="AY215" s="229">
        <v>-0.3281</v>
      </c>
      <c r="AZ215" s="230">
        <v>103500</v>
      </c>
      <c r="BA215" s="230">
        <v>182700</v>
      </c>
      <c r="BB215" s="230">
        <v>-79200</v>
      </c>
      <c r="BC215" s="229">
        <v>-0.4335</v>
      </c>
      <c r="BD215" s="230">
        <v>9000</v>
      </c>
      <c r="BE215" s="230">
        <v>8100</v>
      </c>
      <c r="BF215" s="228">
        <v>900</v>
      </c>
      <c r="BG215" s="229">
        <v>0.1111</v>
      </c>
      <c r="BH215" s="230">
        <v>1771200</v>
      </c>
      <c r="BI215" s="230">
        <v>3897900</v>
      </c>
      <c r="BJ215" s="230">
        <v>-2126700</v>
      </c>
      <c r="BK215" s="229">
        <v>-0.54559999999999997</v>
      </c>
      <c r="BL215" s="230">
        <v>538200</v>
      </c>
      <c r="BM215" s="230">
        <v>1030500</v>
      </c>
      <c r="BN215" s="230">
        <v>-492300</v>
      </c>
      <c r="BO215" s="229">
        <v>-0.47770000000000001</v>
      </c>
      <c r="BP215" s="230">
        <v>3155400</v>
      </c>
      <c r="BQ215" s="230">
        <v>6210900</v>
      </c>
      <c r="BR215" s="230">
        <v>-3055500</v>
      </c>
      <c r="BS215" s="229">
        <v>-0.49199999999999999</v>
      </c>
      <c r="BT215" s="230">
        <v>537747</v>
      </c>
      <c r="BU215" s="230">
        <v>768453</v>
      </c>
      <c r="BV215" s="230">
        <v>-230706</v>
      </c>
      <c r="BW215" s="229">
        <v>-0.30020000000000002</v>
      </c>
      <c r="BX215" s="230">
        <v>11299500</v>
      </c>
      <c r="BY215" s="230">
        <v>11203200</v>
      </c>
      <c r="BZ215" s="230">
        <v>96300</v>
      </c>
      <c r="CA215" s="229">
        <v>8.6E-3</v>
      </c>
      <c r="CB215" s="230">
        <v>10557900</v>
      </c>
      <c r="CC215" s="230">
        <v>10513800</v>
      </c>
      <c r="CD215" s="230">
        <v>44100</v>
      </c>
      <c r="CE215" s="229">
        <v>4.1999999999999997E-3</v>
      </c>
      <c r="CF215" s="230">
        <v>709200</v>
      </c>
      <c r="CG215" s="230">
        <v>661500</v>
      </c>
      <c r="CH215" s="230">
        <v>47700</v>
      </c>
      <c r="CI215" s="229">
        <v>7.2099999999999997E-2</v>
      </c>
      <c r="CJ215" s="230">
        <v>32400</v>
      </c>
      <c r="CK215" s="230">
        <v>27900</v>
      </c>
      <c r="CL215" s="230">
        <v>4500</v>
      </c>
      <c r="CM215" s="229">
        <v>0.1613</v>
      </c>
      <c r="CN215" s="230">
        <v>4382100</v>
      </c>
      <c r="CO215" s="230">
        <v>4578300</v>
      </c>
      <c r="CP215" s="230">
        <v>-196200</v>
      </c>
      <c r="CQ215" s="229">
        <v>-4.2900000000000001E-2</v>
      </c>
      <c r="CR215" s="230">
        <v>3228300</v>
      </c>
      <c r="CS215" s="230">
        <v>3227400</v>
      </c>
      <c r="CT215" s="228">
        <v>900</v>
      </c>
      <c r="CU215" s="229">
        <v>2.9999999999999997E-4</v>
      </c>
      <c r="CV215" s="230">
        <v>18909900</v>
      </c>
      <c r="CW215" s="230">
        <v>19008900</v>
      </c>
      <c r="CX215" s="230">
        <v>-99000</v>
      </c>
      <c r="CY215" s="229">
        <v>-5.1999999999999998E-3</v>
      </c>
      <c r="CZ215" s="228">
        <v>18.510000000000002</v>
      </c>
      <c r="DA215" s="228">
        <v>18.739999999999998</v>
      </c>
      <c r="DB215" s="228">
        <v>-0.23</v>
      </c>
      <c r="DC215" s="228">
        <v>-0.23</v>
      </c>
      <c r="DD215" s="228">
        <v>28.01</v>
      </c>
      <c r="DE215" s="228">
        <v>28.08</v>
      </c>
      <c r="DF215" s="228">
        <v>-9.5</v>
      </c>
      <c r="DG215" s="228">
        <v>-7.0000000000000007E-2</v>
      </c>
      <c r="DH215" s="228">
        <v>18.649999999999999</v>
      </c>
      <c r="DI215" s="228">
        <v>19.02</v>
      </c>
      <c r="DJ215" s="228">
        <v>-0.37</v>
      </c>
      <c r="DK215" s="228">
        <v>-0.37</v>
      </c>
      <c r="DL215" s="228">
        <v>18.07</v>
      </c>
      <c r="DM215" s="228">
        <v>17.66</v>
      </c>
      <c r="DN215" s="228">
        <v>0.41</v>
      </c>
      <c r="DO215" s="228">
        <v>0.41</v>
      </c>
      <c r="DP215" s="228">
        <v>0.74</v>
      </c>
      <c r="DQ215" s="228">
        <v>0.7</v>
      </c>
      <c r="DR215" s="228">
        <v>0.04</v>
      </c>
      <c r="DS215" s="229">
        <v>5.7099999999999998E-2</v>
      </c>
      <c r="DT215" s="228">
        <v>940</v>
      </c>
      <c r="DU215" s="228">
        <v>900</v>
      </c>
      <c r="DV215" s="228">
        <v>0.3</v>
      </c>
      <c r="DW215" s="228">
        <v>0.26</v>
      </c>
      <c r="DX215" s="228">
        <v>0.04</v>
      </c>
      <c r="DY215" s="229">
        <v>0.15379999999999999</v>
      </c>
      <c r="DZ215" s="229">
        <v>6.5600000000000006E-2</v>
      </c>
      <c r="EA215" s="230">
        <v>689400</v>
      </c>
      <c r="EB215" s="229">
        <v>5.8999999999999999E-3</v>
      </c>
      <c r="EC215" s="229">
        <v>6.5600000000000006E-2</v>
      </c>
      <c r="ED215" s="228">
        <v>5.4</v>
      </c>
      <c r="EE215" s="229">
        <v>5.8999999999999999E-3</v>
      </c>
      <c r="EF215" s="230">
        <v>367456</v>
      </c>
      <c r="EG215" s="230">
        <v>324407</v>
      </c>
      <c r="EH215" s="229">
        <v>0.13270000000000001</v>
      </c>
      <c r="EI215" s="229">
        <v>0.68330000000000002</v>
      </c>
      <c r="EJ215" s="231">
        <v>16903.13</v>
      </c>
      <c r="EK215" s="231">
        <v>4878.45</v>
      </c>
      <c r="EL215" s="231">
        <v>7781.01</v>
      </c>
      <c r="EM215" s="231">
        <v>1156</v>
      </c>
      <c r="EN215" s="231">
        <v>29562.59</v>
      </c>
      <c r="EO215" s="231">
        <v>58418.38</v>
      </c>
      <c r="EP215" s="231">
        <v>-28855.79</v>
      </c>
      <c r="EQ215" s="229">
        <v>-0.49399999999999999</v>
      </c>
      <c r="ER215" s="231">
        <v>42508</v>
      </c>
      <c r="ES215" s="231">
        <v>29788</v>
      </c>
      <c r="ET215" s="231">
        <v>103896</v>
      </c>
      <c r="EU215" s="231">
        <v>32617803</v>
      </c>
      <c r="EV215" s="231">
        <v>176192</v>
      </c>
      <c r="EW215" s="231">
        <v>177049</v>
      </c>
      <c r="EX215" s="228">
        <v>-857</v>
      </c>
      <c r="EY215" s="229">
        <v>-4.7999999999999996E-3</v>
      </c>
      <c r="EZ215" s="229">
        <v>0.57969999999999999</v>
      </c>
      <c r="FA215" s="227" t="s">
        <v>555</v>
      </c>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BX325-CB325</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
  <sheetViews>
    <sheetView topLeftCell="EJ1" zoomScale="87" zoomScaleNormal="87" workbookViewId="0">
      <selection activeCell="EP10" sqref="EP10"/>
    </sheetView>
  </sheetViews>
  <sheetFormatPr defaultRowHeight="15" x14ac:dyDescent="0.25"/>
  <cols>
    <col min="1" max="1" width="6.140625" customWidth="1"/>
    <col min="2" max="2" width="7.85546875" customWidth="1"/>
    <col min="3" max="3" width="9.28515625" customWidth="1"/>
    <col min="4" max="4" width="14.140625" bestFit="1" customWidth="1"/>
    <col min="5" max="5" width="20" bestFit="1" customWidth="1"/>
    <col min="6" max="6" width="18.85546875" bestFit="1" customWidth="1"/>
    <col min="7" max="7" width="16.7109375" bestFit="1" customWidth="1"/>
    <col min="8" max="8" width="6" customWidth="1"/>
    <col min="9" max="9" width="11.5703125" bestFit="1" customWidth="1"/>
    <col min="10" max="10" width="10.5703125" bestFit="1" customWidth="1"/>
    <col min="11" max="11" width="8.5703125"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6.7109375"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7.140625"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0.7109375" customWidth="1"/>
    <col min="76" max="76" width="16.42578125" bestFit="1" customWidth="1"/>
    <col min="77" max="77" width="15.42578125" bestFit="1" customWidth="1"/>
    <col min="78" max="78" width="13.42578125" bestFit="1" customWidth="1"/>
    <col min="79" max="79" width="8.85546875" customWidth="1"/>
    <col min="80" max="80" width="14.5703125" bestFit="1" customWidth="1"/>
    <col min="81" max="81" width="13.5703125" customWidth="1"/>
    <col min="82" max="82" width="11.42578125" bestFit="1" customWidth="1"/>
    <col min="83" max="83" width="8.85546875" customWidth="1"/>
    <col min="84" max="84" width="14.42578125" bestFit="1" customWidth="1"/>
    <col min="85" max="85" width="13.5703125" bestFit="1" customWidth="1"/>
    <col min="86" max="86" width="11.42578125" bestFit="1" customWidth="1"/>
    <col min="87" max="87" width="7" customWidth="1"/>
    <col min="88" max="88" width="12.85546875" bestFit="1" customWidth="1"/>
    <col min="89" max="89" width="11.5703125" bestFit="1" customWidth="1"/>
    <col min="90" max="90" width="9.7109375" customWidth="1"/>
    <col min="91" max="91" width="7.85546875" customWidth="1"/>
    <col min="92" max="92" width="13.42578125" customWidth="1"/>
    <col min="93" max="93" width="12.42578125" customWidth="1"/>
    <col min="94" max="94" width="10.42578125" bestFit="1" customWidth="1"/>
    <col min="95" max="95" width="7.7109375" customWidth="1"/>
    <col min="96" max="96" width="13.28515625" customWidth="1"/>
    <col min="97" max="97" width="12.28515625" customWidth="1"/>
    <col min="98" max="98" width="10.28515625" bestFit="1" customWidth="1"/>
    <col min="99" max="99" width="9.140625" customWidth="1"/>
    <col min="100" max="100" width="14.7109375" bestFit="1" customWidth="1"/>
    <col min="101" max="101" width="13.85546875" customWidth="1"/>
    <col min="102" max="102" width="11.7109375" bestFit="1" customWidth="1"/>
    <col min="103" max="103" width="3.28515625" customWidth="1"/>
    <col min="104" max="104" width="8.85546875" bestFit="1" customWidth="1"/>
    <col min="105" max="105" width="7.85546875" bestFit="1" customWidth="1"/>
    <col min="106" max="106" width="5.85546875" customWidth="1"/>
    <col min="107" max="107" width="4" customWidth="1"/>
    <col min="108" max="108" width="9.5703125" bestFit="1" customWidth="1"/>
    <col min="109" max="109" width="11.85546875" bestFit="1" customWidth="1"/>
    <col min="110" max="110" width="6.5703125" customWidth="1"/>
    <col min="111" max="111" width="7.7109375" customWidth="1"/>
    <col min="112" max="112" width="13.28515625" bestFit="1" customWidth="1"/>
    <col min="113" max="113" width="12.28515625" bestFit="1" customWidth="1"/>
    <col min="114" max="114" width="10.28515625" bestFit="1" customWidth="1"/>
    <col min="115" max="115" width="7.5703125"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customWidth="1"/>
    <col min="123" max="123" width="10.28515625" customWidth="1"/>
    <col min="124" max="124" width="10.140625"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0.140625"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7.7109375"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E6" sqref="E6"/>
    </sheetView>
  </sheetViews>
  <sheetFormatPr defaultColWidth="13.7109375" defaultRowHeight="15" x14ac:dyDescent="0.25"/>
  <cols>
    <col min="1" max="1" width="23.85546875" customWidth="1"/>
    <col min="2" max="2" width="12.28515625" customWidth="1"/>
    <col min="3"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46008</v>
      </c>
      <c r="C2" s="230">
        <v>8464869</v>
      </c>
      <c r="D2" s="230">
        <v>1567877</v>
      </c>
      <c r="E2" s="230">
        <v>8539379</v>
      </c>
      <c r="F2" s="230">
        <v>1580965</v>
      </c>
      <c r="G2" s="230">
        <v>-74510</v>
      </c>
      <c r="H2" s="230">
        <v>-13088</v>
      </c>
      <c r="I2" s="230">
        <v>10314079</v>
      </c>
      <c r="J2" s="230">
        <v>1184607</v>
      </c>
      <c r="K2" s="230">
        <v>714129</v>
      </c>
      <c r="L2" s="230">
        <v>126087</v>
      </c>
      <c r="M2" s="230">
        <v>11028208</v>
      </c>
      <c r="N2" s="230">
        <v>1310694</v>
      </c>
      <c r="O2" s="61"/>
      <c r="P2" s="61"/>
      <c r="Q2" s="61"/>
      <c r="R2" s="61"/>
      <c r="S2" s="61"/>
      <c r="U2" t="s">
        <v>453</v>
      </c>
      <c r="V2">
        <f>SUM('Data Vlaue (Cr)'!CD:CD)</f>
        <v>524789</v>
      </c>
      <c r="W2" t="s">
        <v>454</v>
      </c>
    </row>
    <row r="3" spans="1:23" ht="17.25" thickBot="1" x14ac:dyDescent="0.3">
      <c r="A3" s="227" t="s">
        <v>617</v>
      </c>
      <c r="B3" s="226">
        <v>46008</v>
      </c>
      <c r="C3" s="230">
        <v>1743</v>
      </c>
      <c r="D3" s="228">
        <v>355</v>
      </c>
      <c r="E3" s="230">
        <v>3184</v>
      </c>
      <c r="F3" s="228">
        <v>652</v>
      </c>
      <c r="G3" s="230">
        <v>-1441</v>
      </c>
      <c r="H3" s="228">
        <v>-297</v>
      </c>
      <c r="I3" s="230">
        <v>27734</v>
      </c>
      <c r="J3" s="230">
        <v>5696</v>
      </c>
      <c r="K3" s="230">
        <v>-1209</v>
      </c>
      <c r="L3" s="228">
        <v>-262</v>
      </c>
      <c r="M3" s="230">
        <v>26525</v>
      </c>
      <c r="N3" s="230">
        <v>5434</v>
      </c>
      <c r="O3" s="61"/>
      <c r="P3" s="61"/>
      <c r="Q3" s="61"/>
      <c r="R3" s="61"/>
      <c r="S3" s="61"/>
      <c r="U3" t="s">
        <v>453</v>
      </c>
      <c r="V3">
        <f>SUM('Data shares'!CC:CC)</f>
        <v>15003422524</v>
      </c>
      <c r="W3" t="s">
        <v>455</v>
      </c>
    </row>
    <row r="4" spans="1:23" ht="17.25" thickBot="1" x14ac:dyDescent="0.3">
      <c r="A4" s="227" t="s">
        <v>618</v>
      </c>
      <c r="B4" s="226">
        <v>46008</v>
      </c>
      <c r="C4" s="230">
        <v>188633</v>
      </c>
      <c r="D4" s="230">
        <v>39130</v>
      </c>
      <c r="E4" s="230">
        <v>194077</v>
      </c>
      <c r="F4" s="230">
        <v>40275</v>
      </c>
      <c r="G4" s="230">
        <v>-5444</v>
      </c>
      <c r="H4" s="230">
        <v>-1145</v>
      </c>
      <c r="I4" s="230">
        <v>362264</v>
      </c>
      <c r="J4" s="230">
        <v>73245</v>
      </c>
      <c r="K4" s="230">
        <v>8137</v>
      </c>
      <c r="L4" s="230">
        <v>1541</v>
      </c>
      <c r="M4" s="230">
        <v>370401</v>
      </c>
      <c r="N4" s="230">
        <v>74786</v>
      </c>
      <c r="O4" s="61"/>
      <c r="P4" s="61"/>
      <c r="Q4" s="61"/>
      <c r="R4" s="61"/>
      <c r="S4" s="61"/>
    </row>
    <row r="5" spans="1:23" ht="17.25" thickBot="1" x14ac:dyDescent="0.3">
      <c r="A5" s="227" t="s">
        <v>619</v>
      </c>
      <c r="B5" s="226">
        <v>46008</v>
      </c>
      <c r="C5" s="228">
        <v>15</v>
      </c>
      <c r="D5" s="228">
        <v>3</v>
      </c>
      <c r="E5" s="228">
        <v>28</v>
      </c>
      <c r="F5" s="228">
        <v>5</v>
      </c>
      <c r="G5" s="228">
        <v>-13</v>
      </c>
      <c r="H5" s="228">
        <v>-2</v>
      </c>
      <c r="I5" s="228">
        <v>262</v>
      </c>
      <c r="J5" s="228">
        <v>47</v>
      </c>
      <c r="K5" s="228">
        <v>3</v>
      </c>
      <c r="L5" s="228">
        <v>0</v>
      </c>
      <c r="M5" s="228">
        <v>265</v>
      </c>
      <c r="N5" s="228">
        <v>47</v>
      </c>
      <c r="O5" s="61"/>
      <c r="P5" s="61"/>
      <c r="Q5" s="61"/>
      <c r="R5" s="61"/>
      <c r="S5" s="61"/>
    </row>
    <row r="6" spans="1:23" ht="17.25" thickBot="1" x14ac:dyDescent="0.3">
      <c r="A6" s="227" t="s">
        <v>620</v>
      </c>
      <c r="B6" s="226">
        <v>46008</v>
      </c>
      <c r="C6" s="230">
        <v>7678</v>
      </c>
      <c r="D6" s="230">
        <v>1379</v>
      </c>
      <c r="E6" s="230">
        <v>7646</v>
      </c>
      <c r="F6" s="230">
        <v>1375</v>
      </c>
      <c r="G6" s="228">
        <v>32</v>
      </c>
      <c r="H6" s="228">
        <v>4</v>
      </c>
      <c r="I6" s="230">
        <v>8691</v>
      </c>
      <c r="J6" s="230">
        <v>1546</v>
      </c>
      <c r="K6" s="228">
        <v>34</v>
      </c>
      <c r="L6" s="228">
        <v>-2</v>
      </c>
      <c r="M6" s="230">
        <v>8725</v>
      </c>
      <c r="N6" s="230">
        <v>1545</v>
      </c>
      <c r="O6" s="61"/>
      <c r="P6" s="61"/>
      <c r="Q6" s="61"/>
      <c r="R6" s="61"/>
      <c r="S6" s="61"/>
    </row>
    <row r="7" spans="1:23" ht="17.25" thickBot="1" x14ac:dyDescent="0.3">
      <c r="A7" s="227" t="s">
        <v>621</v>
      </c>
      <c r="B7" s="226">
        <v>46008</v>
      </c>
      <c r="C7" s="230">
        <v>6986</v>
      </c>
      <c r="D7" s="230">
        <v>1354</v>
      </c>
      <c r="E7" s="230">
        <v>14791</v>
      </c>
      <c r="F7" s="230">
        <v>2863</v>
      </c>
      <c r="G7" s="230">
        <v>-7805</v>
      </c>
      <c r="H7" s="230">
        <v>-1509</v>
      </c>
      <c r="I7" s="230">
        <v>191551</v>
      </c>
      <c r="J7" s="230">
        <v>37087</v>
      </c>
      <c r="K7" s="230">
        <v>5223</v>
      </c>
      <c r="L7" s="228">
        <v>892</v>
      </c>
      <c r="M7" s="230">
        <v>196774</v>
      </c>
      <c r="N7" s="230">
        <v>37979</v>
      </c>
    </row>
    <row r="8" spans="1:23" ht="17.25" thickBot="1" x14ac:dyDescent="0.3">
      <c r="A8" s="227" t="s">
        <v>622</v>
      </c>
      <c r="B8" s="226">
        <v>46008</v>
      </c>
      <c r="C8" s="230">
        <v>3883550</v>
      </c>
      <c r="D8" s="230">
        <v>758523</v>
      </c>
      <c r="E8" s="230">
        <v>3909212</v>
      </c>
      <c r="F8" s="230">
        <v>763303</v>
      </c>
      <c r="G8" s="230">
        <v>-25662</v>
      </c>
      <c r="H8" s="230">
        <v>-4780</v>
      </c>
      <c r="I8" s="230">
        <v>1748767</v>
      </c>
      <c r="J8" s="230">
        <v>339258</v>
      </c>
      <c r="K8" s="230">
        <v>320036</v>
      </c>
      <c r="L8" s="230">
        <v>60778</v>
      </c>
      <c r="M8" s="230">
        <v>2068803</v>
      </c>
      <c r="N8" s="230">
        <v>400036</v>
      </c>
    </row>
    <row r="9" spans="1:23" ht="17.25" thickBot="1" x14ac:dyDescent="0.3">
      <c r="A9" s="227" t="s">
        <v>623</v>
      </c>
      <c r="B9" s="226">
        <v>46008</v>
      </c>
      <c r="C9" s="228">
        <v>512</v>
      </c>
      <c r="D9" s="228">
        <v>97</v>
      </c>
      <c r="E9" s="228">
        <v>416</v>
      </c>
      <c r="F9" s="228">
        <v>79</v>
      </c>
      <c r="G9" s="228">
        <v>96</v>
      </c>
      <c r="H9" s="228">
        <v>19</v>
      </c>
      <c r="I9" s="230">
        <v>15607</v>
      </c>
      <c r="J9" s="230">
        <v>3006</v>
      </c>
      <c r="K9" s="228">
        <v>-78</v>
      </c>
      <c r="L9" s="228">
        <v>-35</v>
      </c>
      <c r="M9" s="230">
        <v>15529</v>
      </c>
      <c r="N9" s="230">
        <v>2971</v>
      </c>
    </row>
    <row r="10" spans="1:23" ht="17.25" thickBot="1" x14ac:dyDescent="0.3">
      <c r="A10" s="227" t="s">
        <v>624</v>
      </c>
      <c r="B10" s="226">
        <v>46008</v>
      </c>
      <c r="C10" s="230">
        <v>55158</v>
      </c>
      <c r="D10" s="230">
        <v>10701</v>
      </c>
      <c r="E10" s="230">
        <v>55750</v>
      </c>
      <c r="F10" s="230">
        <v>10821</v>
      </c>
      <c r="G10" s="228">
        <v>-592</v>
      </c>
      <c r="H10" s="228">
        <v>-120</v>
      </c>
      <c r="I10" s="230">
        <v>44962</v>
      </c>
      <c r="J10" s="230">
        <v>8642</v>
      </c>
      <c r="K10" s="230">
        <v>-3592</v>
      </c>
      <c r="L10" s="228">
        <v>-757</v>
      </c>
      <c r="M10" s="230">
        <v>41370</v>
      </c>
      <c r="N10" s="230">
        <v>7885</v>
      </c>
    </row>
    <row r="11" spans="1:23" ht="17.25" thickBot="1" x14ac:dyDescent="0.3">
      <c r="A11" s="227" t="s">
        <v>625</v>
      </c>
      <c r="B11" s="226">
        <v>46008</v>
      </c>
      <c r="C11" s="230">
        <v>4689</v>
      </c>
      <c r="D11" s="228">
        <v>894</v>
      </c>
      <c r="E11" s="230">
        <v>11123</v>
      </c>
      <c r="F11" s="230">
        <v>2120</v>
      </c>
      <c r="G11" s="230">
        <v>-6434</v>
      </c>
      <c r="H11" s="230">
        <v>-1225</v>
      </c>
      <c r="I11" s="230">
        <v>147104</v>
      </c>
      <c r="J11" s="230">
        <v>28194</v>
      </c>
      <c r="K11" s="230">
        <v>6526</v>
      </c>
      <c r="L11" s="230">
        <v>1193</v>
      </c>
      <c r="M11" s="230">
        <v>153630</v>
      </c>
      <c r="N11" s="230">
        <v>29387</v>
      </c>
    </row>
    <row r="12" spans="1:23" ht="17.25" thickBot="1" x14ac:dyDescent="0.3">
      <c r="A12" s="227" t="s">
        <v>626</v>
      </c>
      <c r="B12" s="226">
        <v>46008</v>
      </c>
      <c r="C12" s="230">
        <v>3631701</v>
      </c>
      <c r="D12" s="230">
        <v>707248</v>
      </c>
      <c r="E12" s="230">
        <v>3651403</v>
      </c>
      <c r="F12" s="230">
        <v>710774</v>
      </c>
      <c r="G12" s="230">
        <v>-19702</v>
      </c>
      <c r="H12" s="230">
        <v>-3526</v>
      </c>
      <c r="I12" s="230">
        <v>1331998</v>
      </c>
      <c r="J12" s="230">
        <v>255679</v>
      </c>
      <c r="K12" s="230">
        <v>315414</v>
      </c>
      <c r="L12" s="230">
        <v>59989</v>
      </c>
      <c r="M12" s="230">
        <v>1647412</v>
      </c>
      <c r="N12" s="230">
        <v>315668</v>
      </c>
    </row>
    <row r="13" spans="1:23" ht="17.25" thickBot="1" x14ac:dyDescent="0.3">
      <c r="A13" s="227" t="s">
        <v>627</v>
      </c>
      <c r="B13" s="226">
        <v>46008</v>
      </c>
      <c r="C13" s="228">
        <v>27</v>
      </c>
      <c r="D13" s="228">
        <v>5</v>
      </c>
      <c r="E13" s="228">
        <v>40</v>
      </c>
      <c r="F13" s="228">
        <v>7</v>
      </c>
      <c r="G13" s="228">
        <v>-13</v>
      </c>
      <c r="H13" s="228">
        <v>-2</v>
      </c>
      <c r="I13" s="228">
        <v>844</v>
      </c>
      <c r="J13" s="228">
        <v>145</v>
      </c>
      <c r="K13" s="228">
        <v>-19</v>
      </c>
      <c r="L13" s="228">
        <v>-4</v>
      </c>
      <c r="M13" s="228">
        <v>825</v>
      </c>
      <c r="N13" s="228">
        <v>141</v>
      </c>
    </row>
    <row r="14" spans="1:23" ht="17.25" thickBot="1" x14ac:dyDescent="0.3">
      <c r="A14" s="227" t="s">
        <v>628</v>
      </c>
      <c r="B14" s="226">
        <v>46008</v>
      </c>
      <c r="C14" s="228">
        <v>380</v>
      </c>
      <c r="D14" s="228">
        <v>65</v>
      </c>
      <c r="E14" s="228">
        <v>336</v>
      </c>
      <c r="F14" s="228">
        <v>58</v>
      </c>
      <c r="G14" s="228">
        <v>44</v>
      </c>
      <c r="H14" s="228">
        <v>8</v>
      </c>
      <c r="I14" s="228">
        <v>853</v>
      </c>
      <c r="J14" s="228">
        <v>146</v>
      </c>
      <c r="K14" s="228">
        <v>42</v>
      </c>
      <c r="L14" s="228">
        <v>7</v>
      </c>
      <c r="M14" s="228">
        <v>895</v>
      </c>
      <c r="N14" s="228">
        <v>152</v>
      </c>
    </row>
    <row r="15" spans="1:23" ht="17.25" thickBot="1" x14ac:dyDescent="0.3">
      <c r="A15" s="227" t="s">
        <v>629</v>
      </c>
      <c r="B15" s="226">
        <v>46008</v>
      </c>
      <c r="C15" s="230">
        <v>249684</v>
      </c>
      <c r="D15" s="230">
        <v>16984</v>
      </c>
      <c r="E15" s="230">
        <v>261582</v>
      </c>
      <c r="F15" s="230">
        <v>17820</v>
      </c>
      <c r="G15" s="230">
        <v>-11898</v>
      </c>
      <c r="H15" s="228">
        <v>-836</v>
      </c>
      <c r="I15" s="230">
        <v>5901225</v>
      </c>
      <c r="J15" s="230">
        <v>395893</v>
      </c>
      <c r="K15" s="230">
        <v>33162</v>
      </c>
      <c r="L15" s="228">
        <v>711</v>
      </c>
      <c r="M15" s="230">
        <v>5934387</v>
      </c>
      <c r="N15" s="230">
        <v>396604</v>
      </c>
    </row>
    <row r="16" spans="1:23" ht="17.25" thickBot="1" x14ac:dyDescent="0.3">
      <c r="A16" s="227" t="s">
        <v>630</v>
      </c>
      <c r="B16" s="226">
        <v>46008</v>
      </c>
      <c r="C16" s="230">
        <v>434113</v>
      </c>
      <c r="D16" s="230">
        <v>31140</v>
      </c>
      <c r="E16" s="230">
        <v>429791</v>
      </c>
      <c r="F16" s="230">
        <v>30815</v>
      </c>
      <c r="G16" s="230">
        <v>4322</v>
      </c>
      <c r="H16" s="228">
        <v>325</v>
      </c>
      <c r="I16" s="230">
        <v>532217</v>
      </c>
      <c r="J16" s="230">
        <v>36024</v>
      </c>
      <c r="K16" s="230">
        <v>30450</v>
      </c>
      <c r="L16" s="230">
        <v>2036</v>
      </c>
      <c r="M16" s="230">
        <v>562667</v>
      </c>
      <c r="N16" s="230">
        <v>38060</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61" activePane="bottomLeft" state="frozen"/>
      <selection activeCell="A6" sqref="A6:S6"/>
      <selection pane="bottomLeft" activeCell="W98" sqref="W98"/>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46008</v>
      </c>
      <c r="C6" s="66">
        <f>'Snapshot (Value)'!D10</f>
        <v>46008</v>
      </c>
      <c r="D6" s="71" t="s">
        <v>322</v>
      </c>
      <c r="E6" s="71" t="s">
        <v>328</v>
      </c>
      <c r="F6" s="66">
        <f>C6</f>
        <v>46008</v>
      </c>
      <c r="G6" s="71" t="s">
        <v>322</v>
      </c>
      <c r="H6" s="71" t="s">
        <v>328</v>
      </c>
      <c r="I6" s="66">
        <f>C6</f>
        <v>46008</v>
      </c>
      <c r="J6" s="71" t="s">
        <v>322</v>
      </c>
      <c r="K6" s="71" t="s">
        <v>328</v>
      </c>
      <c r="L6" s="66">
        <f>C6</f>
        <v>46008</v>
      </c>
      <c r="M6" s="71" t="s">
        <v>322</v>
      </c>
      <c r="N6" s="71" t="s">
        <v>328</v>
      </c>
      <c r="O6" s="66">
        <f>C6</f>
        <v>46008</v>
      </c>
      <c r="P6" s="71" t="s">
        <v>322</v>
      </c>
      <c r="Q6" s="71" t="s">
        <v>328</v>
      </c>
    </row>
    <row r="7" spans="1:17" x14ac:dyDescent="0.25">
      <c r="A7" s="97" t="str">
        <f>'Data Vlaue (Cr)'!C2</f>
        <v>360ONE</v>
      </c>
      <c r="B7" s="140">
        <f>VLOOKUP($A7,'Data shares'!$C:$FB,7)</f>
        <v>1126.0999999999999</v>
      </c>
      <c r="C7" s="140">
        <f>VLOOKUP($A7,'Data shares'!$C:$FB,3)</f>
        <v>1130.0999999999999</v>
      </c>
      <c r="D7" s="140">
        <f>VLOOKUP($A7,'Data shares'!$C:$FB,4)</f>
        <v>1133.2</v>
      </c>
      <c r="E7" s="50">
        <f>(C7-D7)/D7*100</f>
        <v>-0.2735615954818334</v>
      </c>
      <c r="F7" s="49">
        <f>VLOOKUP($A7,'Data shares'!$C:$FB,98)</f>
        <v>4733500</v>
      </c>
      <c r="G7" s="49">
        <f>VLOOKUP($A7,'Data shares'!$C:$FB,99)</f>
        <v>4490000</v>
      </c>
      <c r="H7" s="50">
        <f>(F7-G7)/G7*100</f>
        <v>5.4231625835189314</v>
      </c>
      <c r="I7" s="49">
        <f>VLOOKUP($A7,'Data shares'!$C:$FB,66)</f>
        <v>18485000</v>
      </c>
      <c r="J7" s="49">
        <f>VLOOKUP($A7,'Data shares'!$C:$FB,67)</f>
        <v>1429000</v>
      </c>
      <c r="K7" s="50">
        <f>(I7-J7)/I7*100</f>
        <v>92.269407627806331</v>
      </c>
      <c r="L7" s="50">
        <f>VLOOKUP($A7,'Data shares'!$C:$FB,118)</f>
        <v>0.63</v>
      </c>
      <c r="M7" s="50">
        <f>VLOOKUP($A7,'Data shares'!$C:$FB,119)</f>
        <v>0.62</v>
      </c>
      <c r="N7" s="50">
        <f>VLOOKUP($A7,'Data shares'!$C:$FB,121)*100</f>
        <v>1.6099999999999999</v>
      </c>
      <c r="O7" s="50">
        <f>VLOOKUP($A7,'Data shares'!$C:$FB,124)</f>
        <v>0.61</v>
      </c>
      <c r="P7" s="50">
        <f>VLOOKUP($A7,'Data shares'!$C:$FB,125)</f>
        <v>0.46</v>
      </c>
      <c r="Q7" s="50">
        <f>VLOOKUP($A7,'Data shares'!$C:$FB,127)*100</f>
        <v>32.61</v>
      </c>
    </row>
    <row r="8" spans="1:17" x14ac:dyDescent="0.25">
      <c r="A8" s="97" t="str">
        <f>'Data Vlaue (Cr)'!C3</f>
        <v>ABB</v>
      </c>
      <c r="B8" s="140">
        <f>VLOOKUP($A8,'Data shares'!$C:$FB,7)</f>
        <v>5171</v>
      </c>
      <c r="C8" s="140">
        <f>VLOOKUP($A8,'Data shares'!$C:$FB,3)</f>
        <v>5190</v>
      </c>
      <c r="D8" s="140">
        <f>VLOOKUP($A8,'Data shares'!$C:$FB,4)</f>
        <v>5262</v>
      </c>
      <c r="E8" s="50">
        <f t="shared" ref="E8:E71" si="0">(C8-D8)/D8*100</f>
        <v>-1.3683010262257698</v>
      </c>
      <c r="F8" s="49">
        <f>VLOOKUP($A8,'Data shares'!$C:$FB,98)</f>
        <v>4053125</v>
      </c>
      <c r="G8" s="49">
        <f>VLOOKUP($A8,'Data shares'!$C:$FB,99)</f>
        <v>4001375</v>
      </c>
      <c r="H8" s="50">
        <f t="shared" ref="H8:H71" si="1">(F8-G8)/G8*100</f>
        <v>1.2933054262597232</v>
      </c>
      <c r="I8" s="49">
        <f>VLOOKUP($A8,'Data shares'!$C:$FB,66)</f>
        <v>1434750</v>
      </c>
      <c r="J8" s="49">
        <f>VLOOKUP($A8,'Data shares'!$C:$FB,67)</f>
        <v>1114125</v>
      </c>
      <c r="K8" s="50">
        <f t="shared" ref="K8:K71" si="2">(I8-J8)/I8*100</f>
        <v>22.34709879769995</v>
      </c>
      <c r="L8" s="50">
        <f>VLOOKUP($A8,'Data shares'!$C:$FB,118)</f>
        <v>0.78</v>
      </c>
      <c r="M8" s="50">
        <f>VLOOKUP($A8,'Data shares'!$C:$FB,119)</f>
        <v>0.83</v>
      </c>
      <c r="N8" s="50">
        <f>VLOOKUP($A8,'Data shares'!$C:$FB,121)*100</f>
        <v>-6.02</v>
      </c>
      <c r="O8" s="50">
        <f>VLOOKUP($A8,'Data shares'!$C:$FB,124)</f>
        <v>0.5</v>
      </c>
      <c r="P8" s="50">
        <f>VLOOKUP($A8,'Data shares'!$C:$FB,125)</f>
        <v>0.52</v>
      </c>
      <c r="Q8" s="50">
        <f>VLOOKUP($A8,'Data shares'!$C:$FB,127)*100</f>
        <v>-3.85</v>
      </c>
    </row>
    <row r="9" spans="1:17" x14ac:dyDescent="0.25">
      <c r="A9" s="97" t="str">
        <f>'Data Vlaue (Cr)'!C4</f>
        <v>ABCAPITAL</v>
      </c>
      <c r="B9" s="140">
        <f>VLOOKUP($A9,'Data shares'!$C:$FB,7)</f>
        <v>346.8</v>
      </c>
      <c r="C9" s="140">
        <f>VLOOKUP($A9,'Data shares'!$C:$FB,3)</f>
        <v>347.7</v>
      </c>
      <c r="D9" s="140">
        <f>VLOOKUP($A9,'Data shares'!$C:$FB,4)</f>
        <v>348.75</v>
      </c>
      <c r="E9" s="50">
        <f t="shared" si="0"/>
        <v>-0.30107526881720753</v>
      </c>
      <c r="F9" s="49">
        <f>VLOOKUP($A9,'Data shares'!$C:$FB,98)</f>
        <v>120004100</v>
      </c>
      <c r="G9" s="49">
        <f>VLOOKUP($A9,'Data shares'!$C:$FB,99)</f>
        <v>118398300</v>
      </c>
      <c r="H9" s="50">
        <f t="shared" si="1"/>
        <v>1.3562694734637237</v>
      </c>
      <c r="I9" s="49">
        <f>VLOOKUP($A9,'Data shares'!$C:$FB,66)</f>
        <v>54637500</v>
      </c>
      <c r="J9" s="49">
        <f>VLOOKUP($A9,'Data shares'!$C:$FB,67)</f>
        <v>51695600</v>
      </c>
      <c r="K9" s="50">
        <f t="shared" si="2"/>
        <v>5.3843971631205676</v>
      </c>
      <c r="L9" s="50">
        <f>VLOOKUP($A9,'Data shares'!$C:$FB,118)</f>
        <v>0.65</v>
      </c>
      <c r="M9" s="50">
        <f>VLOOKUP($A9,'Data shares'!$C:$FB,119)</f>
        <v>0.66</v>
      </c>
      <c r="N9" s="50">
        <f>VLOOKUP($A9,'Data shares'!$C:$FB,121)*100</f>
        <v>-1.52</v>
      </c>
      <c r="O9" s="50">
        <f>VLOOKUP($A9,'Data shares'!$C:$FB,124)</f>
        <v>0.55000000000000004</v>
      </c>
      <c r="P9" s="50">
        <f>VLOOKUP($A9,'Data shares'!$C:$FB,125)</f>
        <v>0.37</v>
      </c>
      <c r="Q9" s="50">
        <f>VLOOKUP($A9,'Data shares'!$C:$FB,127)*100</f>
        <v>48.65</v>
      </c>
    </row>
    <row r="10" spans="1:17" x14ac:dyDescent="0.25">
      <c r="A10" s="97" t="str">
        <f>'Data Vlaue (Cr)'!C5</f>
        <v>ADANIENSOL</v>
      </c>
      <c r="B10" s="140">
        <f>VLOOKUP($A10,'Data shares'!$C:$FB,7)</f>
        <v>977.55</v>
      </c>
      <c r="C10" s="140">
        <f>VLOOKUP($A10,'Data shares'!$C:$FB,3)</f>
        <v>981.3</v>
      </c>
      <c r="D10" s="140">
        <f>VLOOKUP($A10,'Data shares'!$C:$FB,4)</f>
        <v>995.95</v>
      </c>
      <c r="E10" s="50">
        <f t="shared" si="0"/>
        <v>-1.4709573773783915</v>
      </c>
      <c r="F10" s="49">
        <f>VLOOKUP($A10,'Data shares'!$C:$FB,98)</f>
        <v>24405300</v>
      </c>
      <c r="G10" s="49">
        <f>VLOOKUP($A10,'Data shares'!$C:$FB,99)</f>
        <v>24439725</v>
      </c>
      <c r="H10" s="50">
        <f t="shared" si="1"/>
        <v>-0.14085674040931312</v>
      </c>
      <c r="I10" s="49">
        <f>VLOOKUP($A10,'Data shares'!$C:$FB,66)</f>
        <v>7362225</v>
      </c>
      <c r="J10" s="49">
        <f>VLOOKUP($A10,'Data shares'!$C:$FB,67)</f>
        <v>6372675</v>
      </c>
      <c r="K10" s="50">
        <f t="shared" si="2"/>
        <v>13.440909507655634</v>
      </c>
      <c r="L10" s="50">
        <f>VLOOKUP($A10,'Data shares'!$C:$FB,118)</f>
        <v>0.56000000000000005</v>
      </c>
      <c r="M10" s="50">
        <f>VLOOKUP($A10,'Data shares'!$C:$FB,119)</f>
        <v>0.56999999999999995</v>
      </c>
      <c r="N10" s="50">
        <f>VLOOKUP($A10,'Data shares'!$C:$FB,121)*100</f>
        <v>-1.7500000000000002</v>
      </c>
      <c r="O10" s="50">
        <f>VLOOKUP($A10,'Data shares'!$C:$FB,124)</f>
        <v>0.6</v>
      </c>
      <c r="P10" s="50">
        <f>VLOOKUP($A10,'Data shares'!$C:$FB,125)</f>
        <v>0.73</v>
      </c>
      <c r="Q10" s="50">
        <f>VLOOKUP($A10,'Data shares'!$C:$FB,127)*100</f>
        <v>-17.810000000000002</v>
      </c>
    </row>
    <row r="11" spans="1:17" x14ac:dyDescent="0.25">
      <c r="A11" s="97" t="str">
        <f>'Data Vlaue (Cr)'!C6</f>
        <v>ADANIENT</v>
      </c>
      <c r="B11" s="140">
        <f>VLOOKUP($A11,'Data shares'!$C:$FB,7)</f>
        <v>2232.5</v>
      </c>
      <c r="C11" s="140">
        <f>VLOOKUP($A11,'Data shares'!$C:$FB,3)</f>
        <v>2241.8000000000002</v>
      </c>
      <c r="D11" s="140">
        <f>VLOOKUP($A11,'Data shares'!$C:$FB,4)</f>
        <v>2256.1999999999998</v>
      </c>
      <c r="E11" s="50">
        <f t="shared" si="0"/>
        <v>-0.63824129066570501</v>
      </c>
      <c r="F11" s="49">
        <f>VLOOKUP($A11,'Data shares'!$C:$FB,98)</f>
        <v>45750540</v>
      </c>
      <c r="G11" s="49">
        <f>VLOOKUP($A11,'Data shares'!$C:$FB,99)</f>
        <v>45285804</v>
      </c>
      <c r="H11" s="50">
        <f t="shared" si="1"/>
        <v>1.0262288817926255</v>
      </c>
      <c r="I11" s="49">
        <f>VLOOKUP($A11,'Data shares'!$C:$FB,66)</f>
        <v>14097816</v>
      </c>
      <c r="J11" s="49">
        <f>VLOOKUP($A11,'Data shares'!$C:$FB,67)</f>
        <v>14190825</v>
      </c>
      <c r="K11" s="50">
        <f t="shared" si="2"/>
        <v>-0.65974048746273894</v>
      </c>
      <c r="L11" s="50">
        <f>VLOOKUP($A11,'Data shares'!$C:$FB,118)</f>
        <v>0.61</v>
      </c>
      <c r="M11" s="50">
        <f>VLOOKUP($A11,'Data shares'!$C:$FB,119)</f>
        <v>0.61</v>
      </c>
      <c r="N11" s="50">
        <f>VLOOKUP($A11,'Data shares'!$C:$FB,121)*100</f>
        <v>0</v>
      </c>
      <c r="O11" s="50">
        <f>VLOOKUP($A11,'Data shares'!$C:$FB,124)</f>
        <v>0.47</v>
      </c>
      <c r="P11" s="50">
        <f>VLOOKUP($A11,'Data shares'!$C:$FB,125)</f>
        <v>0.41</v>
      </c>
      <c r="Q11" s="50">
        <f>VLOOKUP($A11,'Data shares'!$C:$FB,127)*100</f>
        <v>14.63</v>
      </c>
    </row>
    <row r="12" spans="1:17" x14ac:dyDescent="0.25">
      <c r="A12" s="97" t="str">
        <f>'Data Vlaue (Cr)'!C7</f>
        <v>ADANIGREEN</v>
      </c>
      <c r="B12" s="140">
        <f>VLOOKUP($A12,'Data shares'!$C:$FB,7)</f>
        <v>1020.7</v>
      </c>
      <c r="C12" s="140">
        <f>VLOOKUP($A12,'Data shares'!$C:$FB,3)</f>
        <v>1023.6</v>
      </c>
      <c r="D12" s="140">
        <f>VLOOKUP($A12,'Data shares'!$C:$FB,4)</f>
        <v>1030.8</v>
      </c>
      <c r="E12" s="50">
        <f t="shared" si="0"/>
        <v>-0.6984866123399236</v>
      </c>
      <c r="F12" s="49">
        <f>VLOOKUP($A12,'Data shares'!$C:$FB,98)</f>
        <v>45130200</v>
      </c>
      <c r="G12" s="49">
        <f>VLOOKUP($A12,'Data shares'!$C:$FB,99)</f>
        <v>44887800</v>
      </c>
      <c r="H12" s="50">
        <f t="shared" si="1"/>
        <v>0.54001309932765695</v>
      </c>
      <c r="I12" s="49">
        <f>VLOOKUP($A12,'Data shares'!$C:$FB,66)</f>
        <v>16658400</v>
      </c>
      <c r="J12" s="49">
        <f>VLOOKUP($A12,'Data shares'!$C:$FB,67)</f>
        <v>19941000</v>
      </c>
      <c r="K12" s="50">
        <f t="shared" si="2"/>
        <v>-19.705373865437256</v>
      </c>
      <c r="L12" s="50">
        <f>VLOOKUP($A12,'Data shares'!$C:$FB,118)</f>
        <v>0.54</v>
      </c>
      <c r="M12" s="50">
        <f>VLOOKUP($A12,'Data shares'!$C:$FB,119)</f>
        <v>0.53</v>
      </c>
      <c r="N12" s="50">
        <f>VLOOKUP($A12,'Data shares'!$C:$FB,121)*100</f>
        <v>1.8900000000000001</v>
      </c>
      <c r="O12" s="50">
        <f>VLOOKUP($A12,'Data shares'!$C:$FB,124)</f>
        <v>0.53</v>
      </c>
      <c r="P12" s="50">
        <f>VLOOKUP($A12,'Data shares'!$C:$FB,125)</f>
        <v>0.74</v>
      </c>
      <c r="Q12" s="50">
        <f>VLOOKUP($A12,'Data shares'!$C:$FB,127)*100</f>
        <v>-28.38</v>
      </c>
    </row>
    <row r="13" spans="1:17" x14ac:dyDescent="0.25">
      <c r="A13" s="97" t="str">
        <f>'Data Vlaue (Cr)'!C8</f>
        <v>ADANIPORTS</v>
      </c>
      <c r="B13" s="140">
        <f>VLOOKUP($A13,'Data shares'!$C:$FB,7)</f>
        <v>1486.3</v>
      </c>
      <c r="C13" s="140">
        <f>VLOOKUP($A13,'Data shares'!$C:$FB,3)</f>
        <v>1491.8</v>
      </c>
      <c r="D13" s="140">
        <f>VLOOKUP($A13,'Data shares'!$C:$FB,4)</f>
        <v>1503.9</v>
      </c>
      <c r="E13" s="50">
        <f t="shared" si="0"/>
        <v>-0.80457477225880281</v>
      </c>
      <c r="F13" s="49">
        <f>VLOOKUP($A13,'Data shares'!$C:$FB,98)</f>
        <v>37797650</v>
      </c>
      <c r="G13" s="49">
        <f>VLOOKUP($A13,'Data shares'!$C:$FB,99)</f>
        <v>37124100</v>
      </c>
      <c r="H13" s="50">
        <f t="shared" si="1"/>
        <v>1.8143200777931319</v>
      </c>
      <c r="I13" s="49">
        <f>VLOOKUP($A13,'Data shares'!$C:$FB,66)</f>
        <v>11946725</v>
      </c>
      <c r="J13" s="49">
        <f>VLOOKUP($A13,'Data shares'!$C:$FB,67)</f>
        <v>9777400</v>
      </c>
      <c r="K13" s="50">
        <f t="shared" si="2"/>
        <v>18.158323724702797</v>
      </c>
      <c r="L13" s="50">
        <f>VLOOKUP($A13,'Data shares'!$C:$FB,118)</f>
        <v>0.49</v>
      </c>
      <c r="M13" s="50">
        <f>VLOOKUP($A13,'Data shares'!$C:$FB,119)</f>
        <v>0.51</v>
      </c>
      <c r="N13" s="50">
        <f>VLOOKUP($A13,'Data shares'!$C:$FB,121)*100</f>
        <v>-3.92</v>
      </c>
      <c r="O13" s="50">
        <f>VLOOKUP($A13,'Data shares'!$C:$FB,124)</f>
        <v>0.45</v>
      </c>
      <c r="P13" s="50">
        <f>VLOOKUP($A13,'Data shares'!$C:$FB,125)</f>
        <v>0.47</v>
      </c>
      <c r="Q13" s="50">
        <f>VLOOKUP($A13,'Data shares'!$C:$FB,127)*100</f>
        <v>-4.26</v>
      </c>
    </row>
    <row r="14" spans="1:17" x14ac:dyDescent="0.25">
      <c r="A14" s="97" t="str">
        <f>'Data Vlaue (Cr)'!C9</f>
        <v>ALKEM</v>
      </c>
      <c r="B14" s="140">
        <f>VLOOKUP($A14,'Data shares'!$C:$FB,7)</f>
        <v>5628.5</v>
      </c>
      <c r="C14" s="140">
        <f>VLOOKUP($A14,'Data shares'!$C:$FB,3)</f>
        <v>5635.5</v>
      </c>
      <c r="D14" s="140">
        <f>VLOOKUP($A14,'Data shares'!$C:$FB,4)</f>
        <v>5671.5</v>
      </c>
      <c r="E14" s="50">
        <f>(C14-D14)/D14*100</f>
        <v>-0.6347527109230362</v>
      </c>
      <c r="F14" s="49">
        <f>VLOOKUP($A14,'Data shares'!$C:$FB,98)</f>
        <v>2011375</v>
      </c>
      <c r="G14" s="49">
        <f>VLOOKUP($A14,'Data shares'!$C:$FB,99)</f>
        <v>1981375</v>
      </c>
      <c r="H14" s="50">
        <f t="shared" si="1"/>
        <v>1.5141000567787521</v>
      </c>
      <c r="I14" s="49">
        <f>VLOOKUP($A14,'Data shares'!$C:$FB,66)</f>
        <v>652625</v>
      </c>
      <c r="J14" s="49">
        <f>VLOOKUP($A14,'Data shares'!$C:$FB,67)</f>
        <v>424625</v>
      </c>
      <c r="K14" s="50">
        <f t="shared" si="2"/>
        <v>34.935836046734345</v>
      </c>
      <c r="L14" s="50">
        <f>VLOOKUP($A14,'Data shares'!$C:$FB,118)</f>
        <v>0.65</v>
      </c>
      <c r="M14" s="50">
        <f>VLOOKUP($A14,'Data shares'!$C:$FB,119)</f>
        <v>0.75</v>
      </c>
      <c r="N14" s="50">
        <f>VLOOKUP($A14,'Data shares'!$C:$FB,121)*100</f>
        <v>-13.33</v>
      </c>
      <c r="O14" s="50">
        <f>VLOOKUP($A14,'Data shares'!$C:$FB,124)</f>
        <v>0.42</v>
      </c>
      <c r="P14" s="50">
        <f>VLOOKUP($A14,'Data shares'!$C:$FB,125)</f>
        <v>0.32</v>
      </c>
      <c r="Q14" s="50">
        <f>VLOOKUP($A14,'Data shares'!$C:$FB,127)*100</f>
        <v>31.25</v>
      </c>
    </row>
    <row r="15" spans="1:17" x14ac:dyDescent="0.25">
      <c r="A15" s="97" t="str">
        <f>'Data Vlaue (Cr)'!C10</f>
        <v>AMBER</v>
      </c>
      <c r="B15" s="140">
        <f>VLOOKUP($A15,'Data shares'!$C:$FB,7)</f>
        <v>6580.5</v>
      </c>
      <c r="C15" s="140">
        <f>VLOOKUP($A15,'Data shares'!$C:$FB,3)</f>
        <v>6600</v>
      </c>
      <c r="D15" s="140">
        <f>VLOOKUP($A15,'Data shares'!$C:$FB,4)</f>
        <v>6793.5</v>
      </c>
      <c r="E15" s="50">
        <f t="shared" si="0"/>
        <v>-2.8483108854051666</v>
      </c>
      <c r="F15" s="49">
        <f>VLOOKUP($A15,'Data shares'!$C:$FB,98)</f>
        <v>3135300</v>
      </c>
      <c r="G15" s="49">
        <f>VLOOKUP($A15,'Data shares'!$C:$FB,99)</f>
        <v>3017900</v>
      </c>
      <c r="H15" s="50">
        <f t="shared" si="1"/>
        <v>3.8901222704529643</v>
      </c>
      <c r="I15" s="49">
        <f>VLOOKUP($A15,'Data shares'!$C:$FB,66)</f>
        <v>3310900</v>
      </c>
      <c r="J15" s="49">
        <f>VLOOKUP($A15,'Data shares'!$C:$FB,67)</f>
        <v>2052900</v>
      </c>
      <c r="K15" s="50">
        <f t="shared" si="2"/>
        <v>37.995711135944909</v>
      </c>
      <c r="L15" s="50">
        <f>VLOOKUP($A15,'Data shares'!$C:$FB,118)</f>
        <v>0.66</v>
      </c>
      <c r="M15" s="50">
        <f>VLOOKUP($A15,'Data shares'!$C:$FB,119)</f>
        <v>0.72</v>
      </c>
      <c r="N15" s="50">
        <f>VLOOKUP($A15,'Data shares'!$C:$FB,121)*100</f>
        <v>-8.33</v>
      </c>
      <c r="O15" s="50">
        <f>VLOOKUP($A15,'Data shares'!$C:$FB,124)</f>
        <v>0.8</v>
      </c>
      <c r="P15" s="50">
        <f>VLOOKUP($A15,'Data shares'!$C:$FB,125)</f>
        <v>0.55000000000000004</v>
      </c>
      <c r="Q15" s="50">
        <f>VLOOKUP($A15,'Data shares'!$C:$FB,127)*100</f>
        <v>45.45</v>
      </c>
    </row>
    <row r="16" spans="1:17" x14ac:dyDescent="0.25">
      <c r="A16" s="97" t="str">
        <f>'Data Vlaue (Cr)'!C11</f>
        <v>AMBUJACEM</v>
      </c>
      <c r="B16" s="140">
        <f>VLOOKUP($A16,'Data shares'!$C:$FB,7)</f>
        <v>541.29999999999995</v>
      </c>
      <c r="C16" s="140">
        <f>VLOOKUP($A16,'Data shares'!$C:$FB,3)</f>
        <v>541.9</v>
      </c>
      <c r="D16" s="140">
        <f>VLOOKUP($A16,'Data shares'!$C:$FB,4)</f>
        <v>549.5</v>
      </c>
      <c r="E16" s="50">
        <f t="shared" si="0"/>
        <v>-1.3830755232029157</v>
      </c>
      <c r="F16" s="49">
        <f>VLOOKUP($A16,'Data shares'!$C:$FB,98)</f>
        <v>69549900</v>
      </c>
      <c r="G16" s="49">
        <f>VLOOKUP($A16,'Data shares'!$C:$FB,99)</f>
        <v>69139350</v>
      </c>
      <c r="H16" s="50">
        <f t="shared" si="1"/>
        <v>0.59380078059744557</v>
      </c>
      <c r="I16" s="49">
        <f>VLOOKUP($A16,'Data shares'!$C:$FB,66)</f>
        <v>10128300</v>
      </c>
      <c r="J16" s="49">
        <f>VLOOKUP($A16,'Data shares'!$C:$FB,67)</f>
        <v>14701050</v>
      </c>
      <c r="K16" s="50">
        <f t="shared" si="2"/>
        <v>-45.148247978436657</v>
      </c>
      <c r="L16" s="50">
        <f>VLOOKUP($A16,'Data shares'!$C:$FB,118)</f>
        <v>0.81</v>
      </c>
      <c r="M16" s="50">
        <f>VLOOKUP($A16,'Data shares'!$C:$FB,119)</f>
        <v>0.86</v>
      </c>
      <c r="N16" s="50">
        <f>VLOOKUP($A16,'Data shares'!$C:$FB,121)*100</f>
        <v>-5.81</v>
      </c>
      <c r="O16" s="50">
        <f>VLOOKUP($A16,'Data shares'!$C:$FB,124)</f>
        <v>0.45</v>
      </c>
      <c r="P16" s="50">
        <f>VLOOKUP($A16,'Data shares'!$C:$FB,125)</f>
        <v>0.6</v>
      </c>
      <c r="Q16" s="50">
        <f>VLOOKUP($A16,'Data shares'!$C:$FB,127)*100</f>
        <v>-25</v>
      </c>
    </row>
    <row r="17" spans="1:17" x14ac:dyDescent="0.25">
      <c r="A17" s="97" t="str">
        <f>'Data Vlaue (Cr)'!C12</f>
        <v>ANGELONE</v>
      </c>
      <c r="B17" s="140">
        <f>VLOOKUP($A17,'Data shares'!$C:$FB,7)</f>
        <v>2504.6</v>
      </c>
      <c r="C17" s="140">
        <f>VLOOKUP($A17,'Data shares'!$C:$FB,3)</f>
        <v>2478.9</v>
      </c>
      <c r="D17" s="140">
        <f>VLOOKUP($A17,'Data shares'!$C:$FB,4)</f>
        <v>2507.6</v>
      </c>
      <c r="E17" s="50">
        <f t="shared" si="0"/>
        <v>-1.1445206572020983</v>
      </c>
      <c r="F17" s="49">
        <f>VLOOKUP($A17,'Data shares'!$C:$FB,98)</f>
        <v>11446750</v>
      </c>
      <c r="G17" s="49">
        <f>VLOOKUP($A17,'Data shares'!$C:$FB,99)</f>
        <v>11076000</v>
      </c>
      <c r="H17" s="50">
        <f t="shared" si="1"/>
        <v>3.3473275550740338</v>
      </c>
      <c r="I17" s="49">
        <f>VLOOKUP($A17,'Data shares'!$C:$FB,66)</f>
        <v>6391500</v>
      </c>
      <c r="J17" s="49">
        <f>VLOOKUP($A17,'Data shares'!$C:$FB,67)</f>
        <v>6226250</v>
      </c>
      <c r="K17" s="50">
        <f t="shared" si="2"/>
        <v>2.5854650707971527</v>
      </c>
      <c r="L17" s="50">
        <f>VLOOKUP($A17,'Data shares'!$C:$FB,118)</f>
        <v>0.41</v>
      </c>
      <c r="M17" s="50">
        <f>VLOOKUP($A17,'Data shares'!$C:$FB,119)</f>
        <v>0.43</v>
      </c>
      <c r="N17" s="50">
        <f>VLOOKUP($A17,'Data shares'!$C:$FB,121)*100</f>
        <v>-4.6500000000000004</v>
      </c>
      <c r="O17" s="50">
        <f>VLOOKUP($A17,'Data shares'!$C:$FB,124)</f>
        <v>0.4</v>
      </c>
      <c r="P17" s="50">
        <f>VLOOKUP($A17,'Data shares'!$C:$FB,125)</f>
        <v>0.51</v>
      </c>
      <c r="Q17" s="50">
        <f>VLOOKUP($A17,'Data shares'!$C:$FB,127)*100</f>
        <v>-21.57</v>
      </c>
    </row>
    <row r="18" spans="1:17" x14ac:dyDescent="0.25">
      <c r="A18" s="97" t="str">
        <f>'Data Vlaue (Cr)'!C13</f>
        <v>APLAPOLLO</v>
      </c>
      <c r="B18" s="140">
        <f>VLOOKUP($A18,'Data shares'!$C:$FB,7)</f>
        <v>1764.5</v>
      </c>
      <c r="C18" s="140">
        <f>VLOOKUP($A18,'Data shares'!$C:$FB,3)</f>
        <v>1769.5</v>
      </c>
      <c r="D18" s="140">
        <f>VLOOKUP($A18,'Data shares'!$C:$FB,4)</f>
        <v>1737.1</v>
      </c>
      <c r="E18" s="50">
        <f t="shared" si="0"/>
        <v>1.8651775948419835</v>
      </c>
      <c r="F18" s="49">
        <f>VLOOKUP($A18,'Data shares'!$C:$FB,98)</f>
        <v>9858100</v>
      </c>
      <c r="G18" s="49">
        <f>VLOOKUP($A18,'Data shares'!$C:$FB,99)</f>
        <v>9637250</v>
      </c>
      <c r="H18" s="50">
        <f t="shared" si="1"/>
        <v>2.2916288360268751</v>
      </c>
      <c r="I18" s="49">
        <f>VLOOKUP($A18,'Data shares'!$C:$FB,66)</f>
        <v>9178750</v>
      </c>
      <c r="J18" s="49">
        <f>VLOOKUP($A18,'Data shares'!$C:$FB,67)</f>
        <v>1322650</v>
      </c>
      <c r="K18" s="50">
        <f t="shared" si="2"/>
        <v>85.590085795996188</v>
      </c>
      <c r="L18" s="50">
        <f>VLOOKUP($A18,'Data shares'!$C:$FB,118)</f>
        <v>0.75</v>
      </c>
      <c r="M18" s="50">
        <f>VLOOKUP($A18,'Data shares'!$C:$FB,119)</f>
        <v>0.87</v>
      </c>
      <c r="N18" s="50">
        <f>VLOOKUP($A18,'Data shares'!$C:$FB,121)*100</f>
        <v>-13.79</v>
      </c>
      <c r="O18" s="50">
        <f>VLOOKUP($A18,'Data shares'!$C:$FB,124)</f>
        <v>0.32</v>
      </c>
      <c r="P18" s="50">
        <f>VLOOKUP($A18,'Data shares'!$C:$FB,125)</f>
        <v>0.39</v>
      </c>
      <c r="Q18" s="50">
        <f>VLOOKUP($A18,'Data shares'!$C:$FB,127)*100</f>
        <v>-17.95</v>
      </c>
    </row>
    <row r="19" spans="1:17" x14ac:dyDescent="0.25">
      <c r="A19" s="97" t="str">
        <f>'Data Vlaue (Cr)'!C14</f>
        <v>APOLLOHOSP</v>
      </c>
      <c r="B19" s="140">
        <f>VLOOKUP($A19,'Data shares'!$C:$FB,7)</f>
        <v>6921.5</v>
      </c>
      <c r="C19" s="140">
        <f>VLOOKUP($A19,'Data shares'!$C:$FB,3)</f>
        <v>6927.5</v>
      </c>
      <c r="D19" s="140">
        <f>VLOOKUP($A19,'Data shares'!$C:$FB,4)</f>
        <v>7067.5</v>
      </c>
      <c r="E19" s="50">
        <f t="shared" si="0"/>
        <v>-1.9808984789529538</v>
      </c>
      <c r="F19" s="49">
        <f>VLOOKUP($A19,'Data shares'!$C:$FB,98)</f>
        <v>6962375</v>
      </c>
      <c r="G19" s="49">
        <f>VLOOKUP($A19,'Data shares'!$C:$FB,99)</f>
        <v>6459750</v>
      </c>
      <c r="H19" s="50">
        <f t="shared" si="1"/>
        <v>7.780873872827895</v>
      </c>
      <c r="I19" s="49">
        <f>VLOOKUP($A19,'Data shares'!$C:$FB,66)</f>
        <v>5077125</v>
      </c>
      <c r="J19" s="49">
        <f>VLOOKUP($A19,'Data shares'!$C:$FB,67)</f>
        <v>3961000</v>
      </c>
      <c r="K19" s="50">
        <f t="shared" si="2"/>
        <v>21.98340596302041</v>
      </c>
      <c r="L19" s="50">
        <f>VLOOKUP($A19,'Data shares'!$C:$FB,118)</f>
        <v>0.47</v>
      </c>
      <c r="M19" s="50">
        <f>VLOOKUP($A19,'Data shares'!$C:$FB,119)</f>
        <v>0.47</v>
      </c>
      <c r="N19" s="50">
        <f>VLOOKUP($A19,'Data shares'!$C:$FB,121)*100</f>
        <v>0</v>
      </c>
      <c r="O19" s="50">
        <f>VLOOKUP($A19,'Data shares'!$C:$FB,124)</f>
        <v>0.54</v>
      </c>
      <c r="P19" s="50">
        <f>VLOOKUP($A19,'Data shares'!$C:$FB,125)</f>
        <v>0.24</v>
      </c>
      <c r="Q19" s="50">
        <f>VLOOKUP($A19,'Data shares'!$C:$FB,127)*100</f>
        <v>125</v>
      </c>
    </row>
    <row r="20" spans="1:17" x14ac:dyDescent="0.25">
      <c r="A20" s="97" t="str">
        <f>'Data Vlaue (Cr)'!C15</f>
        <v>ASHOKLEY</v>
      </c>
      <c r="B20" s="140">
        <f>VLOOKUP($A20,'Data shares'!$C:$FB,7)</f>
        <v>166.14</v>
      </c>
      <c r="C20" s="140">
        <f>VLOOKUP($A20,'Data shares'!$C:$FB,3)</f>
        <v>166.15</v>
      </c>
      <c r="D20" s="140">
        <f>VLOOKUP($A20,'Data shares'!$C:$FB,4)</f>
        <v>166.25</v>
      </c>
      <c r="E20" s="50">
        <f t="shared" si="0"/>
        <v>-6.0150375939846207E-2</v>
      </c>
      <c r="F20" s="49">
        <f>VLOOKUP($A20,'Data shares'!$C:$FB,98)</f>
        <v>293850000</v>
      </c>
      <c r="G20" s="49">
        <f>VLOOKUP($A20,'Data shares'!$C:$FB,99)</f>
        <v>292955000</v>
      </c>
      <c r="H20" s="50">
        <f t="shared" si="1"/>
        <v>0.30550767182673105</v>
      </c>
      <c r="I20" s="49">
        <f>VLOOKUP($A20,'Data shares'!$C:$FB,66)</f>
        <v>123790000</v>
      </c>
      <c r="J20" s="49">
        <f>VLOOKUP($A20,'Data shares'!$C:$FB,67)</f>
        <v>218685000</v>
      </c>
      <c r="K20" s="50">
        <f t="shared" si="2"/>
        <v>-76.658049923257138</v>
      </c>
      <c r="L20" s="50">
        <f>VLOOKUP($A20,'Data shares'!$C:$FB,118)</f>
        <v>0.98</v>
      </c>
      <c r="M20" s="50">
        <f>VLOOKUP($A20,'Data shares'!$C:$FB,119)</f>
        <v>0.96</v>
      </c>
      <c r="N20" s="50">
        <f>VLOOKUP($A20,'Data shares'!$C:$FB,121)*100</f>
        <v>2.08</v>
      </c>
      <c r="O20" s="50">
        <f>VLOOKUP($A20,'Data shares'!$C:$FB,124)</f>
        <v>0.66</v>
      </c>
      <c r="P20" s="50">
        <f>VLOOKUP($A20,'Data shares'!$C:$FB,125)</f>
        <v>0.48</v>
      </c>
      <c r="Q20" s="50">
        <f>VLOOKUP($A20,'Data shares'!$C:$FB,127)*100</f>
        <v>37.5</v>
      </c>
    </row>
    <row r="21" spans="1:17" x14ac:dyDescent="0.25">
      <c r="A21" s="97" t="str">
        <f>'Data Vlaue (Cr)'!C16</f>
        <v>ASIANPAINT</v>
      </c>
      <c r="B21" s="140">
        <f>VLOOKUP($A21,'Data shares'!$C:$FB,7)</f>
        <v>2785.7</v>
      </c>
      <c r="C21" s="140">
        <f>VLOOKUP($A21,'Data shares'!$C:$FB,3)</f>
        <v>2785.6</v>
      </c>
      <c r="D21" s="140">
        <f>VLOOKUP($A21,'Data shares'!$C:$FB,4)</f>
        <v>2792.4</v>
      </c>
      <c r="E21" s="50">
        <f t="shared" si="0"/>
        <v>-0.24351812061309919</v>
      </c>
      <c r="F21" s="49">
        <f>VLOOKUP($A21,'Data shares'!$C:$FB,98)</f>
        <v>25628250</v>
      </c>
      <c r="G21" s="49">
        <f>VLOOKUP($A21,'Data shares'!$C:$FB,99)</f>
        <v>25569000</v>
      </c>
      <c r="H21" s="50">
        <f t="shared" si="1"/>
        <v>0.23172591810395402</v>
      </c>
      <c r="I21" s="49">
        <f>VLOOKUP($A21,'Data shares'!$C:$FB,66)</f>
        <v>10192750</v>
      </c>
      <c r="J21" s="49">
        <f>VLOOKUP($A21,'Data shares'!$C:$FB,67)</f>
        <v>15616750</v>
      </c>
      <c r="K21" s="50">
        <f t="shared" si="2"/>
        <v>-53.214294474013393</v>
      </c>
      <c r="L21" s="50">
        <f>VLOOKUP($A21,'Data shares'!$C:$FB,118)</f>
        <v>0.51</v>
      </c>
      <c r="M21" s="50">
        <f>VLOOKUP($A21,'Data shares'!$C:$FB,119)</f>
        <v>0.52</v>
      </c>
      <c r="N21" s="50">
        <f>VLOOKUP($A21,'Data shares'!$C:$FB,121)*100</f>
        <v>-1.92</v>
      </c>
      <c r="O21" s="50">
        <f>VLOOKUP($A21,'Data shares'!$C:$FB,124)</f>
        <v>0.38</v>
      </c>
      <c r="P21" s="50">
        <f>VLOOKUP($A21,'Data shares'!$C:$FB,125)</f>
        <v>0.34</v>
      </c>
      <c r="Q21" s="50">
        <f>VLOOKUP($A21,'Data shares'!$C:$FB,127)*100</f>
        <v>11.76</v>
      </c>
    </row>
    <row r="22" spans="1:17" x14ac:dyDescent="0.25">
      <c r="A22" s="97" t="str">
        <f>'Data Vlaue (Cr)'!C17</f>
        <v>ASTRAL</v>
      </c>
      <c r="B22" s="140">
        <f>VLOOKUP($A22,'Data shares'!$C:$FB,7)</f>
        <v>1428.9</v>
      </c>
      <c r="C22" s="140">
        <f>VLOOKUP($A22,'Data shares'!$C:$FB,3)</f>
        <v>1430.9</v>
      </c>
      <c r="D22" s="140">
        <f>VLOOKUP($A22,'Data shares'!$C:$FB,4)</f>
        <v>1466.6</v>
      </c>
      <c r="E22" s="50">
        <f t="shared" si="0"/>
        <v>-2.4342015546161067</v>
      </c>
      <c r="F22" s="49">
        <f>VLOOKUP($A22,'Data shares'!$C:$FB,98)</f>
        <v>13217925</v>
      </c>
      <c r="G22" s="49">
        <f>VLOOKUP($A22,'Data shares'!$C:$FB,99)</f>
        <v>13336075</v>
      </c>
      <c r="H22" s="50">
        <f t="shared" si="1"/>
        <v>-0.88594282800599122</v>
      </c>
      <c r="I22" s="49">
        <f>VLOOKUP($A22,'Data shares'!$C:$FB,66)</f>
        <v>8644925</v>
      </c>
      <c r="J22" s="49">
        <f>VLOOKUP($A22,'Data shares'!$C:$FB,67)</f>
        <v>23967875</v>
      </c>
      <c r="K22" s="50">
        <f t="shared" si="2"/>
        <v>-177.247922914311</v>
      </c>
      <c r="L22" s="50">
        <f>VLOOKUP($A22,'Data shares'!$C:$FB,118)</f>
        <v>0.51</v>
      </c>
      <c r="M22" s="50">
        <f>VLOOKUP($A22,'Data shares'!$C:$FB,119)</f>
        <v>0.55000000000000004</v>
      </c>
      <c r="N22" s="50">
        <f>VLOOKUP($A22,'Data shares'!$C:$FB,121)*100</f>
        <v>-7.2700000000000005</v>
      </c>
      <c r="O22" s="50">
        <f>VLOOKUP($A22,'Data shares'!$C:$FB,124)</f>
        <v>0.72</v>
      </c>
      <c r="P22" s="50">
        <f>VLOOKUP($A22,'Data shares'!$C:$FB,125)</f>
        <v>0.44</v>
      </c>
      <c r="Q22" s="50">
        <f>VLOOKUP($A22,'Data shares'!$C:$FB,127)*100</f>
        <v>63.639999999999993</v>
      </c>
    </row>
    <row r="23" spans="1:17" x14ac:dyDescent="0.25">
      <c r="A23" s="97" t="str">
        <f>'Data Vlaue (Cr)'!C18</f>
        <v>AUBANK</v>
      </c>
      <c r="B23" s="140">
        <f>VLOOKUP($A23,'Data shares'!$C:$FB,7)</f>
        <v>990.3</v>
      </c>
      <c r="C23" s="140">
        <f>VLOOKUP($A23,'Data shares'!$C:$FB,3)</f>
        <v>988.7</v>
      </c>
      <c r="D23" s="140">
        <f>VLOOKUP($A23,'Data shares'!$C:$FB,4)</f>
        <v>982.95</v>
      </c>
      <c r="E23" s="50">
        <f t="shared" si="0"/>
        <v>0.58497380334706739</v>
      </c>
      <c r="F23" s="49">
        <f>VLOOKUP($A23,'Data shares'!$C:$FB,98)</f>
        <v>37009000</v>
      </c>
      <c r="G23" s="49">
        <f>VLOOKUP($A23,'Data shares'!$C:$FB,99)</f>
        <v>35063000</v>
      </c>
      <c r="H23" s="50">
        <f t="shared" si="1"/>
        <v>5.5500099820323419</v>
      </c>
      <c r="I23" s="49">
        <f>VLOOKUP($A23,'Data shares'!$C:$FB,66)</f>
        <v>33329000</v>
      </c>
      <c r="J23" s="49">
        <f>VLOOKUP($A23,'Data shares'!$C:$FB,67)</f>
        <v>12494000</v>
      </c>
      <c r="K23" s="50">
        <f t="shared" si="2"/>
        <v>62.513126706471844</v>
      </c>
      <c r="L23" s="50">
        <f>VLOOKUP($A23,'Data shares'!$C:$FB,118)</f>
        <v>0.81</v>
      </c>
      <c r="M23" s="50">
        <f>VLOOKUP($A23,'Data shares'!$C:$FB,119)</f>
        <v>0.84</v>
      </c>
      <c r="N23" s="50">
        <f>VLOOKUP($A23,'Data shares'!$C:$FB,121)*100</f>
        <v>-3.5700000000000003</v>
      </c>
      <c r="O23" s="50">
        <f>VLOOKUP($A23,'Data shares'!$C:$FB,124)</f>
        <v>0.41</v>
      </c>
      <c r="P23" s="50">
        <f>VLOOKUP($A23,'Data shares'!$C:$FB,125)</f>
        <v>0.72</v>
      </c>
      <c r="Q23" s="50">
        <f>VLOOKUP($A23,'Data shares'!$C:$FB,127)*100</f>
        <v>-43.059999999999995</v>
      </c>
    </row>
    <row r="24" spans="1:17" x14ac:dyDescent="0.25">
      <c r="A24" s="97" t="str">
        <f>'Data Vlaue (Cr)'!C19</f>
        <v>AUROPHARMA</v>
      </c>
      <c r="B24" s="140">
        <f>VLOOKUP($A24,'Data shares'!$C:$FB,7)</f>
        <v>1193</v>
      </c>
      <c r="C24" s="140">
        <f>VLOOKUP($A24,'Data shares'!$C:$FB,3)</f>
        <v>1195.3</v>
      </c>
      <c r="D24" s="140">
        <f>VLOOKUP($A24,'Data shares'!$C:$FB,4)</f>
        <v>1180.2</v>
      </c>
      <c r="E24" s="50">
        <f t="shared" si="0"/>
        <v>1.2794441620064319</v>
      </c>
      <c r="F24" s="49">
        <f>VLOOKUP($A24,'Data shares'!$C:$FB,98)</f>
        <v>31045850</v>
      </c>
      <c r="G24" s="49">
        <f>VLOOKUP($A24,'Data shares'!$C:$FB,99)</f>
        <v>30823650</v>
      </c>
      <c r="H24" s="50">
        <f t="shared" si="1"/>
        <v>0.7208750423781739</v>
      </c>
      <c r="I24" s="49">
        <f>VLOOKUP($A24,'Data shares'!$C:$FB,66)</f>
        <v>5931750</v>
      </c>
      <c r="J24" s="49">
        <f>VLOOKUP($A24,'Data shares'!$C:$FB,67)</f>
        <v>5702950</v>
      </c>
      <c r="K24" s="50">
        <f t="shared" si="2"/>
        <v>3.8572090866944833</v>
      </c>
      <c r="L24" s="50">
        <f>VLOOKUP($A24,'Data shares'!$C:$FB,118)</f>
        <v>0.45</v>
      </c>
      <c r="M24" s="50">
        <f>VLOOKUP($A24,'Data shares'!$C:$FB,119)</f>
        <v>0.45</v>
      </c>
      <c r="N24" s="50">
        <f>VLOOKUP($A24,'Data shares'!$C:$FB,121)*100</f>
        <v>0</v>
      </c>
      <c r="O24" s="50">
        <f>VLOOKUP($A24,'Data shares'!$C:$FB,124)</f>
        <v>0.36</v>
      </c>
      <c r="P24" s="50">
        <f>VLOOKUP($A24,'Data shares'!$C:$FB,125)</f>
        <v>0.8</v>
      </c>
      <c r="Q24" s="50">
        <f>VLOOKUP($A24,'Data shares'!$C:$FB,127)*100</f>
        <v>-55.000000000000007</v>
      </c>
    </row>
    <row r="25" spans="1:17" x14ac:dyDescent="0.25">
      <c r="A25" s="97" t="str">
        <f>'Data Vlaue (Cr)'!C20</f>
        <v>AXISBANK</v>
      </c>
      <c r="B25" s="140">
        <f>VLOOKUP($A25,'Data shares'!$C:$FB,7)</f>
        <v>1224.7</v>
      </c>
      <c r="C25" s="140">
        <f>VLOOKUP($A25,'Data shares'!$C:$FB,3)</f>
        <v>1228.5999999999999</v>
      </c>
      <c r="D25" s="140">
        <f>VLOOKUP($A25,'Data shares'!$C:$FB,4)</f>
        <v>1224.4000000000001</v>
      </c>
      <c r="E25" s="50">
        <f t="shared" si="0"/>
        <v>0.3430251551780315</v>
      </c>
      <c r="F25" s="49">
        <f>VLOOKUP($A25,'Data shares'!$C:$FB,98)</f>
        <v>129960000</v>
      </c>
      <c r="G25" s="49">
        <f>VLOOKUP($A25,'Data shares'!$C:$FB,99)</f>
        <v>135171250</v>
      </c>
      <c r="H25" s="50">
        <f t="shared" si="1"/>
        <v>-3.8552946724987747</v>
      </c>
      <c r="I25" s="49">
        <f>VLOOKUP($A25,'Data shares'!$C:$FB,66)</f>
        <v>99665625</v>
      </c>
      <c r="J25" s="49">
        <f>VLOOKUP($A25,'Data shares'!$C:$FB,67)</f>
        <v>226303125</v>
      </c>
      <c r="K25" s="50">
        <f t="shared" si="2"/>
        <v>-127.06236478224062</v>
      </c>
      <c r="L25" s="50">
        <f>VLOOKUP($A25,'Data shares'!$C:$FB,118)</f>
        <v>0.44</v>
      </c>
      <c r="M25" s="50">
        <f>VLOOKUP($A25,'Data shares'!$C:$FB,119)</f>
        <v>0.45</v>
      </c>
      <c r="N25" s="50">
        <f>VLOOKUP($A25,'Data shares'!$C:$FB,121)*100</f>
        <v>-2.2200000000000002</v>
      </c>
      <c r="O25" s="50">
        <f>VLOOKUP($A25,'Data shares'!$C:$FB,124)</f>
        <v>0.66</v>
      </c>
      <c r="P25" s="50">
        <f>VLOOKUP($A25,'Data shares'!$C:$FB,125)</f>
        <v>0.8</v>
      </c>
      <c r="Q25" s="50">
        <f>VLOOKUP($A25,'Data shares'!$C:$FB,127)*100</f>
        <v>-17.5</v>
      </c>
    </row>
    <row r="26" spans="1:17" x14ac:dyDescent="0.25">
      <c r="A26" s="97" t="str">
        <f>'Data Vlaue (Cr)'!C21</f>
        <v>BAJAJ-AUTO</v>
      </c>
      <c r="B26" s="140">
        <f>VLOOKUP($A26,'Data shares'!$C:$FB,7)</f>
        <v>8895</v>
      </c>
      <c r="C26" s="140">
        <f>VLOOKUP($A26,'Data shares'!$C:$FB,3)</f>
        <v>8924.5</v>
      </c>
      <c r="D26" s="140">
        <f>VLOOKUP($A26,'Data shares'!$C:$FB,4)</f>
        <v>9026</v>
      </c>
      <c r="E26" s="50">
        <f t="shared" si="0"/>
        <v>-1.1245291380456459</v>
      </c>
      <c r="F26" s="49">
        <f>VLOOKUP($A26,'Data shares'!$C:$FB,98)</f>
        <v>6922500</v>
      </c>
      <c r="G26" s="49">
        <f>VLOOKUP($A26,'Data shares'!$C:$FB,99)</f>
        <v>6778575</v>
      </c>
      <c r="H26" s="50">
        <f t="shared" si="1"/>
        <v>2.123233865524834</v>
      </c>
      <c r="I26" s="49">
        <f>VLOOKUP($A26,'Data shares'!$C:$FB,66)</f>
        <v>4221675</v>
      </c>
      <c r="J26" s="49">
        <f>VLOOKUP($A26,'Data shares'!$C:$FB,67)</f>
        <v>3321000</v>
      </c>
      <c r="K26" s="50">
        <f t="shared" si="2"/>
        <v>21.334541384639984</v>
      </c>
      <c r="L26" s="50">
        <f>VLOOKUP($A26,'Data shares'!$C:$FB,118)</f>
        <v>0.53</v>
      </c>
      <c r="M26" s="50">
        <f>VLOOKUP($A26,'Data shares'!$C:$FB,119)</f>
        <v>0.55000000000000004</v>
      </c>
      <c r="N26" s="50">
        <f>VLOOKUP($A26,'Data shares'!$C:$FB,121)*100</f>
        <v>-3.64</v>
      </c>
      <c r="O26" s="50">
        <f>VLOOKUP($A26,'Data shares'!$C:$FB,124)</f>
        <v>0.73</v>
      </c>
      <c r="P26" s="50">
        <f>VLOOKUP($A26,'Data shares'!$C:$FB,125)</f>
        <v>0.45</v>
      </c>
      <c r="Q26" s="50">
        <f>VLOOKUP($A26,'Data shares'!$C:$FB,127)*100</f>
        <v>62.22</v>
      </c>
    </row>
    <row r="27" spans="1:17" x14ac:dyDescent="0.25">
      <c r="A27" s="97" t="str">
        <f>'Data Vlaue (Cr)'!C22</f>
        <v>BAJAJFINSV</v>
      </c>
      <c r="B27" s="140">
        <f>VLOOKUP($A27,'Data shares'!$C:$FB,7)</f>
        <v>2021.2</v>
      </c>
      <c r="C27" s="140">
        <f>VLOOKUP($A27,'Data shares'!$C:$FB,3)</f>
        <v>2025.9</v>
      </c>
      <c r="D27" s="140">
        <f>VLOOKUP($A27,'Data shares'!$C:$FB,4)</f>
        <v>2039.8</v>
      </c>
      <c r="E27" s="50">
        <f t="shared" si="0"/>
        <v>-0.6814393567996796</v>
      </c>
      <c r="F27" s="49">
        <f>VLOOKUP($A27,'Data shares'!$C:$FB,98)</f>
        <v>27803750</v>
      </c>
      <c r="G27" s="49">
        <f>VLOOKUP($A27,'Data shares'!$C:$FB,99)</f>
        <v>27468250</v>
      </c>
      <c r="H27" s="50">
        <f t="shared" si="1"/>
        <v>1.2214101735640239</v>
      </c>
      <c r="I27" s="49">
        <f>VLOOKUP($A27,'Data shares'!$C:$FB,66)</f>
        <v>8635750</v>
      </c>
      <c r="J27" s="49">
        <f>VLOOKUP($A27,'Data shares'!$C:$FB,67)</f>
        <v>8110500</v>
      </c>
      <c r="K27" s="50">
        <f t="shared" si="2"/>
        <v>6.0822742668558032</v>
      </c>
      <c r="L27" s="50">
        <f>VLOOKUP($A27,'Data shares'!$C:$FB,118)</f>
        <v>0.65</v>
      </c>
      <c r="M27" s="50">
        <f>VLOOKUP($A27,'Data shares'!$C:$FB,119)</f>
        <v>0.71</v>
      </c>
      <c r="N27" s="50">
        <f>VLOOKUP($A27,'Data shares'!$C:$FB,121)*100</f>
        <v>-8.4500000000000011</v>
      </c>
      <c r="O27" s="50">
        <f>VLOOKUP($A27,'Data shares'!$C:$FB,124)</f>
        <v>0.67</v>
      </c>
      <c r="P27" s="50">
        <f>VLOOKUP($A27,'Data shares'!$C:$FB,125)</f>
        <v>0.64</v>
      </c>
      <c r="Q27" s="50">
        <f>VLOOKUP($A27,'Data shares'!$C:$FB,127)*100</f>
        <v>4.6899999999999995</v>
      </c>
    </row>
    <row r="28" spans="1:17" x14ac:dyDescent="0.25">
      <c r="A28" s="97" t="str">
        <f>'Data Vlaue (Cr)'!C23</f>
        <v>BAJFINANCE</v>
      </c>
      <c r="B28" s="140">
        <f>VLOOKUP($A28,'Data shares'!$C:$FB,7)</f>
        <v>999.6</v>
      </c>
      <c r="C28" s="140">
        <f>VLOOKUP($A28,'Data shares'!$C:$FB,3)</f>
        <v>1003.1</v>
      </c>
      <c r="D28" s="140">
        <f>VLOOKUP($A28,'Data shares'!$C:$FB,4)</f>
        <v>1001.1</v>
      </c>
      <c r="E28" s="50">
        <f t="shared" si="0"/>
        <v>0.19978024173409248</v>
      </c>
      <c r="F28" s="49">
        <f>VLOOKUP($A28,'Data shares'!$C:$FB,98)</f>
        <v>139824750</v>
      </c>
      <c r="G28" s="49">
        <f>VLOOKUP($A28,'Data shares'!$C:$FB,99)</f>
        <v>139645500</v>
      </c>
      <c r="H28" s="50">
        <f t="shared" si="1"/>
        <v>0.12836074202176223</v>
      </c>
      <c r="I28" s="49">
        <f>VLOOKUP($A28,'Data shares'!$C:$FB,66)</f>
        <v>47657250</v>
      </c>
      <c r="J28" s="49">
        <f>VLOOKUP($A28,'Data shares'!$C:$FB,67)</f>
        <v>38676750</v>
      </c>
      <c r="K28" s="50">
        <f t="shared" si="2"/>
        <v>18.843932455187826</v>
      </c>
      <c r="L28" s="50">
        <f>VLOOKUP($A28,'Data shares'!$C:$FB,118)</f>
        <v>0.59</v>
      </c>
      <c r="M28" s="50">
        <f>VLOOKUP($A28,'Data shares'!$C:$FB,119)</f>
        <v>0.57999999999999996</v>
      </c>
      <c r="N28" s="50">
        <f>VLOOKUP($A28,'Data shares'!$C:$FB,121)*100</f>
        <v>1.72</v>
      </c>
      <c r="O28" s="50">
        <f>VLOOKUP($A28,'Data shares'!$C:$FB,124)</f>
        <v>0.47</v>
      </c>
      <c r="P28" s="50">
        <f>VLOOKUP($A28,'Data shares'!$C:$FB,125)</f>
        <v>0.46</v>
      </c>
      <c r="Q28" s="50">
        <f>VLOOKUP($A28,'Data shares'!$C:$FB,127)*100</f>
        <v>2.17</v>
      </c>
    </row>
    <row r="29" spans="1:17" x14ac:dyDescent="0.25">
      <c r="A29" s="97" t="str">
        <f>'Data Vlaue (Cr)'!C24</f>
        <v>BANDHANBNK</v>
      </c>
      <c r="B29" s="140">
        <f>VLOOKUP($A29,'Data shares'!$C:$FB,7)</f>
        <v>147.84</v>
      </c>
      <c r="C29" s="140">
        <f>VLOOKUP($A29,'Data shares'!$C:$FB,3)</f>
        <v>148.63</v>
      </c>
      <c r="D29" s="140">
        <f>VLOOKUP($A29,'Data shares'!$C:$FB,4)</f>
        <v>149.84</v>
      </c>
      <c r="E29" s="50">
        <f t="shared" si="0"/>
        <v>-0.80752802989856376</v>
      </c>
      <c r="F29" s="49">
        <f>VLOOKUP($A29,'Data shares'!$C:$FB,98)</f>
        <v>183423600</v>
      </c>
      <c r="G29" s="49">
        <f>VLOOKUP($A29,'Data shares'!$C:$FB,99)</f>
        <v>183834000</v>
      </c>
      <c r="H29" s="50">
        <f t="shared" si="1"/>
        <v>-0.22324488397140901</v>
      </c>
      <c r="I29" s="49">
        <f>VLOOKUP($A29,'Data shares'!$C:$FB,66)</f>
        <v>2296800</v>
      </c>
      <c r="J29" s="49">
        <f>VLOOKUP($A29,'Data shares'!$C:$FB,67)</f>
        <v>1256400</v>
      </c>
      <c r="K29" s="50">
        <f t="shared" si="2"/>
        <v>45.297805642633229</v>
      </c>
      <c r="L29" s="50">
        <f>VLOOKUP($A29,'Data shares'!$C:$FB,118)</f>
        <v>0.67</v>
      </c>
      <c r="M29" s="50">
        <f>VLOOKUP($A29,'Data shares'!$C:$FB,119)</f>
        <v>0.67</v>
      </c>
      <c r="N29" s="50">
        <f>VLOOKUP($A29,'Data shares'!$C:$FB,121)*100</f>
        <v>0</v>
      </c>
      <c r="O29" s="50">
        <f>VLOOKUP($A29,'Data shares'!$C:$FB,124)</f>
        <v>0.16</v>
      </c>
      <c r="P29" s="50">
        <f>VLOOKUP($A29,'Data shares'!$C:$FB,125)</f>
        <v>0.32</v>
      </c>
      <c r="Q29" s="50">
        <f>VLOOKUP($A29,'Data shares'!$C:$FB,127)*100</f>
        <v>-50</v>
      </c>
    </row>
    <row r="30" spans="1:17" x14ac:dyDescent="0.25">
      <c r="A30" s="97" t="str">
        <f>'Data Vlaue (Cr)'!C25</f>
        <v>BANKBARODA</v>
      </c>
      <c r="B30" s="176">
        <f>VLOOKUP($A30,'Data shares'!$C:$FB,7)</f>
        <v>287.60000000000002</v>
      </c>
      <c r="C30" s="176">
        <f>VLOOKUP($A30,'Data shares'!$C:$FB,3)</f>
        <v>288.14999999999998</v>
      </c>
      <c r="D30" s="176">
        <f>VLOOKUP($A30,'Data shares'!$C:$FB,4)</f>
        <v>283.39999999999998</v>
      </c>
      <c r="E30" s="50">
        <f t="shared" si="0"/>
        <v>1.6760762173606212</v>
      </c>
      <c r="F30" s="49">
        <f>VLOOKUP($A30,'Data shares'!$C:$FB,98)</f>
        <v>178343100</v>
      </c>
      <c r="G30" s="49">
        <f>VLOOKUP($A30,'Data shares'!$C:$FB,99)</f>
        <v>182508300</v>
      </c>
      <c r="H30" s="50">
        <f t="shared" si="1"/>
        <v>-2.2821975767677416</v>
      </c>
      <c r="I30" s="49">
        <f>VLOOKUP($A30,'Data shares'!$C:$FB,66)</f>
        <v>122265000</v>
      </c>
      <c r="J30" s="49">
        <f>VLOOKUP($A30,'Data shares'!$C:$FB,67)</f>
        <v>73402875</v>
      </c>
      <c r="K30" s="50">
        <f t="shared" si="2"/>
        <v>39.964114832535884</v>
      </c>
      <c r="L30" s="50">
        <f>VLOOKUP($A30,'Data shares'!$C:$FB,118)</f>
        <v>0.79</v>
      </c>
      <c r="M30" s="50">
        <f>VLOOKUP($A30,'Data shares'!$C:$FB,119)</f>
        <v>0.74</v>
      </c>
      <c r="N30" s="50">
        <f>VLOOKUP($A30,'Data shares'!$C:$FB,121)*100</f>
        <v>6.76</v>
      </c>
      <c r="O30" s="50">
        <f>VLOOKUP($A30,'Data shares'!$C:$FB,124)</f>
        <v>0.52</v>
      </c>
      <c r="P30" s="50">
        <f>VLOOKUP($A30,'Data shares'!$C:$FB,125)</f>
        <v>0.43</v>
      </c>
      <c r="Q30" s="50">
        <f>VLOOKUP($A30,'Data shares'!$C:$FB,127)*100</f>
        <v>20.93</v>
      </c>
    </row>
    <row r="31" spans="1:17" x14ac:dyDescent="0.25">
      <c r="A31" s="97" t="str">
        <f>'Data Vlaue (Cr)'!C26</f>
        <v>BANKINDIA</v>
      </c>
      <c r="B31" s="140">
        <f>VLOOKUP($A31,'Data shares'!$C:$FB,7)</f>
        <v>141.96</v>
      </c>
      <c r="C31" s="140">
        <f>VLOOKUP($A31,'Data shares'!$C:$FB,3)</f>
        <v>142.44</v>
      </c>
      <c r="D31" s="140">
        <f>VLOOKUP($A31,'Data shares'!$C:$FB,4)</f>
        <v>140.01</v>
      </c>
      <c r="E31" s="50">
        <f t="shared" si="0"/>
        <v>1.7355903149775067</v>
      </c>
      <c r="F31" s="49">
        <f>VLOOKUP($A31,'Data shares'!$C:$FB,98)</f>
        <v>97723600</v>
      </c>
      <c r="G31" s="49">
        <f>VLOOKUP($A31,'Data shares'!$C:$FB,99)</f>
        <v>96272800</v>
      </c>
      <c r="H31" s="50">
        <f t="shared" si="1"/>
        <v>1.5069677001188289</v>
      </c>
      <c r="I31" s="49">
        <f>VLOOKUP($A31,'Data shares'!$C:$FB,66)</f>
        <v>56893200</v>
      </c>
      <c r="J31" s="49">
        <f>VLOOKUP($A31,'Data shares'!$C:$FB,67)</f>
        <v>19505200</v>
      </c>
      <c r="K31" s="50">
        <f t="shared" si="2"/>
        <v>65.716113700758612</v>
      </c>
      <c r="L31" s="50">
        <f>VLOOKUP($A31,'Data shares'!$C:$FB,118)</f>
        <v>0.72</v>
      </c>
      <c r="M31" s="50">
        <f>VLOOKUP($A31,'Data shares'!$C:$FB,119)</f>
        <v>0.73</v>
      </c>
      <c r="N31" s="50">
        <f>VLOOKUP($A31,'Data shares'!$C:$FB,121)*100</f>
        <v>-1.37</v>
      </c>
      <c r="O31" s="50">
        <f>VLOOKUP($A31,'Data shares'!$C:$FB,124)</f>
        <v>0.36</v>
      </c>
      <c r="P31" s="50">
        <f>VLOOKUP($A31,'Data shares'!$C:$FB,125)</f>
        <v>0.31</v>
      </c>
      <c r="Q31" s="50">
        <f>VLOOKUP($A31,'Data shares'!$C:$FB,127)*100</f>
        <v>16.13</v>
      </c>
    </row>
    <row r="32" spans="1:17" x14ac:dyDescent="0.25">
      <c r="A32" s="97" t="str">
        <f>'Data Vlaue (Cr)'!C27</f>
        <v>BANKNIFTY</v>
      </c>
      <c r="B32" s="140">
        <f>VLOOKUP($A32,'Data shares'!$C:$FB,7)</f>
        <v>58926.75</v>
      </c>
      <c r="C32" s="140">
        <f>VLOOKUP($A32,'Data shares'!$C:$FB,3)</f>
        <v>59146.8</v>
      </c>
      <c r="D32" s="140">
        <f>VLOOKUP($A32,'Data shares'!$C:$FB,4)</f>
        <v>59287.8</v>
      </c>
      <c r="E32" s="50">
        <f t="shared" si="0"/>
        <v>-0.23782295851760396</v>
      </c>
      <c r="F32" s="49">
        <f>VLOOKUP($A32,'Data shares'!$C:$FB,98)</f>
        <v>41846525</v>
      </c>
      <c r="G32" s="49">
        <f>VLOOKUP($A32,'Data shares'!$C:$FB,99)</f>
        <v>40894160</v>
      </c>
      <c r="H32" s="50">
        <f t="shared" si="1"/>
        <v>2.3288533130402973</v>
      </c>
      <c r="I32" s="49">
        <f>VLOOKUP($A32,'Data shares'!$C:$FB,66)</f>
        <v>98172585</v>
      </c>
      <c r="J32" s="49">
        <f>VLOOKUP($A32,'Data shares'!$C:$FB,67)</f>
        <v>89968060</v>
      </c>
      <c r="K32" s="50">
        <f t="shared" si="2"/>
        <v>8.3572465775450446</v>
      </c>
      <c r="L32" s="50">
        <f>VLOOKUP($A32,'Data shares'!$C:$FB,118)</f>
        <v>0.75</v>
      </c>
      <c r="M32" s="50">
        <f>VLOOKUP($A32,'Data shares'!$C:$FB,119)</f>
        <v>0.77</v>
      </c>
      <c r="N32" s="50">
        <f>VLOOKUP($A32,'Data shares'!$C:$FB,121)*100</f>
        <v>-2.6</v>
      </c>
      <c r="O32" s="50">
        <f>VLOOKUP($A32,'Data shares'!$C:$FB,124)</f>
        <v>0.96</v>
      </c>
      <c r="P32" s="50">
        <f>VLOOKUP($A32,'Data shares'!$C:$FB,125)</f>
        <v>0.95</v>
      </c>
      <c r="Q32" s="50">
        <f>VLOOKUP($A32,'Data shares'!$C:$FB,127)*100</f>
        <v>1.05</v>
      </c>
    </row>
    <row r="33" spans="1:17" x14ac:dyDescent="0.25">
      <c r="A33" s="97" t="str">
        <f>'Data Vlaue (Cr)'!C28</f>
        <v>BDL</v>
      </c>
      <c r="B33" s="140">
        <f>VLOOKUP($A33,'Data shares'!$C:$FB,7)</f>
        <v>1324.3</v>
      </c>
      <c r="C33" s="140">
        <f>VLOOKUP($A33,'Data shares'!$C:$FB,3)</f>
        <v>1328</v>
      </c>
      <c r="D33" s="140">
        <f>VLOOKUP($A33,'Data shares'!$C:$FB,4)</f>
        <v>1356</v>
      </c>
      <c r="E33" s="50">
        <f t="shared" si="0"/>
        <v>-2.0648967551622417</v>
      </c>
      <c r="F33" s="49">
        <f>VLOOKUP($A33,'Data shares'!$C:$FB,98)</f>
        <v>15250650</v>
      </c>
      <c r="G33" s="49">
        <f>VLOOKUP($A33,'Data shares'!$C:$FB,99)</f>
        <v>14605300</v>
      </c>
      <c r="H33" s="50">
        <f t="shared" si="1"/>
        <v>4.4186014665908946</v>
      </c>
      <c r="I33" s="49">
        <f>VLOOKUP($A33,'Data shares'!$C:$FB,66)</f>
        <v>17512625</v>
      </c>
      <c r="J33" s="49">
        <f>VLOOKUP($A33,'Data shares'!$C:$FB,67)</f>
        <v>17481750</v>
      </c>
      <c r="K33" s="50">
        <f t="shared" si="2"/>
        <v>0.17630138257400019</v>
      </c>
      <c r="L33" s="50">
        <f>VLOOKUP($A33,'Data shares'!$C:$FB,118)</f>
        <v>0.4</v>
      </c>
      <c r="M33" s="50">
        <f>VLOOKUP($A33,'Data shares'!$C:$FB,119)</f>
        <v>0.41</v>
      </c>
      <c r="N33" s="50">
        <f>VLOOKUP($A33,'Data shares'!$C:$FB,121)*100</f>
        <v>-2.44</v>
      </c>
      <c r="O33" s="50">
        <f>VLOOKUP($A33,'Data shares'!$C:$FB,124)</f>
        <v>0.63</v>
      </c>
      <c r="P33" s="50">
        <f>VLOOKUP($A33,'Data shares'!$C:$FB,125)</f>
        <v>0.64</v>
      </c>
      <c r="Q33" s="50">
        <f>VLOOKUP($A33,'Data shares'!$C:$FB,127)*100</f>
        <v>-1.5599999999999998</v>
      </c>
    </row>
    <row r="34" spans="1:17" x14ac:dyDescent="0.25">
      <c r="A34" s="97" t="str">
        <f>'Data Vlaue (Cr)'!C29</f>
        <v>BEL</v>
      </c>
      <c r="B34" s="140">
        <f>VLOOKUP($A34,'Data shares'!$C:$FB,7)</f>
        <v>385.6</v>
      </c>
      <c r="C34" s="140">
        <f>VLOOKUP($A34,'Data shares'!$C:$FB,3)</f>
        <v>386.85</v>
      </c>
      <c r="D34" s="140">
        <f>VLOOKUP($A34,'Data shares'!$C:$FB,4)</f>
        <v>388.7</v>
      </c>
      <c r="E34" s="50">
        <f t="shared" si="0"/>
        <v>-0.47594545922304243</v>
      </c>
      <c r="F34" s="49">
        <f>VLOOKUP($A34,'Data shares'!$C:$FB,98)</f>
        <v>258319725</v>
      </c>
      <c r="G34" s="49">
        <f>VLOOKUP($A34,'Data shares'!$C:$FB,99)</f>
        <v>257668500</v>
      </c>
      <c r="H34" s="50">
        <f t="shared" si="1"/>
        <v>0.25273752903439883</v>
      </c>
      <c r="I34" s="49">
        <f>VLOOKUP($A34,'Data shares'!$C:$FB,66)</f>
        <v>105411525</v>
      </c>
      <c r="J34" s="49">
        <f>VLOOKUP($A34,'Data shares'!$C:$FB,67)</f>
        <v>114396150</v>
      </c>
      <c r="K34" s="50">
        <f t="shared" si="2"/>
        <v>-8.5233801522177011</v>
      </c>
      <c r="L34" s="50">
        <f>VLOOKUP($A34,'Data shares'!$C:$FB,118)</f>
        <v>0.46</v>
      </c>
      <c r="M34" s="50">
        <f>VLOOKUP($A34,'Data shares'!$C:$FB,119)</f>
        <v>0.46</v>
      </c>
      <c r="N34" s="50">
        <f>VLOOKUP($A34,'Data shares'!$C:$FB,121)*100</f>
        <v>0</v>
      </c>
      <c r="O34" s="50">
        <f>VLOOKUP($A34,'Data shares'!$C:$FB,124)</f>
        <v>0.39</v>
      </c>
      <c r="P34" s="50">
        <f>VLOOKUP($A34,'Data shares'!$C:$FB,125)</f>
        <v>0.43</v>
      </c>
      <c r="Q34" s="50">
        <f>VLOOKUP($A34,'Data shares'!$C:$FB,127)*100</f>
        <v>-9.3000000000000007</v>
      </c>
    </row>
    <row r="35" spans="1:17" x14ac:dyDescent="0.25">
      <c r="A35" s="97" t="str">
        <f>'Data Vlaue (Cr)'!C30</f>
        <v>BHARATFORG</v>
      </c>
      <c r="B35" s="140">
        <f>VLOOKUP($A35,'Data shares'!$C:$FB,7)</f>
        <v>1413.3</v>
      </c>
      <c r="C35" s="140">
        <f>VLOOKUP($A35,'Data shares'!$C:$FB,3)</f>
        <v>1417.3</v>
      </c>
      <c r="D35" s="140">
        <f>VLOOKUP($A35,'Data shares'!$C:$FB,4)</f>
        <v>1419.4</v>
      </c>
      <c r="E35" s="50">
        <f t="shared" si="0"/>
        <v>-0.14794983795971089</v>
      </c>
      <c r="F35" s="49">
        <f>VLOOKUP($A35,'Data shares'!$C:$FB,98)</f>
        <v>13774000</v>
      </c>
      <c r="G35" s="49">
        <f>VLOOKUP($A35,'Data shares'!$C:$FB,99)</f>
        <v>13541000</v>
      </c>
      <c r="H35" s="50">
        <f t="shared" si="1"/>
        <v>1.7207000960047263</v>
      </c>
      <c r="I35" s="49">
        <f>VLOOKUP($A35,'Data shares'!$C:$FB,66)</f>
        <v>6660000</v>
      </c>
      <c r="J35" s="49">
        <f>VLOOKUP($A35,'Data shares'!$C:$FB,67)</f>
        <v>8554000</v>
      </c>
      <c r="K35" s="50">
        <f t="shared" si="2"/>
        <v>-28.438438438438439</v>
      </c>
      <c r="L35" s="50">
        <f>VLOOKUP($A35,'Data shares'!$C:$FB,118)</f>
        <v>0.62</v>
      </c>
      <c r="M35" s="50">
        <f>VLOOKUP($A35,'Data shares'!$C:$FB,119)</f>
        <v>0.62</v>
      </c>
      <c r="N35" s="50">
        <f>VLOOKUP($A35,'Data shares'!$C:$FB,121)*100</f>
        <v>0</v>
      </c>
      <c r="O35" s="50">
        <f>VLOOKUP($A35,'Data shares'!$C:$FB,124)</f>
        <v>0.44</v>
      </c>
      <c r="P35" s="50">
        <f>VLOOKUP($A35,'Data shares'!$C:$FB,125)</f>
        <v>0.36</v>
      </c>
      <c r="Q35" s="50">
        <f>VLOOKUP($A35,'Data shares'!$C:$FB,127)*100</f>
        <v>22.220000000000002</v>
      </c>
    </row>
    <row r="36" spans="1:17" x14ac:dyDescent="0.25">
      <c r="A36" s="97" t="str">
        <f>'Data Vlaue (Cr)'!C31</f>
        <v>BHARTIARTL</v>
      </c>
      <c r="B36" s="140">
        <f>VLOOKUP($A36,'Data shares'!$C:$FB,7)</f>
        <v>2108</v>
      </c>
      <c r="C36" s="140">
        <f>VLOOKUP($A36,'Data shares'!$C:$FB,3)</f>
        <v>2109.1</v>
      </c>
      <c r="D36" s="140">
        <f>VLOOKUP($A36,'Data shares'!$C:$FB,4)</f>
        <v>2105</v>
      </c>
      <c r="E36" s="50">
        <f t="shared" si="0"/>
        <v>0.19477434679334485</v>
      </c>
      <c r="F36" s="49">
        <f>VLOOKUP($A36,'Data shares'!$C:$FB,98)</f>
        <v>75420500</v>
      </c>
      <c r="G36" s="49">
        <f>VLOOKUP($A36,'Data shares'!$C:$FB,99)</f>
        <v>76841700</v>
      </c>
      <c r="H36" s="50">
        <f t="shared" si="1"/>
        <v>-1.8495166036149642</v>
      </c>
      <c r="I36" s="49">
        <f>VLOOKUP($A36,'Data shares'!$C:$FB,66)</f>
        <v>37221950</v>
      </c>
      <c r="J36" s="49">
        <f>VLOOKUP($A36,'Data shares'!$C:$FB,67)</f>
        <v>65665900</v>
      </c>
      <c r="K36" s="50">
        <f t="shared" si="2"/>
        <v>-76.417140961180166</v>
      </c>
      <c r="L36" s="50">
        <f>VLOOKUP($A36,'Data shares'!$C:$FB,118)</f>
        <v>0.5</v>
      </c>
      <c r="M36" s="50">
        <f>VLOOKUP($A36,'Data shares'!$C:$FB,119)</f>
        <v>0.49</v>
      </c>
      <c r="N36" s="50">
        <f>VLOOKUP($A36,'Data shares'!$C:$FB,121)*100</f>
        <v>2.04</v>
      </c>
      <c r="O36" s="50">
        <f>VLOOKUP($A36,'Data shares'!$C:$FB,124)</f>
        <v>0.51</v>
      </c>
      <c r="P36" s="50">
        <f>VLOOKUP($A36,'Data shares'!$C:$FB,125)</f>
        <v>0.43</v>
      </c>
      <c r="Q36" s="50">
        <f>VLOOKUP($A36,'Data shares'!$C:$FB,127)*100</f>
        <v>18.600000000000001</v>
      </c>
    </row>
    <row r="37" spans="1:17" x14ac:dyDescent="0.25">
      <c r="A37" s="97" t="str">
        <f>'Data Vlaue (Cr)'!C32</f>
        <v>BHEL</v>
      </c>
      <c r="B37" s="140">
        <f>VLOOKUP($A37,'Data shares'!$C:$FB,7)</f>
        <v>277.85000000000002</v>
      </c>
      <c r="C37" s="140">
        <f>VLOOKUP($A37,'Data shares'!$C:$FB,3)</f>
        <v>278.75</v>
      </c>
      <c r="D37" s="140">
        <f>VLOOKUP($A37,'Data shares'!$C:$FB,4)</f>
        <v>280.14999999999998</v>
      </c>
      <c r="E37" s="50">
        <f t="shared" si="0"/>
        <v>-0.49973228627520166</v>
      </c>
      <c r="F37" s="49">
        <f>VLOOKUP($A37,'Data shares'!$C:$FB,98)</f>
        <v>140697375</v>
      </c>
      <c r="G37" s="49">
        <f>VLOOKUP($A37,'Data shares'!$C:$FB,99)</f>
        <v>138810000</v>
      </c>
      <c r="H37" s="50">
        <f t="shared" si="1"/>
        <v>1.3596822995461422</v>
      </c>
      <c r="I37" s="49">
        <f>VLOOKUP($A37,'Data shares'!$C:$FB,66)</f>
        <v>60705750</v>
      </c>
      <c r="J37" s="49">
        <f>VLOOKUP($A37,'Data shares'!$C:$FB,67)</f>
        <v>80666250</v>
      </c>
      <c r="K37" s="50">
        <f t="shared" si="2"/>
        <v>-32.880740292311685</v>
      </c>
      <c r="L37" s="50">
        <f>VLOOKUP($A37,'Data shares'!$C:$FB,118)</f>
        <v>0.48</v>
      </c>
      <c r="M37" s="50">
        <f>VLOOKUP($A37,'Data shares'!$C:$FB,119)</f>
        <v>0.5</v>
      </c>
      <c r="N37" s="50">
        <f>VLOOKUP($A37,'Data shares'!$C:$FB,121)*100</f>
        <v>-4</v>
      </c>
      <c r="O37" s="50">
        <f>VLOOKUP($A37,'Data shares'!$C:$FB,124)</f>
        <v>0.32</v>
      </c>
      <c r="P37" s="50">
        <f>VLOOKUP($A37,'Data shares'!$C:$FB,125)</f>
        <v>0.47</v>
      </c>
      <c r="Q37" s="50">
        <f>VLOOKUP($A37,'Data shares'!$C:$FB,127)*100</f>
        <v>-31.91</v>
      </c>
    </row>
    <row r="38" spans="1:17" x14ac:dyDescent="0.25">
      <c r="A38" s="97" t="str">
        <f>'Data Vlaue (Cr)'!C33</f>
        <v>BIOCON</v>
      </c>
      <c r="B38" s="140">
        <f>VLOOKUP($A38,'Data shares'!$C:$FB,7)</f>
        <v>386.1</v>
      </c>
      <c r="C38" s="140">
        <f>VLOOKUP($A38,'Data shares'!$C:$FB,3)</f>
        <v>386.85</v>
      </c>
      <c r="D38" s="140">
        <f>VLOOKUP($A38,'Data shares'!$C:$FB,4)</f>
        <v>386.4</v>
      </c>
      <c r="E38" s="50">
        <f t="shared" si="0"/>
        <v>0.11645962732920433</v>
      </c>
      <c r="F38" s="49">
        <f>VLOOKUP($A38,'Data shares'!$C:$FB,98)</f>
        <v>98232500</v>
      </c>
      <c r="G38" s="49">
        <f>VLOOKUP($A38,'Data shares'!$C:$FB,99)</f>
        <v>99485000</v>
      </c>
      <c r="H38" s="50">
        <f t="shared" si="1"/>
        <v>-1.2589837663969443</v>
      </c>
      <c r="I38" s="49">
        <f>VLOOKUP($A38,'Data shares'!$C:$FB,66)</f>
        <v>28362500</v>
      </c>
      <c r="J38" s="49">
        <f>VLOOKUP($A38,'Data shares'!$C:$FB,67)</f>
        <v>25147500</v>
      </c>
      <c r="K38" s="50">
        <f t="shared" si="2"/>
        <v>11.335390039665052</v>
      </c>
      <c r="L38" s="50">
        <f>VLOOKUP($A38,'Data shares'!$C:$FB,118)</f>
        <v>0.51</v>
      </c>
      <c r="M38" s="50">
        <f>VLOOKUP($A38,'Data shares'!$C:$FB,119)</f>
        <v>0.5</v>
      </c>
      <c r="N38" s="50">
        <f>VLOOKUP($A38,'Data shares'!$C:$FB,121)*100</f>
        <v>2</v>
      </c>
      <c r="O38" s="50">
        <f>VLOOKUP($A38,'Data shares'!$C:$FB,124)</f>
        <v>0.34</v>
      </c>
      <c r="P38" s="50">
        <f>VLOOKUP($A38,'Data shares'!$C:$FB,125)</f>
        <v>0.36</v>
      </c>
      <c r="Q38" s="50">
        <f>VLOOKUP($A38,'Data shares'!$C:$FB,127)*100</f>
        <v>-5.56</v>
      </c>
    </row>
    <row r="39" spans="1:17" x14ac:dyDescent="0.25">
      <c r="A39" s="97" t="str">
        <f>'Data Vlaue (Cr)'!C34</f>
        <v>BLUESTARCO</v>
      </c>
      <c r="B39" s="140">
        <f>VLOOKUP($A39,'Data shares'!$C:$FB,7)</f>
        <v>1826.8</v>
      </c>
      <c r="C39" s="140">
        <f>VLOOKUP($A39,'Data shares'!$C:$FB,3)</f>
        <v>1825.9</v>
      </c>
      <c r="D39" s="140">
        <f>VLOOKUP($A39,'Data shares'!$C:$FB,4)</f>
        <v>1822</v>
      </c>
      <c r="E39" s="50">
        <f t="shared" si="0"/>
        <v>0.21405049396268336</v>
      </c>
      <c r="F39" s="49">
        <f>VLOOKUP($A39,'Data shares'!$C:$FB,98)</f>
        <v>3654625</v>
      </c>
      <c r="G39" s="49">
        <f>VLOOKUP($A39,'Data shares'!$C:$FB,99)</f>
        <v>3406325</v>
      </c>
      <c r="H39" s="50">
        <f t="shared" si="1"/>
        <v>7.2893807842763101</v>
      </c>
      <c r="I39" s="49">
        <f>VLOOKUP($A39,'Data shares'!$C:$FB,66)</f>
        <v>1531075</v>
      </c>
      <c r="J39" s="49">
        <f>VLOOKUP($A39,'Data shares'!$C:$FB,67)</f>
        <v>1391975</v>
      </c>
      <c r="K39" s="50">
        <f t="shared" si="2"/>
        <v>9.0851199320738694</v>
      </c>
      <c r="L39" s="50">
        <f>VLOOKUP($A39,'Data shares'!$C:$FB,118)</f>
        <v>0.7</v>
      </c>
      <c r="M39" s="50">
        <f>VLOOKUP($A39,'Data shares'!$C:$FB,119)</f>
        <v>0.79</v>
      </c>
      <c r="N39" s="50">
        <f>VLOOKUP($A39,'Data shares'!$C:$FB,121)*100</f>
        <v>-11.39</v>
      </c>
      <c r="O39" s="50">
        <f>VLOOKUP($A39,'Data shares'!$C:$FB,124)</f>
        <v>0.23</v>
      </c>
      <c r="P39" s="50">
        <f>VLOOKUP($A39,'Data shares'!$C:$FB,125)</f>
        <v>0.42</v>
      </c>
      <c r="Q39" s="50">
        <f>VLOOKUP($A39,'Data shares'!$C:$FB,127)*100</f>
        <v>-45.24</v>
      </c>
    </row>
    <row r="40" spans="1:17" x14ac:dyDescent="0.25">
      <c r="A40" s="97" t="str">
        <f>'Data Vlaue (Cr)'!C35</f>
        <v>BOSCHLTD</v>
      </c>
      <c r="B40" s="140">
        <f>VLOOKUP($A40,'Data shares'!$C:$FB,7)</f>
        <v>35975</v>
      </c>
      <c r="C40" s="140">
        <f>VLOOKUP($A40,'Data shares'!$C:$FB,3)</f>
        <v>36045</v>
      </c>
      <c r="D40" s="140">
        <f>VLOOKUP($A40,'Data shares'!$C:$FB,4)</f>
        <v>36295</v>
      </c>
      <c r="E40" s="50">
        <f t="shared" si="0"/>
        <v>-0.68880011020801768</v>
      </c>
      <c r="F40" s="49">
        <f>VLOOKUP($A40,'Data shares'!$C:$FB,98)</f>
        <v>343525</v>
      </c>
      <c r="G40" s="49">
        <f>VLOOKUP($A40,'Data shares'!$C:$FB,99)</f>
        <v>332200</v>
      </c>
      <c r="H40" s="50">
        <f t="shared" si="1"/>
        <v>3.4090909090909087</v>
      </c>
      <c r="I40" s="49">
        <f>VLOOKUP($A40,'Data shares'!$C:$FB,66)</f>
        <v>182375</v>
      </c>
      <c r="J40" s="49">
        <f>VLOOKUP($A40,'Data shares'!$C:$FB,67)</f>
        <v>118300</v>
      </c>
      <c r="K40" s="50">
        <f t="shared" si="2"/>
        <v>35.133653187114462</v>
      </c>
      <c r="L40" s="50">
        <f>VLOOKUP($A40,'Data shares'!$C:$FB,118)</f>
        <v>0.48</v>
      </c>
      <c r="M40" s="50">
        <f>VLOOKUP($A40,'Data shares'!$C:$FB,119)</f>
        <v>0.52</v>
      </c>
      <c r="N40" s="50">
        <f>VLOOKUP($A40,'Data shares'!$C:$FB,121)*100</f>
        <v>-7.6899999999999995</v>
      </c>
      <c r="O40" s="50">
        <f>VLOOKUP($A40,'Data shares'!$C:$FB,124)</f>
        <v>0.15</v>
      </c>
      <c r="P40" s="50">
        <f>VLOOKUP($A40,'Data shares'!$C:$FB,125)</f>
        <v>0.38</v>
      </c>
      <c r="Q40" s="50">
        <f>VLOOKUP($A40,'Data shares'!$C:$FB,127)*100</f>
        <v>-60.529999999999994</v>
      </c>
    </row>
    <row r="41" spans="1:17" x14ac:dyDescent="0.25">
      <c r="A41" s="97" t="str">
        <f>'Data Vlaue (Cr)'!C36</f>
        <v>BPCL</v>
      </c>
      <c r="B41" s="140">
        <f>VLOOKUP($A41,'Data shares'!$C:$FB,7)</f>
        <v>368.35</v>
      </c>
      <c r="C41" s="140">
        <f>VLOOKUP($A41,'Data shares'!$C:$FB,3)</f>
        <v>368.65</v>
      </c>
      <c r="D41" s="140">
        <f>VLOOKUP($A41,'Data shares'!$C:$FB,4)</f>
        <v>368.6</v>
      </c>
      <c r="E41" s="50">
        <f t="shared" si="0"/>
        <v>1.356483993487643E-2</v>
      </c>
      <c r="F41" s="49">
        <f>VLOOKUP($A41,'Data shares'!$C:$FB,98)</f>
        <v>59747700</v>
      </c>
      <c r="G41" s="49">
        <f>VLOOKUP($A41,'Data shares'!$C:$FB,99)</f>
        <v>59386275</v>
      </c>
      <c r="H41" s="50">
        <f t="shared" si="1"/>
        <v>0.60860021949516119</v>
      </c>
      <c r="I41" s="49">
        <f>VLOOKUP($A41,'Data shares'!$C:$FB,66)</f>
        <v>67782000</v>
      </c>
      <c r="J41" s="49">
        <f>VLOOKUP($A41,'Data shares'!$C:$FB,67)</f>
        <v>50435575</v>
      </c>
      <c r="K41" s="50">
        <f t="shared" si="2"/>
        <v>25.591491841491841</v>
      </c>
      <c r="L41" s="50">
        <f>VLOOKUP($A41,'Data shares'!$C:$FB,118)</f>
        <v>0.56999999999999995</v>
      </c>
      <c r="M41" s="50">
        <f>VLOOKUP($A41,'Data shares'!$C:$FB,119)</f>
        <v>0.59</v>
      </c>
      <c r="N41" s="50">
        <f>VLOOKUP($A41,'Data shares'!$C:$FB,121)*100</f>
        <v>-3.39</v>
      </c>
      <c r="O41" s="50">
        <f>VLOOKUP($A41,'Data shares'!$C:$FB,124)</f>
        <v>0.27</v>
      </c>
      <c r="P41" s="50">
        <f>VLOOKUP($A41,'Data shares'!$C:$FB,125)</f>
        <v>0.28000000000000003</v>
      </c>
      <c r="Q41" s="50">
        <f>VLOOKUP($A41,'Data shares'!$C:$FB,127)*100</f>
        <v>-3.5700000000000003</v>
      </c>
    </row>
    <row r="42" spans="1:17" x14ac:dyDescent="0.25">
      <c r="A42" s="97" t="str">
        <f>'Data Vlaue (Cr)'!C37</f>
        <v>BRITANNIA</v>
      </c>
      <c r="B42" s="140">
        <f>VLOOKUP($A42,'Data shares'!$C:$FB,7)</f>
        <v>6096</v>
      </c>
      <c r="C42" s="140">
        <f>VLOOKUP($A42,'Data shares'!$C:$FB,3)</f>
        <v>6100.5</v>
      </c>
      <c r="D42" s="140">
        <f>VLOOKUP($A42,'Data shares'!$C:$FB,4)</f>
        <v>6077</v>
      </c>
      <c r="E42" s="50">
        <f t="shared" si="0"/>
        <v>0.38670396577258515</v>
      </c>
      <c r="F42" s="49">
        <f>VLOOKUP($A42,'Data shares'!$C:$FB,98)</f>
        <v>4771125</v>
      </c>
      <c r="G42" s="49">
        <f>VLOOKUP($A42,'Data shares'!$C:$FB,99)</f>
        <v>4716375</v>
      </c>
      <c r="H42" s="50">
        <f t="shared" si="1"/>
        <v>1.1608491691182317</v>
      </c>
      <c r="I42" s="49">
        <f>VLOOKUP($A42,'Data shares'!$C:$FB,66)</f>
        <v>2917375</v>
      </c>
      <c r="J42" s="49">
        <f>VLOOKUP($A42,'Data shares'!$C:$FB,67)</f>
        <v>7395875</v>
      </c>
      <c r="K42" s="50">
        <f t="shared" si="2"/>
        <v>-153.51129011525774</v>
      </c>
      <c r="L42" s="50">
        <f>VLOOKUP($A42,'Data shares'!$C:$FB,118)</f>
        <v>0.64</v>
      </c>
      <c r="M42" s="50">
        <f>VLOOKUP($A42,'Data shares'!$C:$FB,119)</f>
        <v>0.7</v>
      </c>
      <c r="N42" s="50">
        <f>VLOOKUP($A42,'Data shares'!$C:$FB,121)*100</f>
        <v>-8.57</v>
      </c>
      <c r="O42" s="50">
        <f>VLOOKUP($A42,'Data shares'!$C:$FB,124)</f>
        <v>0.36</v>
      </c>
      <c r="P42" s="50">
        <f>VLOOKUP($A42,'Data shares'!$C:$FB,125)</f>
        <v>0.35</v>
      </c>
      <c r="Q42" s="50">
        <f>VLOOKUP($A42,'Data shares'!$C:$FB,127)*100</f>
        <v>2.86</v>
      </c>
    </row>
    <row r="43" spans="1:17" x14ac:dyDescent="0.25">
      <c r="A43" s="97" t="str">
        <f>'Data Vlaue (Cr)'!C38</f>
        <v>BSE</v>
      </c>
      <c r="B43" s="140">
        <f>VLOOKUP($A43,'Data shares'!$C:$FB,7)</f>
        <v>2630.5</v>
      </c>
      <c r="C43" s="140">
        <f>VLOOKUP($A43,'Data shares'!$C:$FB,3)</f>
        <v>2633.5</v>
      </c>
      <c r="D43" s="140">
        <f>VLOOKUP($A43,'Data shares'!$C:$FB,4)</f>
        <v>2617.9</v>
      </c>
      <c r="E43" s="50">
        <f t="shared" si="0"/>
        <v>0.59589747507543867</v>
      </c>
      <c r="F43" s="49">
        <f>VLOOKUP($A43,'Data shares'!$C:$FB,98)</f>
        <v>34198500</v>
      </c>
      <c r="G43" s="49">
        <f>VLOOKUP($A43,'Data shares'!$C:$FB,99)</f>
        <v>34638750</v>
      </c>
      <c r="H43" s="50">
        <f t="shared" si="1"/>
        <v>-1.2709754249215113</v>
      </c>
      <c r="I43" s="49">
        <f>VLOOKUP($A43,'Data shares'!$C:$FB,66)</f>
        <v>42535500</v>
      </c>
      <c r="J43" s="49">
        <f>VLOOKUP($A43,'Data shares'!$C:$FB,67)</f>
        <v>45189750</v>
      </c>
      <c r="K43" s="50">
        <f t="shared" si="2"/>
        <v>-6.2400818140141761</v>
      </c>
      <c r="L43" s="50">
        <f>VLOOKUP($A43,'Data shares'!$C:$FB,118)</f>
        <v>0.5</v>
      </c>
      <c r="M43" s="50">
        <f>VLOOKUP($A43,'Data shares'!$C:$FB,119)</f>
        <v>0.51</v>
      </c>
      <c r="N43" s="50">
        <f>VLOOKUP($A43,'Data shares'!$C:$FB,121)*100</f>
        <v>-1.96</v>
      </c>
      <c r="O43" s="50">
        <f>VLOOKUP($A43,'Data shares'!$C:$FB,124)</f>
        <v>0.53</v>
      </c>
      <c r="P43" s="50">
        <f>VLOOKUP($A43,'Data shares'!$C:$FB,125)</f>
        <v>0.68</v>
      </c>
      <c r="Q43" s="50">
        <f>VLOOKUP($A43,'Data shares'!$C:$FB,127)*100</f>
        <v>-22.06</v>
      </c>
    </row>
    <row r="44" spans="1:17" x14ac:dyDescent="0.25">
      <c r="A44" s="97" t="str">
        <f>'Data Vlaue (Cr)'!C39</f>
        <v>CAMS</v>
      </c>
      <c r="B44" s="140">
        <f>VLOOKUP($A44,'Data shares'!$C:$FB,7)</f>
        <v>733.8</v>
      </c>
      <c r="C44" s="140">
        <f>VLOOKUP($A44,'Data shares'!$C:$FB,3)</f>
        <v>735.2</v>
      </c>
      <c r="D44" s="140">
        <f>VLOOKUP($A44,'Data shares'!$C:$FB,4)</f>
        <v>754.4</v>
      </c>
      <c r="E44" s="50">
        <f t="shared" si="0"/>
        <v>-2.5450689289501502</v>
      </c>
      <c r="F44" s="49">
        <f>VLOOKUP($A44,'Data shares'!$C:$FB,98)</f>
        <v>19098000</v>
      </c>
      <c r="G44" s="49">
        <f>VLOOKUP($A44,'Data shares'!$C:$FB,99)</f>
        <v>18543750</v>
      </c>
      <c r="H44" s="50">
        <f t="shared" si="1"/>
        <v>2.9888776541961577</v>
      </c>
      <c r="I44" s="49">
        <f>VLOOKUP($A44,'Data shares'!$C:$FB,66)</f>
        <v>8454000</v>
      </c>
      <c r="J44" s="49">
        <f>VLOOKUP($A44,'Data shares'!$C:$FB,67)</f>
        <v>3581250</v>
      </c>
      <c r="K44" s="50">
        <f t="shared" si="2"/>
        <v>57.63839602555003</v>
      </c>
      <c r="L44" s="50">
        <f>VLOOKUP($A44,'Data shares'!$C:$FB,118)</f>
        <v>0.65</v>
      </c>
      <c r="M44" s="50">
        <f>VLOOKUP($A44,'Data shares'!$C:$FB,119)</f>
        <v>0.61</v>
      </c>
      <c r="N44" s="50">
        <f>VLOOKUP($A44,'Data shares'!$C:$FB,121)*100</f>
        <v>6.5600000000000005</v>
      </c>
      <c r="O44" s="50">
        <f>VLOOKUP($A44,'Data shares'!$C:$FB,124)</f>
        <v>0.94</v>
      </c>
      <c r="P44" s="50">
        <f>VLOOKUP($A44,'Data shares'!$C:$FB,125)</f>
        <v>0.24</v>
      </c>
      <c r="Q44" s="50">
        <f>VLOOKUP($A44,'Data shares'!$C:$FB,127)*100</f>
        <v>291.67</v>
      </c>
    </row>
    <row r="45" spans="1:17" x14ac:dyDescent="0.25">
      <c r="A45" s="97" t="str">
        <f>'Data Vlaue (Cr)'!C40</f>
        <v>CANBK</v>
      </c>
      <c r="B45" s="140">
        <f>VLOOKUP($A45,'Data shares'!$C:$FB,7)</f>
        <v>150.21</v>
      </c>
      <c r="C45" s="140">
        <f>VLOOKUP($A45,'Data shares'!$C:$FB,3)</f>
        <v>150.35</v>
      </c>
      <c r="D45" s="140">
        <f>VLOOKUP($A45,'Data shares'!$C:$FB,4)</f>
        <v>147.43</v>
      </c>
      <c r="E45" s="50">
        <f t="shared" si="0"/>
        <v>1.980600963168953</v>
      </c>
      <c r="F45" s="49">
        <f>VLOOKUP($A45,'Data shares'!$C:$FB,98)</f>
        <v>346801500</v>
      </c>
      <c r="G45" s="49">
        <f>VLOOKUP($A45,'Data shares'!$C:$FB,99)</f>
        <v>347753250</v>
      </c>
      <c r="H45" s="50">
        <f t="shared" si="1"/>
        <v>-0.27368543644092469</v>
      </c>
      <c r="I45" s="49">
        <f>VLOOKUP($A45,'Data shares'!$C:$FB,66)</f>
        <v>394530750</v>
      </c>
      <c r="J45" s="49">
        <f>VLOOKUP($A45,'Data shares'!$C:$FB,67)</f>
        <v>122384250</v>
      </c>
      <c r="K45" s="50">
        <f t="shared" si="2"/>
        <v>68.97979435063047</v>
      </c>
      <c r="L45" s="50">
        <f>VLOOKUP($A45,'Data shares'!$C:$FB,118)</f>
        <v>0.82</v>
      </c>
      <c r="M45" s="50">
        <f>VLOOKUP($A45,'Data shares'!$C:$FB,119)</f>
        <v>0.76</v>
      </c>
      <c r="N45" s="50">
        <f>VLOOKUP($A45,'Data shares'!$C:$FB,121)*100</f>
        <v>7.89</v>
      </c>
      <c r="O45" s="50">
        <f>VLOOKUP($A45,'Data shares'!$C:$FB,124)</f>
        <v>0.49</v>
      </c>
      <c r="P45" s="50">
        <f>VLOOKUP($A45,'Data shares'!$C:$FB,125)</f>
        <v>0.61</v>
      </c>
      <c r="Q45" s="50">
        <f>VLOOKUP($A45,'Data shares'!$C:$FB,127)*100</f>
        <v>-19.670000000000002</v>
      </c>
    </row>
    <row r="46" spans="1:17" x14ac:dyDescent="0.25">
      <c r="A46" s="97" t="str">
        <f>'Data Vlaue (Cr)'!C41</f>
        <v>CDSL</v>
      </c>
      <c r="B46" s="140">
        <f>VLOOKUP($A46,'Data shares'!$C:$FB,7)</f>
        <v>1477.3</v>
      </c>
      <c r="C46" s="140">
        <f>VLOOKUP($A46,'Data shares'!$C:$FB,3)</f>
        <v>1478.4</v>
      </c>
      <c r="D46" s="140">
        <f>VLOOKUP($A46,'Data shares'!$C:$FB,4)</f>
        <v>1503.1</v>
      </c>
      <c r="E46" s="50">
        <f t="shared" si="0"/>
        <v>-1.6432705741467515</v>
      </c>
      <c r="F46" s="49">
        <f>VLOOKUP($A46,'Data shares'!$C:$FB,98)</f>
        <v>26885950</v>
      </c>
      <c r="G46" s="49">
        <f>VLOOKUP($A46,'Data shares'!$C:$FB,99)</f>
        <v>25545025</v>
      </c>
      <c r="H46" s="50">
        <f t="shared" si="1"/>
        <v>5.2492608639059855</v>
      </c>
      <c r="I46" s="49">
        <f>VLOOKUP($A46,'Data shares'!$C:$FB,66)</f>
        <v>13350825</v>
      </c>
      <c r="J46" s="49">
        <f>VLOOKUP($A46,'Data shares'!$C:$FB,67)</f>
        <v>8312500</v>
      </c>
      <c r="K46" s="50">
        <f t="shared" si="2"/>
        <v>37.737930053011702</v>
      </c>
      <c r="L46" s="50">
        <f>VLOOKUP($A46,'Data shares'!$C:$FB,118)</f>
        <v>0.44</v>
      </c>
      <c r="M46" s="50">
        <f>VLOOKUP($A46,'Data shares'!$C:$FB,119)</f>
        <v>0.46</v>
      </c>
      <c r="N46" s="50">
        <f>VLOOKUP($A46,'Data shares'!$C:$FB,121)*100</f>
        <v>-4.3499999999999996</v>
      </c>
      <c r="O46" s="50">
        <f>VLOOKUP($A46,'Data shares'!$C:$FB,124)</f>
        <v>0.35</v>
      </c>
      <c r="P46" s="50">
        <f>VLOOKUP($A46,'Data shares'!$C:$FB,125)</f>
        <v>0.32</v>
      </c>
      <c r="Q46" s="50">
        <f>VLOOKUP($A46,'Data shares'!$C:$FB,127)*100</f>
        <v>9.370000000000001</v>
      </c>
    </row>
    <row r="47" spans="1:17" x14ac:dyDescent="0.25">
      <c r="A47" s="97" t="str">
        <f>'Data Vlaue (Cr)'!C42</f>
        <v>CGPOWER</v>
      </c>
      <c r="B47" s="140">
        <f>VLOOKUP($A47,'Data shares'!$C:$FB,7)</f>
        <v>670.4</v>
      </c>
      <c r="C47" s="140">
        <f>VLOOKUP($A47,'Data shares'!$C:$FB,3)</f>
        <v>670.7</v>
      </c>
      <c r="D47" s="140">
        <f>VLOOKUP($A47,'Data shares'!$C:$FB,4)</f>
        <v>674.2</v>
      </c>
      <c r="E47" s="50">
        <f t="shared" si="0"/>
        <v>-0.51913378819341438</v>
      </c>
      <c r="F47" s="49">
        <f>VLOOKUP($A47,'Data shares'!$C:$FB,98)</f>
        <v>28696850</v>
      </c>
      <c r="G47" s="49">
        <f>VLOOKUP($A47,'Data shares'!$C:$FB,99)</f>
        <v>26909300</v>
      </c>
      <c r="H47" s="50">
        <f t="shared" si="1"/>
        <v>6.6428706803967401</v>
      </c>
      <c r="I47" s="49">
        <f>VLOOKUP($A47,'Data shares'!$C:$FB,66)</f>
        <v>49492100</v>
      </c>
      <c r="J47" s="49">
        <f>VLOOKUP($A47,'Data shares'!$C:$FB,67)</f>
        <v>7306600</v>
      </c>
      <c r="K47" s="50">
        <f t="shared" si="2"/>
        <v>85.236835777831203</v>
      </c>
      <c r="L47" s="50">
        <f>VLOOKUP($A47,'Data shares'!$C:$FB,118)</f>
        <v>0.44</v>
      </c>
      <c r="M47" s="50">
        <f>VLOOKUP($A47,'Data shares'!$C:$FB,119)</f>
        <v>0.52</v>
      </c>
      <c r="N47" s="50">
        <f>VLOOKUP($A47,'Data shares'!$C:$FB,121)*100</f>
        <v>-15.379999999999999</v>
      </c>
      <c r="O47" s="50">
        <f>VLOOKUP($A47,'Data shares'!$C:$FB,124)</f>
        <v>0.22</v>
      </c>
      <c r="P47" s="50">
        <f>VLOOKUP($A47,'Data shares'!$C:$FB,125)</f>
        <v>0.28999999999999998</v>
      </c>
      <c r="Q47" s="50">
        <f>VLOOKUP($A47,'Data shares'!$C:$FB,127)*100</f>
        <v>-24.14</v>
      </c>
    </row>
    <row r="48" spans="1:17" x14ac:dyDescent="0.25">
      <c r="A48" s="97" t="str">
        <f>'Data Vlaue (Cr)'!C43</f>
        <v>CHOLAFIN</v>
      </c>
      <c r="B48" s="140">
        <f>VLOOKUP($A48,'Data shares'!$C:$FB,7)</f>
        <v>1673.5</v>
      </c>
      <c r="C48" s="140">
        <f>VLOOKUP($A48,'Data shares'!$C:$FB,3)</f>
        <v>1679.2</v>
      </c>
      <c r="D48" s="140">
        <f>VLOOKUP($A48,'Data shares'!$C:$FB,4)</f>
        <v>1718</v>
      </c>
      <c r="E48" s="50">
        <f t="shared" si="0"/>
        <v>-2.2584400465657715</v>
      </c>
      <c r="F48" s="49">
        <f>VLOOKUP($A48,'Data shares'!$C:$FB,98)</f>
        <v>24522500</v>
      </c>
      <c r="G48" s="49">
        <f>VLOOKUP($A48,'Data shares'!$C:$FB,99)</f>
        <v>20152500</v>
      </c>
      <c r="H48" s="50">
        <f t="shared" si="1"/>
        <v>21.684654509366084</v>
      </c>
      <c r="I48" s="49">
        <f>VLOOKUP($A48,'Data shares'!$C:$FB,66)</f>
        <v>24314375</v>
      </c>
      <c r="J48" s="49">
        <f>VLOOKUP($A48,'Data shares'!$C:$FB,67)</f>
        <v>5951250</v>
      </c>
      <c r="K48" s="50">
        <f t="shared" si="2"/>
        <v>75.523738529162273</v>
      </c>
      <c r="L48" s="50">
        <f>VLOOKUP($A48,'Data shares'!$C:$FB,118)</f>
        <v>0.74</v>
      </c>
      <c r="M48" s="50">
        <f>VLOOKUP($A48,'Data shares'!$C:$FB,119)</f>
        <v>0.65</v>
      </c>
      <c r="N48" s="50">
        <f>VLOOKUP($A48,'Data shares'!$C:$FB,121)*100</f>
        <v>13.850000000000001</v>
      </c>
      <c r="O48" s="50">
        <f>VLOOKUP($A48,'Data shares'!$C:$FB,124)</f>
        <v>0.64</v>
      </c>
      <c r="P48" s="50">
        <f>VLOOKUP($A48,'Data shares'!$C:$FB,125)</f>
        <v>0.37</v>
      </c>
      <c r="Q48" s="50">
        <f>VLOOKUP($A48,'Data shares'!$C:$FB,127)*100</f>
        <v>72.97</v>
      </c>
    </row>
    <row r="49" spans="1:17" x14ac:dyDescent="0.25">
      <c r="A49" s="97" t="str">
        <f>'Data Vlaue (Cr)'!C44</f>
        <v>CIPLA</v>
      </c>
      <c r="B49" s="140">
        <f>VLOOKUP($A49,'Data shares'!$C:$FB,7)</f>
        <v>1496.9</v>
      </c>
      <c r="C49" s="140">
        <f>VLOOKUP($A49,'Data shares'!$C:$FB,3)</f>
        <v>1498.5</v>
      </c>
      <c r="D49" s="140">
        <f>VLOOKUP($A49,'Data shares'!$C:$FB,4)</f>
        <v>1502.3</v>
      </c>
      <c r="E49" s="50">
        <f t="shared" si="0"/>
        <v>-0.25294548359182284</v>
      </c>
      <c r="F49" s="49">
        <f>VLOOKUP($A49,'Data shares'!$C:$FB,98)</f>
        <v>23887500</v>
      </c>
      <c r="G49" s="49">
        <f>VLOOKUP($A49,'Data shares'!$C:$FB,99)</f>
        <v>23452500</v>
      </c>
      <c r="H49" s="50">
        <f t="shared" si="1"/>
        <v>1.8548129197313721</v>
      </c>
      <c r="I49" s="49">
        <f>VLOOKUP($A49,'Data shares'!$C:$FB,66)</f>
        <v>6340875</v>
      </c>
      <c r="J49" s="49">
        <f>VLOOKUP($A49,'Data shares'!$C:$FB,67)</f>
        <v>5595750</v>
      </c>
      <c r="K49" s="50">
        <f t="shared" si="2"/>
        <v>11.751138446980898</v>
      </c>
      <c r="L49" s="50">
        <f>VLOOKUP($A49,'Data shares'!$C:$FB,118)</f>
        <v>0.65</v>
      </c>
      <c r="M49" s="50">
        <f>VLOOKUP($A49,'Data shares'!$C:$FB,119)</f>
        <v>0.67</v>
      </c>
      <c r="N49" s="50">
        <f>VLOOKUP($A49,'Data shares'!$C:$FB,121)*100</f>
        <v>-2.9899999999999998</v>
      </c>
      <c r="O49" s="50">
        <f>VLOOKUP($A49,'Data shares'!$C:$FB,124)</f>
        <v>0.38</v>
      </c>
      <c r="P49" s="50">
        <f>VLOOKUP($A49,'Data shares'!$C:$FB,125)</f>
        <v>0.39</v>
      </c>
      <c r="Q49" s="50">
        <f>VLOOKUP($A49,'Data shares'!$C:$FB,127)*100</f>
        <v>-2.56</v>
      </c>
    </row>
    <row r="50" spans="1:17" x14ac:dyDescent="0.25">
      <c r="A50" s="97" t="str">
        <f>'Data Vlaue (Cr)'!C45</f>
        <v>COALINDIA</v>
      </c>
      <c r="B50" s="140">
        <f>VLOOKUP($A50,'Data shares'!$C:$FB,7)</f>
        <v>384.75</v>
      </c>
      <c r="C50" s="140">
        <f>VLOOKUP($A50,'Data shares'!$C:$FB,3)</f>
        <v>385.85</v>
      </c>
      <c r="D50" s="140">
        <f>VLOOKUP($A50,'Data shares'!$C:$FB,4)</f>
        <v>382.25</v>
      </c>
      <c r="E50" s="50">
        <f t="shared" si="0"/>
        <v>0.94179202092871761</v>
      </c>
      <c r="F50" s="49">
        <f>VLOOKUP($A50,'Data shares'!$C:$FB,98)</f>
        <v>94286700</v>
      </c>
      <c r="G50" s="49">
        <f>VLOOKUP($A50,'Data shares'!$C:$FB,99)</f>
        <v>93437550</v>
      </c>
      <c r="H50" s="50">
        <f t="shared" si="1"/>
        <v>0.90878881135046885</v>
      </c>
      <c r="I50" s="49">
        <f>VLOOKUP($A50,'Data shares'!$C:$FB,66)</f>
        <v>23284800</v>
      </c>
      <c r="J50" s="49">
        <f>VLOOKUP($A50,'Data shares'!$C:$FB,67)</f>
        <v>24586200</v>
      </c>
      <c r="K50" s="50">
        <f t="shared" si="2"/>
        <v>-5.5890538033395183</v>
      </c>
      <c r="L50" s="50">
        <f>VLOOKUP($A50,'Data shares'!$C:$FB,118)</f>
        <v>0.95</v>
      </c>
      <c r="M50" s="50">
        <f>VLOOKUP($A50,'Data shares'!$C:$FB,119)</f>
        <v>0.96</v>
      </c>
      <c r="N50" s="50">
        <f>VLOOKUP($A50,'Data shares'!$C:$FB,121)*100</f>
        <v>-1.04</v>
      </c>
      <c r="O50" s="50">
        <f>VLOOKUP($A50,'Data shares'!$C:$FB,124)</f>
        <v>0.57999999999999996</v>
      </c>
      <c r="P50" s="50">
        <f>VLOOKUP($A50,'Data shares'!$C:$FB,125)</f>
        <v>0.69</v>
      </c>
      <c r="Q50" s="50">
        <f>VLOOKUP($A50,'Data shares'!$C:$FB,127)*100</f>
        <v>-15.939999999999998</v>
      </c>
    </row>
    <row r="51" spans="1:17" x14ac:dyDescent="0.25">
      <c r="A51" s="97" t="str">
        <f>'Data Vlaue (Cr)'!C46</f>
        <v>COFORGE</v>
      </c>
      <c r="B51" s="140">
        <f>VLOOKUP($A51,'Data shares'!$C:$FB,7)</f>
        <v>1844.7</v>
      </c>
      <c r="C51" s="140">
        <f>VLOOKUP($A51,'Data shares'!$C:$FB,3)</f>
        <v>1851.5</v>
      </c>
      <c r="D51" s="140">
        <f>VLOOKUP($A51,'Data shares'!$C:$FB,4)</f>
        <v>1869</v>
      </c>
      <c r="E51" s="50">
        <f t="shared" si="0"/>
        <v>-0.93632958801498134</v>
      </c>
      <c r="F51" s="49">
        <f>VLOOKUP($A51,'Data shares'!$C:$FB,98)</f>
        <v>23776125</v>
      </c>
      <c r="G51" s="49">
        <f>VLOOKUP($A51,'Data shares'!$C:$FB,99)</f>
        <v>23493000</v>
      </c>
      <c r="H51" s="50">
        <f t="shared" si="1"/>
        <v>1.2051462137658027</v>
      </c>
      <c r="I51" s="49">
        <f>VLOOKUP($A51,'Data shares'!$C:$FB,66)</f>
        <v>15108375</v>
      </c>
      <c r="J51" s="49">
        <f>VLOOKUP($A51,'Data shares'!$C:$FB,67)</f>
        <v>11493000</v>
      </c>
      <c r="K51" s="50">
        <f t="shared" si="2"/>
        <v>23.929608578023778</v>
      </c>
      <c r="L51" s="50">
        <f>VLOOKUP($A51,'Data shares'!$C:$FB,118)</f>
        <v>0.46</v>
      </c>
      <c r="M51" s="50">
        <f>VLOOKUP($A51,'Data shares'!$C:$FB,119)</f>
        <v>0.44</v>
      </c>
      <c r="N51" s="50">
        <f>VLOOKUP($A51,'Data shares'!$C:$FB,121)*100</f>
        <v>4.55</v>
      </c>
      <c r="O51" s="50">
        <f>VLOOKUP($A51,'Data shares'!$C:$FB,124)</f>
        <v>0.41</v>
      </c>
      <c r="P51" s="50">
        <f>VLOOKUP($A51,'Data shares'!$C:$FB,125)</f>
        <v>0.34</v>
      </c>
      <c r="Q51" s="50">
        <f>VLOOKUP($A51,'Data shares'!$C:$FB,127)*100</f>
        <v>20.59</v>
      </c>
    </row>
    <row r="52" spans="1:17" x14ac:dyDescent="0.25">
      <c r="A52" s="97" t="str">
        <f>'Data Vlaue (Cr)'!C47</f>
        <v>COLPAL</v>
      </c>
      <c r="B52" s="140">
        <f>VLOOKUP($A52,'Data shares'!$C:$FB,7)</f>
        <v>2087.4</v>
      </c>
      <c r="C52" s="140">
        <f>VLOOKUP($A52,'Data shares'!$C:$FB,3)</f>
        <v>2089.6999999999998</v>
      </c>
      <c r="D52" s="140">
        <f>VLOOKUP($A52,'Data shares'!$C:$FB,4)</f>
        <v>2164.8000000000002</v>
      </c>
      <c r="E52" s="50">
        <f t="shared" si="0"/>
        <v>-3.4691426459719308</v>
      </c>
      <c r="F52" s="49">
        <f>VLOOKUP($A52,'Data shares'!$C:$FB,98)</f>
        <v>12226050</v>
      </c>
      <c r="G52" s="49">
        <f>VLOOKUP($A52,'Data shares'!$C:$FB,99)</f>
        <v>10504800</v>
      </c>
      <c r="H52" s="50">
        <f t="shared" si="1"/>
        <v>16.385366689513365</v>
      </c>
      <c r="I52" s="49">
        <f>VLOOKUP($A52,'Data shares'!$C:$FB,66)</f>
        <v>8384400</v>
      </c>
      <c r="J52" s="49">
        <f>VLOOKUP($A52,'Data shares'!$C:$FB,67)</f>
        <v>5555250</v>
      </c>
      <c r="K52" s="50">
        <f t="shared" si="2"/>
        <v>33.743022756547873</v>
      </c>
      <c r="L52" s="50">
        <f>VLOOKUP($A52,'Data shares'!$C:$FB,118)</f>
        <v>0.63</v>
      </c>
      <c r="M52" s="50">
        <f>VLOOKUP($A52,'Data shares'!$C:$FB,119)</f>
        <v>0.62</v>
      </c>
      <c r="N52" s="50">
        <f>VLOOKUP($A52,'Data shares'!$C:$FB,121)*100</f>
        <v>1.6099999999999999</v>
      </c>
      <c r="O52" s="50">
        <f>VLOOKUP($A52,'Data shares'!$C:$FB,124)</f>
        <v>0.76</v>
      </c>
      <c r="P52" s="50">
        <f>VLOOKUP($A52,'Data shares'!$C:$FB,125)</f>
        <v>0.2</v>
      </c>
      <c r="Q52" s="50">
        <f>VLOOKUP($A52,'Data shares'!$C:$FB,127)*100</f>
        <v>280</v>
      </c>
    </row>
    <row r="53" spans="1:17" x14ac:dyDescent="0.25">
      <c r="A53" s="97" t="str">
        <f>'Data Vlaue (Cr)'!C48</f>
        <v>CONCOR</v>
      </c>
      <c r="B53" s="140">
        <f>VLOOKUP($A53,'Data shares'!$C:$FB,7)</f>
        <v>496.35</v>
      </c>
      <c r="C53" s="140">
        <f>VLOOKUP($A53,'Data shares'!$C:$FB,3)</f>
        <v>496.75</v>
      </c>
      <c r="D53" s="140">
        <f>VLOOKUP($A53,'Data shares'!$C:$FB,4)</f>
        <v>500.05</v>
      </c>
      <c r="E53" s="50">
        <f t="shared" si="0"/>
        <v>-0.65993400659934232</v>
      </c>
      <c r="F53" s="49">
        <f>VLOOKUP($A53,'Data shares'!$C:$FB,98)</f>
        <v>64428750</v>
      </c>
      <c r="G53" s="49">
        <f>VLOOKUP($A53,'Data shares'!$C:$FB,99)</f>
        <v>63377500</v>
      </c>
      <c r="H53" s="50">
        <f t="shared" si="1"/>
        <v>1.658711687901858</v>
      </c>
      <c r="I53" s="49">
        <f>VLOOKUP($A53,'Data shares'!$C:$FB,66)</f>
        <v>10385000</v>
      </c>
      <c r="J53" s="49">
        <f>VLOOKUP($A53,'Data shares'!$C:$FB,67)</f>
        <v>11201250</v>
      </c>
      <c r="K53" s="50">
        <f t="shared" si="2"/>
        <v>-7.8598940779971107</v>
      </c>
      <c r="L53" s="50">
        <f>VLOOKUP($A53,'Data shares'!$C:$FB,118)</f>
        <v>0.73</v>
      </c>
      <c r="M53" s="50">
        <f>VLOOKUP($A53,'Data shares'!$C:$FB,119)</f>
        <v>0.74</v>
      </c>
      <c r="N53" s="50">
        <f>VLOOKUP($A53,'Data shares'!$C:$FB,121)*100</f>
        <v>-1.35</v>
      </c>
      <c r="O53" s="50">
        <f>VLOOKUP($A53,'Data shares'!$C:$FB,124)</f>
        <v>0.44</v>
      </c>
      <c r="P53" s="50">
        <f>VLOOKUP($A53,'Data shares'!$C:$FB,125)</f>
        <v>0.35</v>
      </c>
      <c r="Q53" s="50">
        <f>VLOOKUP($A53,'Data shares'!$C:$FB,127)*100</f>
        <v>25.71</v>
      </c>
    </row>
    <row r="54" spans="1:17" x14ac:dyDescent="0.25">
      <c r="A54" s="97" t="str">
        <f>'Data Vlaue (Cr)'!C49</f>
        <v>CROMPTON</v>
      </c>
      <c r="B54" s="140">
        <f>VLOOKUP($A54,'Data shares'!$C:$FB,7)</f>
        <v>249.15</v>
      </c>
      <c r="C54" s="140">
        <f>VLOOKUP($A54,'Data shares'!$C:$FB,3)</f>
        <v>249.5</v>
      </c>
      <c r="D54" s="140">
        <f>VLOOKUP($A54,'Data shares'!$C:$FB,4)</f>
        <v>253.35</v>
      </c>
      <c r="E54" s="50">
        <f t="shared" si="0"/>
        <v>-1.5196368659956561</v>
      </c>
      <c r="F54" s="49">
        <f>VLOOKUP($A54,'Data shares'!$C:$FB,98)</f>
        <v>93393000</v>
      </c>
      <c r="G54" s="49">
        <f>VLOOKUP($A54,'Data shares'!$C:$FB,99)</f>
        <v>92710800</v>
      </c>
      <c r="H54" s="50">
        <f t="shared" si="1"/>
        <v>0.73583660156098318</v>
      </c>
      <c r="I54" s="49">
        <f>VLOOKUP($A54,'Data shares'!$C:$FB,66)</f>
        <v>21252600</v>
      </c>
      <c r="J54" s="49">
        <f>VLOOKUP($A54,'Data shares'!$C:$FB,67)</f>
        <v>9876600</v>
      </c>
      <c r="K54" s="50">
        <f t="shared" si="2"/>
        <v>53.527568391632087</v>
      </c>
      <c r="L54" s="50">
        <f>VLOOKUP($A54,'Data shares'!$C:$FB,118)</f>
        <v>0.49</v>
      </c>
      <c r="M54" s="50">
        <f>VLOOKUP($A54,'Data shares'!$C:$FB,119)</f>
        <v>0.53</v>
      </c>
      <c r="N54" s="50">
        <f>VLOOKUP($A54,'Data shares'!$C:$FB,121)*100</f>
        <v>-7.55</v>
      </c>
      <c r="O54" s="50">
        <f>VLOOKUP($A54,'Data shares'!$C:$FB,124)</f>
        <v>0.28999999999999998</v>
      </c>
      <c r="P54" s="50">
        <f>VLOOKUP($A54,'Data shares'!$C:$FB,125)</f>
        <v>0.3</v>
      </c>
      <c r="Q54" s="50">
        <f>VLOOKUP($A54,'Data shares'!$C:$FB,127)*100</f>
        <v>-3.3300000000000005</v>
      </c>
    </row>
    <row r="55" spans="1:17" x14ac:dyDescent="0.25">
      <c r="A55" s="97" t="str">
        <f>'Data Vlaue (Cr)'!C50</f>
        <v>CUMMINSIND</v>
      </c>
      <c r="B55" s="140">
        <f>VLOOKUP($A55,'Data shares'!$C:$FB,7)</f>
        <v>4512.7</v>
      </c>
      <c r="C55" s="140">
        <f>VLOOKUP($A55,'Data shares'!$C:$FB,3)</f>
        <v>4521.1000000000004</v>
      </c>
      <c r="D55" s="140">
        <f>VLOOKUP($A55,'Data shares'!$C:$FB,4)</f>
        <v>4507.2</v>
      </c>
      <c r="E55" s="50">
        <f t="shared" si="0"/>
        <v>0.30839545615904657</v>
      </c>
      <c r="F55" s="49">
        <f>VLOOKUP($A55,'Data shares'!$C:$FB,98)</f>
        <v>4776600</v>
      </c>
      <c r="G55" s="49">
        <f>VLOOKUP($A55,'Data shares'!$C:$FB,99)</f>
        <v>4571200</v>
      </c>
      <c r="H55" s="50">
        <f t="shared" si="1"/>
        <v>4.4933496674833737</v>
      </c>
      <c r="I55" s="49">
        <f>VLOOKUP($A55,'Data shares'!$C:$FB,66)</f>
        <v>2634600</v>
      </c>
      <c r="J55" s="49">
        <f>VLOOKUP($A55,'Data shares'!$C:$FB,67)</f>
        <v>1975200</v>
      </c>
      <c r="K55" s="50">
        <f t="shared" si="2"/>
        <v>25.028467319517194</v>
      </c>
      <c r="L55" s="50">
        <f>VLOOKUP($A55,'Data shares'!$C:$FB,118)</f>
        <v>0.75</v>
      </c>
      <c r="M55" s="50">
        <f>VLOOKUP($A55,'Data shares'!$C:$FB,119)</f>
        <v>0.81</v>
      </c>
      <c r="N55" s="50">
        <f>VLOOKUP($A55,'Data shares'!$C:$FB,121)*100</f>
        <v>-7.41</v>
      </c>
      <c r="O55" s="50">
        <f>VLOOKUP($A55,'Data shares'!$C:$FB,124)</f>
        <v>0.33</v>
      </c>
      <c r="P55" s="50">
        <f>VLOOKUP($A55,'Data shares'!$C:$FB,125)</f>
        <v>0.56000000000000005</v>
      </c>
      <c r="Q55" s="50">
        <f>VLOOKUP($A55,'Data shares'!$C:$FB,127)*100</f>
        <v>-41.07</v>
      </c>
    </row>
    <row r="56" spans="1:17" x14ac:dyDescent="0.25">
      <c r="A56" s="97" t="str">
        <f>'Data Vlaue (Cr)'!C51</f>
        <v>CYIENT</v>
      </c>
      <c r="B56" s="140">
        <f>VLOOKUP($A56,'Data shares'!$C:$FB,7)</f>
        <v>1138.8</v>
      </c>
      <c r="C56" s="140">
        <f>VLOOKUP($A56,'Data shares'!$C:$FB,3)</f>
        <v>1142.3</v>
      </c>
      <c r="D56" s="140">
        <f>VLOOKUP($A56,'Data shares'!$C:$FB,4)</f>
        <v>1150.5999999999999</v>
      </c>
      <c r="E56" s="50">
        <f t="shared" si="0"/>
        <v>-0.72136276725186466</v>
      </c>
      <c r="F56" s="49">
        <f>VLOOKUP($A56,'Data shares'!$C:$FB,98)</f>
        <v>5620200</v>
      </c>
      <c r="G56" s="49">
        <f>VLOOKUP($A56,'Data shares'!$C:$FB,99)</f>
        <v>5239400</v>
      </c>
      <c r="H56" s="50">
        <f t="shared" si="1"/>
        <v>7.268007787151201</v>
      </c>
      <c r="I56" s="49">
        <f>VLOOKUP($A56,'Data shares'!$C:$FB,66)</f>
        <v>15132550</v>
      </c>
      <c r="J56" s="49">
        <f>VLOOKUP($A56,'Data shares'!$C:$FB,67)</f>
        <v>1326850</v>
      </c>
      <c r="K56" s="50">
        <f t="shared" si="2"/>
        <v>91.231814862663597</v>
      </c>
      <c r="L56" s="50">
        <f>VLOOKUP($A56,'Data shares'!$C:$FB,118)</f>
        <v>0.68</v>
      </c>
      <c r="M56" s="50">
        <f>VLOOKUP($A56,'Data shares'!$C:$FB,119)</f>
        <v>0.66</v>
      </c>
      <c r="N56" s="50">
        <f>VLOOKUP($A56,'Data shares'!$C:$FB,121)*100</f>
        <v>3.0300000000000002</v>
      </c>
      <c r="O56" s="50">
        <f>VLOOKUP($A56,'Data shares'!$C:$FB,124)</f>
        <v>0.75</v>
      </c>
      <c r="P56" s="50">
        <f>VLOOKUP($A56,'Data shares'!$C:$FB,125)</f>
        <v>0.61</v>
      </c>
      <c r="Q56" s="50">
        <f>VLOOKUP($A56,'Data shares'!$C:$FB,127)*100</f>
        <v>22.95</v>
      </c>
    </row>
    <row r="57" spans="1:17" x14ac:dyDescent="0.25">
      <c r="A57" s="97" t="str">
        <f>'Data Vlaue (Cr)'!C52</f>
        <v>DABUR</v>
      </c>
      <c r="B57" s="140">
        <f>VLOOKUP($A57,'Data shares'!$C:$FB,7)</f>
        <v>494.15</v>
      </c>
      <c r="C57" s="140">
        <f>VLOOKUP($A57,'Data shares'!$C:$FB,3)</f>
        <v>494.5</v>
      </c>
      <c r="D57" s="140">
        <f>VLOOKUP($A57,'Data shares'!$C:$FB,4)</f>
        <v>499.15</v>
      </c>
      <c r="E57" s="50">
        <f t="shared" si="0"/>
        <v>-0.9315836922768661</v>
      </c>
      <c r="F57" s="49">
        <f>VLOOKUP($A57,'Data shares'!$C:$FB,98)</f>
        <v>43142500</v>
      </c>
      <c r="G57" s="49">
        <f>VLOOKUP($A57,'Data shares'!$C:$FB,99)</f>
        <v>41665000</v>
      </c>
      <c r="H57" s="50">
        <f t="shared" si="1"/>
        <v>3.5461418456738265</v>
      </c>
      <c r="I57" s="49">
        <f>VLOOKUP($A57,'Data shares'!$C:$FB,66)</f>
        <v>11976250</v>
      </c>
      <c r="J57" s="49">
        <f>VLOOKUP($A57,'Data shares'!$C:$FB,67)</f>
        <v>31688750</v>
      </c>
      <c r="K57" s="50">
        <f t="shared" si="2"/>
        <v>-164.59659743241832</v>
      </c>
      <c r="L57" s="50">
        <f>VLOOKUP($A57,'Data shares'!$C:$FB,118)</f>
        <v>0.54</v>
      </c>
      <c r="M57" s="50">
        <f>VLOOKUP($A57,'Data shares'!$C:$FB,119)</f>
        <v>0.53</v>
      </c>
      <c r="N57" s="50">
        <f>VLOOKUP($A57,'Data shares'!$C:$FB,121)*100</f>
        <v>1.8900000000000001</v>
      </c>
      <c r="O57" s="50">
        <f>VLOOKUP($A57,'Data shares'!$C:$FB,124)</f>
        <v>0.36</v>
      </c>
      <c r="P57" s="50">
        <f>VLOOKUP($A57,'Data shares'!$C:$FB,125)</f>
        <v>0.28999999999999998</v>
      </c>
      <c r="Q57" s="50">
        <f>VLOOKUP($A57,'Data shares'!$C:$FB,127)*100</f>
        <v>24.14</v>
      </c>
    </row>
    <row r="58" spans="1:17" x14ac:dyDescent="0.25">
      <c r="A58" s="97" t="str">
        <f>'Data Vlaue (Cr)'!C53</f>
        <v>DALBHARAT</v>
      </c>
      <c r="B58" s="140">
        <f>VLOOKUP($A58,'Data shares'!$C:$FB,7)</f>
        <v>2073.9</v>
      </c>
      <c r="C58" s="140">
        <f>VLOOKUP($A58,'Data shares'!$C:$FB,3)</f>
        <v>2077.6</v>
      </c>
      <c r="D58" s="140">
        <f>VLOOKUP($A58,'Data shares'!$C:$FB,4)</f>
        <v>2070.3000000000002</v>
      </c>
      <c r="E58" s="50">
        <f t="shared" si="0"/>
        <v>0.35260590252619073</v>
      </c>
      <c r="F58" s="49">
        <f>VLOOKUP($A58,'Data shares'!$C:$FB,98)</f>
        <v>4771975</v>
      </c>
      <c r="G58" s="49">
        <f>VLOOKUP($A58,'Data shares'!$C:$FB,99)</f>
        <v>4641975</v>
      </c>
      <c r="H58" s="50">
        <f t="shared" si="1"/>
        <v>2.800532101099209</v>
      </c>
      <c r="I58" s="49">
        <f>VLOOKUP($A58,'Data shares'!$C:$FB,66)</f>
        <v>2290275</v>
      </c>
      <c r="J58" s="49">
        <f>VLOOKUP($A58,'Data shares'!$C:$FB,67)</f>
        <v>2966600</v>
      </c>
      <c r="K58" s="50">
        <f t="shared" si="2"/>
        <v>-29.530296580105009</v>
      </c>
      <c r="L58" s="50">
        <f>VLOOKUP($A58,'Data shares'!$C:$FB,118)</f>
        <v>0.76</v>
      </c>
      <c r="M58" s="50">
        <f>VLOOKUP($A58,'Data shares'!$C:$FB,119)</f>
        <v>0.78</v>
      </c>
      <c r="N58" s="50">
        <f>VLOOKUP($A58,'Data shares'!$C:$FB,121)*100</f>
        <v>-2.56</v>
      </c>
      <c r="O58" s="50">
        <f>VLOOKUP($A58,'Data shares'!$C:$FB,124)</f>
        <v>0.4</v>
      </c>
      <c r="P58" s="50">
        <f>VLOOKUP($A58,'Data shares'!$C:$FB,125)</f>
        <v>0.64</v>
      </c>
      <c r="Q58" s="50">
        <f>VLOOKUP($A58,'Data shares'!$C:$FB,127)*100</f>
        <v>-37.5</v>
      </c>
    </row>
    <row r="59" spans="1:17" x14ac:dyDescent="0.25">
      <c r="A59" s="97" t="str">
        <f>'Data Vlaue (Cr)'!C54</f>
        <v>DELHIVERY</v>
      </c>
      <c r="B59" s="140">
        <f>VLOOKUP($A59,'Data shares'!$C:$FB,7)</f>
        <v>399.8</v>
      </c>
      <c r="C59" s="140">
        <f>VLOOKUP($A59,'Data shares'!$C:$FB,3)</f>
        <v>400.3</v>
      </c>
      <c r="D59" s="140">
        <f>VLOOKUP($A59,'Data shares'!$C:$FB,4)</f>
        <v>402.95</v>
      </c>
      <c r="E59" s="50">
        <f t="shared" si="0"/>
        <v>-0.65764983248541431</v>
      </c>
      <c r="F59" s="49">
        <f>VLOOKUP($A59,'Data shares'!$C:$FB,98)</f>
        <v>39221650</v>
      </c>
      <c r="G59" s="49">
        <f>VLOOKUP($A59,'Data shares'!$C:$FB,99)</f>
        <v>38489175</v>
      </c>
      <c r="H59" s="50">
        <f t="shared" si="1"/>
        <v>1.9030675508113646</v>
      </c>
      <c r="I59" s="49">
        <f>VLOOKUP($A59,'Data shares'!$C:$FB,66)</f>
        <v>13209450</v>
      </c>
      <c r="J59" s="49">
        <f>VLOOKUP($A59,'Data shares'!$C:$FB,67)</f>
        <v>17274375</v>
      </c>
      <c r="K59" s="50">
        <f t="shared" si="2"/>
        <v>-30.772855796418476</v>
      </c>
      <c r="L59" s="50">
        <f>VLOOKUP($A59,'Data shares'!$C:$FB,118)</f>
        <v>0.65</v>
      </c>
      <c r="M59" s="50">
        <f>VLOOKUP($A59,'Data shares'!$C:$FB,119)</f>
        <v>0.64</v>
      </c>
      <c r="N59" s="50">
        <f>VLOOKUP($A59,'Data shares'!$C:$FB,121)*100</f>
        <v>1.5599999999999998</v>
      </c>
      <c r="O59" s="50">
        <f>VLOOKUP($A59,'Data shares'!$C:$FB,124)</f>
        <v>0.5</v>
      </c>
      <c r="P59" s="50">
        <f>VLOOKUP($A59,'Data shares'!$C:$FB,125)</f>
        <v>0.48</v>
      </c>
      <c r="Q59" s="50">
        <f>VLOOKUP($A59,'Data shares'!$C:$FB,127)*100</f>
        <v>4.17</v>
      </c>
    </row>
    <row r="60" spans="1:17" x14ac:dyDescent="0.25">
      <c r="A60" s="97" t="str">
        <f>'Data Vlaue (Cr)'!C55</f>
        <v>DIVISLAB</v>
      </c>
      <c r="B60" s="140">
        <f>VLOOKUP($A60,'Data shares'!$C:$FB,7)</f>
        <v>6293</v>
      </c>
      <c r="C60" s="140">
        <f>VLOOKUP($A60,'Data shares'!$C:$FB,3)</f>
        <v>6299.5</v>
      </c>
      <c r="D60" s="140">
        <f>VLOOKUP($A60,'Data shares'!$C:$FB,4)</f>
        <v>6343</v>
      </c>
      <c r="E60" s="50">
        <f t="shared" si="0"/>
        <v>-0.68579536496925753</v>
      </c>
      <c r="F60" s="49">
        <f>VLOOKUP($A60,'Data shares'!$C:$FB,98)</f>
        <v>4657700</v>
      </c>
      <c r="G60" s="49">
        <f>VLOOKUP($A60,'Data shares'!$C:$FB,99)</f>
        <v>4593700</v>
      </c>
      <c r="H60" s="50">
        <f t="shared" si="1"/>
        <v>1.3932124431286326</v>
      </c>
      <c r="I60" s="49">
        <f>VLOOKUP($A60,'Data shares'!$C:$FB,66)</f>
        <v>937800</v>
      </c>
      <c r="J60" s="49">
        <f>VLOOKUP($A60,'Data shares'!$C:$FB,67)</f>
        <v>976500</v>
      </c>
      <c r="K60" s="50">
        <f t="shared" si="2"/>
        <v>-4.1266794625719774</v>
      </c>
      <c r="L60" s="50">
        <f>VLOOKUP($A60,'Data shares'!$C:$FB,118)</f>
        <v>0.7</v>
      </c>
      <c r="M60" s="50">
        <f>VLOOKUP($A60,'Data shares'!$C:$FB,119)</f>
        <v>0.73</v>
      </c>
      <c r="N60" s="50">
        <f>VLOOKUP($A60,'Data shares'!$C:$FB,121)*100</f>
        <v>-4.1099999999999994</v>
      </c>
      <c r="O60" s="50">
        <f>VLOOKUP($A60,'Data shares'!$C:$FB,124)</f>
        <v>0.45</v>
      </c>
      <c r="P60" s="50">
        <f>VLOOKUP($A60,'Data shares'!$C:$FB,125)</f>
        <v>0.5</v>
      </c>
      <c r="Q60" s="50">
        <f>VLOOKUP($A60,'Data shares'!$C:$FB,127)*100</f>
        <v>-10</v>
      </c>
    </row>
    <row r="61" spans="1:17" x14ac:dyDescent="0.25">
      <c r="A61" s="97" t="str">
        <f>'Data Vlaue (Cr)'!C56</f>
        <v>DIXON</v>
      </c>
      <c r="B61" s="140">
        <f>VLOOKUP($A61,'Data shares'!$C:$FB,7)</f>
        <v>13274</v>
      </c>
      <c r="C61" s="140">
        <f>VLOOKUP($A61,'Data shares'!$C:$FB,3)</f>
        <v>13263</v>
      </c>
      <c r="D61" s="140">
        <f>VLOOKUP($A61,'Data shares'!$C:$FB,4)</f>
        <v>13633</v>
      </c>
      <c r="E61" s="50">
        <f t="shared" si="0"/>
        <v>-2.7140027873542141</v>
      </c>
      <c r="F61" s="49">
        <f>VLOOKUP($A61,'Data shares'!$C:$FB,98)</f>
        <v>7711800</v>
      </c>
      <c r="G61" s="49">
        <f>VLOOKUP($A61,'Data shares'!$C:$FB,99)</f>
        <v>7318200</v>
      </c>
      <c r="H61" s="50">
        <f t="shared" si="1"/>
        <v>5.3783717307534635</v>
      </c>
      <c r="I61" s="49">
        <f>VLOOKUP($A61,'Data shares'!$C:$FB,66)</f>
        <v>12586050</v>
      </c>
      <c r="J61" s="49">
        <f>VLOOKUP($A61,'Data shares'!$C:$FB,67)</f>
        <v>8822550</v>
      </c>
      <c r="K61" s="50">
        <f t="shared" si="2"/>
        <v>29.902153574791139</v>
      </c>
      <c r="L61" s="50">
        <f>VLOOKUP($A61,'Data shares'!$C:$FB,118)</f>
        <v>0.52</v>
      </c>
      <c r="M61" s="50">
        <f>VLOOKUP($A61,'Data shares'!$C:$FB,119)</f>
        <v>0.56999999999999995</v>
      </c>
      <c r="N61" s="50">
        <f>VLOOKUP($A61,'Data shares'!$C:$FB,121)*100</f>
        <v>-8.77</v>
      </c>
      <c r="O61" s="50">
        <f>VLOOKUP($A61,'Data shares'!$C:$FB,124)</f>
        <v>1.0900000000000001</v>
      </c>
      <c r="P61" s="50">
        <f>VLOOKUP($A61,'Data shares'!$C:$FB,125)</f>
        <v>0.74</v>
      </c>
      <c r="Q61" s="50">
        <f>VLOOKUP($A61,'Data shares'!$C:$FB,127)*100</f>
        <v>47.3</v>
      </c>
    </row>
    <row r="62" spans="1:17" x14ac:dyDescent="0.25">
      <c r="A62" s="97" t="str">
        <f>'Data Vlaue (Cr)'!C57</f>
        <v>DLF</v>
      </c>
      <c r="B62" s="140">
        <f>VLOOKUP($A62,'Data shares'!$C:$FB,7)</f>
        <v>683.1</v>
      </c>
      <c r="C62" s="140">
        <f>VLOOKUP($A62,'Data shares'!$C:$FB,3)</f>
        <v>683.8</v>
      </c>
      <c r="D62" s="140">
        <f>VLOOKUP($A62,'Data shares'!$C:$FB,4)</f>
        <v>692.6</v>
      </c>
      <c r="E62" s="50">
        <f t="shared" si="0"/>
        <v>-1.2705746462604777</v>
      </c>
      <c r="F62" s="49">
        <f>VLOOKUP($A62,'Data shares'!$C:$FB,98)</f>
        <v>88187550</v>
      </c>
      <c r="G62" s="49">
        <f>VLOOKUP($A62,'Data shares'!$C:$FB,99)</f>
        <v>86947575</v>
      </c>
      <c r="H62" s="50">
        <f t="shared" si="1"/>
        <v>1.4261179797136379</v>
      </c>
      <c r="I62" s="49">
        <f>VLOOKUP($A62,'Data shares'!$C:$FB,66)</f>
        <v>29743725</v>
      </c>
      <c r="J62" s="49">
        <f>VLOOKUP($A62,'Data shares'!$C:$FB,67)</f>
        <v>19511250</v>
      </c>
      <c r="K62" s="50">
        <f t="shared" si="2"/>
        <v>34.402130197209665</v>
      </c>
      <c r="L62" s="50">
        <f>VLOOKUP($A62,'Data shares'!$C:$FB,118)</f>
        <v>0.62</v>
      </c>
      <c r="M62" s="50">
        <f>VLOOKUP($A62,'Data shares'!$C:$FB,119)</f>
        <v>0.62</v>
      </c>
      <c r="N62" s="50">
        <f>VLOOKUP($A62,'Data shares'!$C:$FB,121)*100</f>
        <v>0</v>
      </c>
      <c r="O62" s="50">
        <f>VLOOKUP($A62,'Data shares'!$C:$FB,124)</f>
        <v>0.39</v>
      </c>
      <c r="P62" s="50">
        <f>VLOOKUP($A62,'Data shares'!$C:$FB,125)</f>
        <v>0.28000000000000003</v>
      </c>
      <c r="Q62" s="50">
        <f>VLOOKUP($A62,'Data shares'!$C:$FB,127)*100</f>
        <v>39.290000000000006</v>
      </c>
    </row>
    <row r="63" spans="1:17" x14ac:dyDescent="0.25">
      <c r="A63" s="97" t="str">
        <f>'Data Vlaue (Cr)'!C58</f>
        <v>DMART</v>
      </c>
      <c r="B63" s="140">
        <f>VLOOKUP($A63,'Data shares'!$C:$FB,7)</f>
        <v>3826.2</v>
      </c>
      <c r="C63" s="140">
        <f>VLOOKUP($A63,'Data shares'!$C:$FB,3)</f>
        <v>3825.1</v>
      </c>
      <c r="D63" s="140">
        <f>VLOOKUP($A63,'Data shares'!$C:$FB,4)</f>
        <v>3860.5</v>
      </c>
      <c r="E63" s="50">
        <f t="shared" si="0"/>
        <v>-0.91697966584639523</v>
      </c>
      <c r="F63" s="49">
        <f>VLOOKUP($A63,'Data shares'!$C:$FB,98)</f>
        <v>9434850</v>
      </c>
      <c r="G63" s="49">
        <f>VLOOKUP($A63,'Data shares'!$C:$FB,99)</f>
        <v>9324000</v>
      </c>
      <c r="H63" s="50">
        <f t="shared" si="1"/>
        <v>1.1888674388674387</v>
      </c>
      <c r="I63" s="49">
        <f>VLOOKUP($A63,'Data shares'!$C:$FB,66)</f>
        <v>3317700</v>
      </c>
      <c r="J63" s="49">
        <f>VLOOKUP($A63,'Data shares'!$C:$FB,67)</f>
        <v>12093900</v>
      </c>
      <c r="K63" s="50">
        <f t="shared" si="2"/>
        <v>-264.52662989420384</v>
      </c>
      <c r="L63" s="50">
        <f>VLOOKUP($A63,'Data shares'!$C:$FB,118)</f>
        <v>0.48</v>
      </c>
      <c r="M63" s="50">
        <f>VLOOKUP($A63,'Data shares'!$C:$FB,119)</f>
        <v>0.48</v>
      </c>
      <c r="N63" s="50">
        <f>VLOOKUP($A63,'Data shares'!$C:$FB,121)*100</f>
        <v>0</v>
      </c>
      <c r="O63" s="50">
        <f>VLOOKUP($A63,'Data shares'!$C:$FB,124)</f>
        <v>0.4</v>
      </c>
      <c r="P63" s="50">
        <f>VLOOKUP($A63,'Data shares'!$C:$FB,125)</f>
        <v>0.28999999999999998</v>
      </c>
      <c r="Q63" s="50">
        <f>VLOOKUP($A63,'Data shares'!$C:$FB,127)*100</f>
        <v>37.93</v>
      </c>
    </row>
    <row r="64" spans="1:17" x14ac:dyDescent="0.25">
      <c r="A64" s="97" t="str">
        <f>'Data Vlaue (Cr)'!C59</f>
        <v>DRREDDY</v>
      </c>
      <c r="B64" s="140">
        <f>VLOOKUP($A64,'Data shares'!$C:$FB,7)</f>
        <v>1272</v>
      </c>
      <c r="C64" s="140">
        <f>VLOOKUP($A64,'Data shares'!$C:$FB,3)</f>
        <v>1273.2</v>
      </c>
      <c r="D64" s="140">
        <f>VLOOKUP($A64,'Data shares'!$C:$FB,4)</f>
        <v>1277.9000000000001</v>
      </c>
      <c r="E64" s="50">
        <f t="shared" si="0"/>
        <v>-0.36779090695672945</v>
      </c>
      <c r="F64" s="49">
        <f>VLOOKUP($A64,'Data shares'!$C:$FB,98)</f>
        <v>23740000</v>
      </c>
      <c r="G64" s="49">
        <f>VLOOKUP($A64,'Data shares'!$C:$FB,99)</f>
        <v>23855625</v>
      </c>
      <c r="H64" s="50">
        <f t="shared" si="1"/>
        <v>-0.48468652571458509</v>
      </c>
      <c r="I64" s="49">
        <f>VLOOKUP($A64,'Data shares'!$C:$FB,66)</f>
        <v>6504375</v>
      </c>
      <c r="J64" s="49">
        <f>VLOOKUP($A64,'Data shares'!$C:$FB,67)</f>
        <v>5816250</v>
      </c>
      <c r="K64" s="50">
        <f t="shared" si="2"/>
        <v>10.579417699625253</v>
      </c>
      <c r="L64" s="50">
        <f>VLOOKUP($A64,'Data shares'!$C:$FB,118)</f>
        <v>0.49</v>
      </c>
      <c r="M64" s="50">
        <f>VLOOKUP($A64,'Data shares'!$C:$FB,119)</f>
        <v>0.5</v>
      </c>
      <c r="N64" s="50">
        <f>VLOOKUP($A64,'Data shares'!$C:$FB,121)*100</f>
        <v>-2</v>
      </c>
      <c r="O64" s="50">
        <f>VLOOKUP($A64,'Data shares'!$C:$FB,124)</f>
        <v>0.53</v>
      </c>
      <c r="P64" s="50">
        <f>VLOOKUP($A64,'Data shares'!$C:$FB,125)</f>
        <v>0.52</v>
      </c>
      <c r="Q64" s="50">
        <f>VLOOKUP($A64,'Data shares'!$C:$FB,127)*100</f>
        <v>1.92</v>
      </c>
    </row>
    <row r="65" spans="1:17" x14ac:dyDescent="0.25">
      <c r="A65" s="97" t="str">
        <f>'Data Vlaue (Cr)'!C60</f>
        <v>EICHERMOT</v>
      </c>
      <c r="B65" s="140">
        <f>VLOOKUP($A65,'Data shares'!$C:$FB,7)</f>
        <v>7134.5</v>
      </c>
      <c r="C65" s="140">
        <f>VLOOKUP($A65,'Data shares'!$C:$FB,3)</f>
        <v>7144</v>
      </c>
      <c r="D65" s="140">
        <f>VLOOKUP($A65,'Data shares'!$C:$FB,4)</f>
        <v>7077</v>
      </c>
      <c r="E65" s="50">
        <f t="shared" si="0"/>
        <v>0.9467288399039141</v>
      </c>
      <c r="F65" s="49">
        <f>VLOOKUP($A65,'Data shares'!$C:$FB,98)</f>
        <v>7971550</v>
      </c>
      <c r="G65" s="49">
        <f>VLOOKUP($A65,'Data shares'!$C:$FB,99)</f>
        <v>7957675</v>
      </c>
      <c r="H65" s="50">
        <f t="shared" si="1"/>
        <v>0.17435997323338789</v>
      </c>
      <c r="I65" s="49">
        <f>VLOOKUP($A65,'Data shares'!$C:$FB,66)</f>
        <v>8274175</v>
      </c>
      <c r="J65" s="49">
        <f>VLOOKUP($A65,'Data shares'!$C:$FB,67)</f>
        <v>5581100</v>
      </c>
      <c r="K65" s="50">
        <f t="shared" si="2"/>
        <v>32.547957953511983</v>
      </c>
      <c r="L65" s="50">
        <f>VLOOKUP($A65,'Data shares'!$C:$FB,118)</f>
        <v>0.74</v>
      </c>
      <c r="M65" s="50">
        <f>VLOOKUP($A65,'Data shares'!$C:$FB,119)</f>
        <v>0.69</v>
      </c>
      <c r="N65" s="50">
        <f>VLOOKUP($A65,'Data shares'!$C:$FB,121)*100</f>
        <v>7.2499999999999991</v>
      </c>
      <c r="O65" s="50">
        <f>VLOOKUP($A65,'Data shares'!$C:$FB,124)</f>
        <v>0.53</v>
      </c>
      <c r="P65" s="50">
        <f>VLOOKUP($A65,'Data shares'!$C:$FB,125)</f>
        <v>0.85</v>
      </c>
      <c r="Q65" s="50">
        <f>VLOOKUP($A65,'Data shares'!$C:$FB,127)*100</f>
        <v>-37.65</v>
      </c>
    </row>
    <row r="66" spans="1:17" x14ac:dyDescent="0.25">
      <c r="A66" s="97" t="str">
        <f>'Data Vlaue (Cr)'!C61</f>
        <v>ETERNAL</v>
      </c>
      <c r="B66" s="140">
        <f>VLOOKUP($A66,'Data shares'!$C:$FB,7)</f>
        <v>284.45</v>
      </c>
      <c r="C66" s="140">
        <f>VLOOKUP($A66,'Data shares'!$C:$FB,3)</f>
        <v>285</v>
      </c>
      <c r="D66" s="140">
        <f>VLOOKUP($A66,'Data shares'!$C:$FB,4)</f>
        <v>284.95</v>
      </c>
      <c r="E66" s="50">
        <f t="shared" si="0"/>
        <v>1.7546938059312643E-2</v>
      </c>
      <c r="F66" s="49">
        <f>VLOOKUP($A66,'Data shares'!$C:$FB,98)</f>
        <v>453795100</v>
      </c>
      <c r="G66" s="49">
        <f>VLOOKUP($A66,'Data shares'!$C:$FB,99)</f>
        <v>451025750</v>
      </c>
      <c r="H66" s="50">
        <f t="shared" si="1"/>
        <v>0.61401150599494592</v>
      </c>
      <c r="I66" s="49">
        <f>VLOOKUP($A66,'Data shares'!$C:$FB,66)</f>
        <v>189865375</v>
      </c>
      <c r="J66" s="49">
        <f>VLOOKUP($A66,'Data shares'!$C:$FB,67)</f>
        <v>540285150</v>
      </c>
      <c r="K66" s="50">
        <f t="shared" si="2"/>
        <v>-184.56223258190178</v>
      </c>
      <c r="L66" s="50">
        <f>VLOOKUP($A66,'Data shares'!$C:$FB,118)</f>
        <v>0.53</v>
      </c>
      <c r="M66" s="50">
        <f>VLOOKUP($A66,'Data shares'!$C:$FB,119)</f>
        <v>0.55000000000000004</v>
      </c>
      <c r="N66" s="50">
        <f>VLOOKUP($A66,'Data shares'!$C:$FB,121)*100</f>
        <v>-3.64</v>
      </c>
      <c r="O66" s="50">
        <f>VLOOKUP($A66,'Data shares'!$C:$FB,124)</f>
        <v>0.6</v>
      </c>
      <c r="P66" s="50">
        <f>VLOOKUP($A66,'Data shares'!$C:$FB,125)</f>
        <v>0.75</v>
      </c>
      <c r="Q66" s="50">
        <f>VLOOKUP($A66,'Data shares'!$C:$FB,127)*100</f>
        <v>-20</v>
      </c>
    </row>
    <row r="67" spans="1:17" x14ac:dyDescent="0.25">
      <c r="A67" s="97" t="str">
        <f>'Data Vlaue (Cr)'!C62</f>
        <v>EXIDEIND</v>
      </c>
      <c r="B67" s="140">
        <f>VLOOKUP($A67,'Data shares'!$C:$FB,7)</f>
        <v>363.8</v>
      </c>
      <c r="C67" s="140">
        <f>VLOOKUP($A67,'Data shares'!$C:$FB,3)</f>
        <v>364.1</v>
      </c>
      <c r="D67" s="140">
        <f>VLOOKUP($A67,'Data shares'!$C:$FB,4)</f>
        <v>366.45</v>
      </c>
      <c r="E67" s="50">
        <f t="shared" si="0"/>
        <v>-0.64128803383816779</v>
      </c>
      <c r="F67" s="49">
        <f>VLOOKUP($A67,'Data shares'!$C:$FB,98)</f>
        <v>50310000</v>
      </c>
      <c r="G67" s="49">
        <f>VLOOKUP($A67,'Data shares'!$C:$FB,99)</f>
        <v>49264200</v>
      </c>
      <c r="H67" s="50">
        <f t="shared" si="1"/>
        <v>2.1228397091599982</v>
      </c>
      <c r="I67" s="49">
        <f>VLOOKUP($A67,'Data shares'!$C:$FB,66)</f>
        <v>16549200</v>
      </c>
      <c r="J67" s="49">
        <f>VLOOKUP($A67,'Data shares'!$C:$FB,67)</f>
        <v>19830600</v>
      </c>
      <c r="K67" s="50">
        <f t="shared" si="2"/>
        <v>-19.828148792690886</v>
      </c>
      <c r="L67" s="50">
        <f>VLOOKUP($A67,'Data shares'!$C:$FB,118)</f>
        <v>0.71</v>
      </c>
      <c r="M67" s="50">
        <f>VLOOKUP($A67,'Data shares'!$C:$FB,119)</f>
        <v>0.71</v>
      </c>
      <c r="N67" s="50">
        <f>VLOOKUP($A67,'Data shares'!$C:$FB,121)*100</f>
        <v>0</v>
      </c>
      <c r="O67" s="50">
        <f>VLOOKUP($A67,'Data shares'!$C:$FB,124)</f>
        <v>0.41</v>
      </c>
      <c r="P67" s="50">
        <f>VLOOKUP($A67,'Data shares'!$C:$FB,125)</f>
        <v>0.4</v>
      </c>
      <c r="Q67" s="50">
        <f>VLOOKUP($A67,'Data shares'!$C:$FB,127)*100</f>
        <v>2.5</v>
      </c>
    </row>
    <row r="68" spans="1:17" x14ac:dyDescent="0.25">
      <c r="A68" s="97" t="str">
        <f>'Data Vlaue (Cr)'!C63</f>
        <v>FEDERALBNK</v>
      </c>
      <c r="B68" s="140">
        <f>VLOOKUP($A68,'Data shares'!$C:$FB,7)</f>
        <v>263.60000000000002</v>
      </c>
      <c r="C68" s="140">
        <f>VLOOKUP($A68,'Data shares'!$C:$FB,3)</f>
        <v>264.3</v>
      </c>
      <c r="D68" s="140">
        <f>VLOOKUP($A68,'Data shares'!$C:$FB,4)</f>
        <v>263.10000000000002</v>
      </c>
      <c r="E68" s="50">
        <f t="shared" si="0"/>
        <v>0.45610034207525224</v>
      </c>
      <c r="F68" s="49">
        <f>VLOOKUP($A68,'Data shares'!$C:$FB,98)</f>
        <v>154985000</v>
      </c>
      <c r="G68" s="49">
        <f>VLOOKUP($A68,'Data shares'!$C:$FB,99)</f>
        <v>151820000</v>
      </c>
      <c r="H68" s="50">
        <f t="shared" si="1"/>
        <v>2.0847055723883545</v>
      </c>
      <c r="I68" s="49">
        <f>VLOOKUP($A68,'Data shares'!$C:$FB,66)</f>
        <v>87350000</v>
      </c>
      <c r="J68" s="49">
        <f>VLOOKUP($A68,'Data shares'!$C:$FB,67)</f>
        <v>96530000</v>
      </c>
      <c r="K68" s="50">
        <f t="shared" si="2"/>
        <v>-10.509444762449913</v>
      </c>
      <c r="L68" s="50">
        <f>VLOOKUP($A68,'Data shares'!$C:$FB,118)</f>
        <v>0.99</v>
      </c>
      <c r="M68" s="50">
        <f>VLOOKUP($A68,'Data shares'!$C:$FB,119)</f>
        <v>1</v>
      </c>
      <c r="N68" s="50">
        <f>VLOOKUP($A68,'Data shares'!$C:$FB,121)*100</f>
        <v>-1</v>
      </c>
      <c r="O68" s="50">
        <f>VLOOKUP($A68,'Data shares'!$C:$FB,124)</f>
        <v>0.59</v>
      </c>
      <c r="P68" s="50">
        <f>VLOOKUP($A68,'Data shares'!$C:$FB,125)</f>
        <v>0.55000000000000004</v>
      </c>
      <c r="Q68" s="50">
        <f>VLOOKUP($A68,'Data shares'!$C:$FB,127)*100</f>
        <v>7.2700000000000005</v>
      </c>
    </row>
    <row r="69" spans="1:17" x14ac:dyDescent="0.25">
      <c r="A69" s="97" t="str">
        <f>'Data Vlaue (Cr)'!C64</f>
        <v>FINNIFTY</v>
      </c>
      <c r="B69" s="140">
        <f>VLOOKUP($A69,'Data shares'!$C:$FB,7)</f>
        <v>27251.95</v>
      </c>
      <c r="C69" s="140">
        <f>VLOOKUP($A69,'Data shares'!$C:$FB,3)</f>
        <v>27375.7</v>
      </c>
      <c r="D69" s="140">
        <f>VLOOKUP($A69,'Data shares'!$C:$FB,4)</f>
        <v>27505.1</v>
      </c>
      <c r="E69" s="50">
        <f t="shared" si="0"/>
        <v>-0.47045820593271004</v>
      </c>
      <c r="F69" s="49">
        <f>VLOOKUP($A69,'Data shares'!$C:$FB,98)</f>
        <v>1531220</v>
      </c>
      <c r="G69" s="49">
        <f>VLOOKUP($A69,'Data shares'!$C:$FB,99)</f>
        <v>1371730</v>
      </c>
      <c r="H69" s="50">
        <f t="shared" si="1"/>
        <v>11.626923665735967</v>
      </c>
      <c r="I69" s="49">
        <f>VLOOKUP($A69,'Data shares'!$C:$FB,66)</f>
        <v>2995785</v>
      </c>
      <c r="J69" s="49">
        <f>VLOOKUP($A69,'Data shares'!$C:$FB,67)</f>
        <v>2279810</v>
      </c>
      <c r="K69" s="50">
        <f t="shared" si="2"/>
        <v>23.899412007203455</v>
      </c>
      <c r="L69" s="50">
        <f>VLOOKUP($A69,'Data shares'!$C:$FB,118)</f>
        <v>0.56999999999999995</v>
      </c>
      <c r="M69" s="50">
        <f>VLOOKUP($A69,'Data shares'!$C:$FB,119)</f>
        <v>0.63</v>
      </c>
      <c r="N69" s="50">
        <f>VLOOKUP($A69,'Data shares'!$C:$FB,121)*100</f>
        <v>-9.5200000000000014</v>
      </c>
      <c r="O69" s="50">
        <f>VLOOKUP($A69,'Data shares'!$C:$FB,124)</f>
        <v>0.66</v>
      </c>
      <c r="P69" s="50">
        <f>VLOOKUP($A69,'Data shares'!$C:$FB,125)</f>
        <v>0.7</v>
      </c>
      <c r="Q69" s="50">
        <f>VLOOKUP($A69,'Data shares'!$C:$FB,127)*100</f>
        <v>-5.71</v>
      </c>
    </row>
    <row r="70" spans="1:17" x14ac:dyDescent="0.25">
      <c r="A70" s="97" t="str">
        <f>'Data Vlaue (Cr)'!C65</f>
        <v>FORTIS</v>
      </c>
      <c r="B70" s="140">
        <f>VLOOKUP($A70,'Data shares'!$C:$FB,7)</f>
        <v>870.95</v>
      </c>
      <c r="C70" s="140">
        <f>VLOOKUP($A70,'Data shares'!$C:$FB,3)</f>
        <v>871.65</v>
      </c>
      <c r="D70" s="140">
        <f>VLOOKUP($A70,'Data shares'!$C:$FB,4)</f>
        <v>876.25</v>
      </c>
      <c r="E70" s="50">
        <f t="shared" si="0"/>
        <v>-0.52496433666191411</v>
      </c>
      <c r="F70" s="49">
        <f>VLOOKUP($A70,'Data shares'!$C:$FB,98)</f>
        <v>24092425</v>
      </c>
      <c r="G70" s="49">
        <f>VLOOKUP($A70,'Data shares'!$C:$FB,99)</f>
        <v>24226500</v>
      </c>
      <c r="H70" s="50">
        <f t="shared" si="1"/>
        <v>-0.55342290467050548</v>
      </c>
      <c r="I70" s="49">
        <f>VLOOKUP($A70,'Data shares'!$C:$FB,66)</f>
        <v>6222475</v>
      </c>
      <c r="J70" s="49">
        <f>VLOOKUP($A70,'Data shares'!$C:$FB,67)</f>
        <v>12451150</v>
      </c>
      <c r="K70" s="50">
        <f t="shared" si="2"/>
        <v>-100.09963880931623</v>
      </c>
      <c r="L70" s="50">
        <f>VLOOKUP($A70,'Data shares'!$C:$FB,118)</f>
        <v>0.44</v>
      </c>
      <c r="M70" s="50">
        <f>VLOOKUP($A70,'Data shares'!$C:$FB,119)</f>
        <v>0.42</v>
      </c>
      <c r="N70" s="50">
        <f>VLOOKUP($A70,'Data shares'!$C:$FB,121)*100</f>
        <v>4.7600000000000007</v>
      </c>
      <c r="O70" s="50">
        <f>VLOOKUP($A70,'Data shares'!$C:$FB,124)</f>
        <v>0.4</v>
      </c>
      <c r="P70" s="50">
        <f>VLOOKUP($A70,'Data shares'!$C:$FB,125)</f>
        <v>0.25</v>
      </c>
      <c r="Q70" s="50">
        <f>VLOOKUP($A70,'Data shares'!$C:$FB,127)*100</f>
        <v>60</v>
      </c>
    </row>
    <row r="71" spans="1:17" x14ac:dyDescent="0.25">
      <c r="A71" s="97" t="str">
        <f>'Data Vlaue (Cr)'!C66</f>
        <v>GAIL</v>
      </c>
      <c r="B71" s="140">
        <f>VLOOKUP($A71,'Data shares'!$C:$FB,7)</f>
        <v>169.07</v>
      </c>
      <c r="C71" s="140">
        <f>VLOOKUP($A71,'Data shares'!$C:$FB,3)</f>
        <v>169.34</v>
      </c>
      <c r="D71" s="140">
        <f>VLOOKUP($A71,'Data shares'!$C:$FB,4)</f>
        <v>168.97</v>
      </c>
      <c r="E71" s="50">
        <f t="shared" si="0"/>
        <v>0.21897378232822665</v>
      </c>
      <c r="F71" s="49">
        <f>VLOOKUP($A71,'Data shares'!$C:$FB,98)</f>
        <v>213273900</v>
      </c>
      <c r="G71" s="49">
        <f>VLOOKUP($A71,'Data shares'!$C:$FB,99)</f>
        <v>215233200</v>
      </c>
      <c r="H71" s="50">
        <f t="shared" si="1"/>
        <v>-0.91031495141084184</v>
      </c>
      <c r="I71" s="49">
        <f>VLOOKUP($A71,'Data shares'!$C:$FB,66)</f>
        <v>41312250</v>
      </c>
      <c r="J71" s="49">
        <f>VLOOKUP($A71,'Data shares'!$C:$FB,67)</f>
        <v>48132000</v>
      </c>
      <c r="K71" s="50">
        <f t="shared" si="2"/>
        <v>-16.507815478459779</v>
      </c>
      <c r="L71" s="50">
        <f>VLOOKUP($A71,'Data shares'!$C:$FB,118)</f>
        <v>0.66</v>
      </c>
      <c r="M71" s="50">
        <f>VLOOKUP($A71,'Data shares'!$C:$FB,119)</f>
        <v>0.65</v>
      </c>
      <c r="N71" s="50">
        <f>VLOOKUP($A71,'Data shares'!$C:$FB,121)*100</f>
        <v>1.54</v>
      </c>
      <c r="O71" s="50">
        <f>VLOOKUP($A71,'Data shares'!$C:$FB,124)</f>
        <v>0.39</v>
      </c>
      <c r="P71" s="50">
        <f>VLOOKUP($A71,'Data shares'!$C:$FB,125)</f>
        <v>0.59</v>
      </c>
      <c r="Q71" s="50">
        <f>VLOOKUP($A71,'Data shares'!$C:$FB,127)*100</f>
        <v>-33.900000000000006</v>
      </c>
    </row>
    <row r="72" spans="1:17" x14ac:dyDescent="0.25">
      <c r="A72" s="97" t="str">
        <f>'Data Vlaue (Cr)'!C67</f>
        <v>GLENMARK</v>
      </c>
      <c r="B72" s="140">
        <f>VLOOKUP($A72,'Data shares'!$C:$FB,7)</f>
        <v>1948.4</v>
      </c>
      <c r="C72" s="140">
        <f>VLOOKUP($A72,'Data shares'!$C:$FB,3)</f>
        <v>1951.9</v>
      </c>
      <c r="D72" s="140">
        <f>VLOOKUP($A72,'Data shares'!$C:$FB,4)</f>
        <v>1968</v>
      </c>
      <c r="E72" s="50">
        <f t="shared" ref="E72:E135" si="3">(C72-D72)/D72*100</f>
        <v>-0.81808943089430441</v>
      </c>
      <c r="F72" s="49">
        <f>VLOOKUP($A72,'Data shares'!$C:$FB,98)</f>
        <v>21753000</v>
      </c>
      <c r="G72" s="49">
        <f>VLOOKUP($A72,'Data shares'!$C:$FB,99)</f>
        <v>21722250</v>
      </c>
      <c r="H72" s="50">
        <f t="shared" ref="H72:H135" si="4">(F72-G72)/G72*100</f>
        <v>0.14155992127887304</v>
      </c>
      <c r="I72" s="49">
        <f>VLOOKUP($A72,'Data shares'!$C:$FB,66)</f>
        <v>6593625</v>
      </c>
      <c r="J72" s="49">
        <f>VLOOKUP($A72,'Data shares'!$C:$FB,67)</f>
        <v>5804625</v>
      </c>
      <c r="K72" s="50">
        <f t="shared" ref="K72:K135" si="5">(I72-J72)/I72*100</f>
        <v>11.966103622817494</v>
      </c>
      <c r="L72" s="50">
        <f>VLOOKUP($A72,'Data shares'!$C:$FB,118)</f>
        <v>0.72</v>
      </c>
      <c r="M72" s="50">
        <f>VLOOKUP($A72,'Data shares'!$C:$FB,119)</f>
        <v>0.73</v>
      </c>
      <c r="N72" s="50">
        <f>VLOOKUP($A72,'Data shares'!$C:$FB,121)*100</f>
        <v>-1.37</v>
      </c>
      <c r="O72" s="50">
        <f>VLOOKUP($A72,'Data shares'!$C:$FB,124)</f>
        <v>0.48</v>
      </c>
      <c r="P72" s="50">
        <f>VLOOKUP($A72,'Data shares'!$C:$FB,125)</f>
        <v>0.65</v>
      </c>
      <c r="Q72" s="50">
        <f>VLOOKUP($A72,'Data shares'!$C:$FB,127)*100</f>
        <v>-26.150000000000002</v>
      </c>
    </row>
    <row r="73" spans="1:17" x14ac:dyDescent="0.25">
      <c r="A73" s="97" t="str">
        <f>'Data Vlaue (Cr)'!C68</f>
        <v>GMRAIRPORT</v>
      </c>
      <c r="B73" s="140">
        <f>VLOOKUP($A73,'Data shares'!$C:$FB,7)</f>
        <v>100.95</v>
      </c>
      <c r="C73" s="140">
        <f>VLOOKUP($A73,'Data shares'!$C:$FB,3)</f>
        <v>101.13</v>
      </c>
      <c r="D73" s="140">
        <f>VLOOKUP($A73,'Data shares'!$C:$FB,4)</f>
        <v>103.61</v>
      </c>
      <c r="E73" s="50">
        <f t="shared" si="3"/>
        <v>-2.3935913521860863</v>
      </c>
      <c r="F73" s="49">
        <f>VLOOKUP($A73,'Data shares'!$C:$FB,98)</f>
        <v>405087075</v>
      </c>
      <c r="G73" s="49">
        <f>VLOOKUP($A73,'Data shares'!$C:$FB,99)</f>
        <v>402032025</v>
      </c>
      <c r="H73" s="50">
        <f t="shared" si="4"/>
        <v>0.75990214958621771</v>
      </c>
      <c r="I73" s="49">
        <f>VLOOKUP($A73,'Data shares'!$C:$FB,66)</f>
        <v>218254725</v>
      </c>
      <c r="J73" s="49">
        <f>VLOOKUP($A73,'Data shares'!$C:$FB,67)</f>
        <v>241558200</v>
      </c>
      <c r="K73" s="50">
        <f t="shared" si="5"/>
        <v>-10.677191524719568</v>
      </c>
      <c r="L73" s="50">
        <f>VLOOKUP($A73,'Data shares'!$C:$FB,118)</f>
        <v>0.54</v>
      </c>
      <c r="M73" s="50">
        <f>VLOOKUP($A73,'Data shares'!$C:$FB,119)</f>
        <v>0.56000000000000005</v>
      </c>
      <c r="N73" s="50">
        <f>VLOOKUP($A73,'Data shares'!$C:$FB,121)*100</f>
        <v>-3.5700000000000003</v>
      </c>
      <c r="O73" s="50">
        <f>VLOOKUP($A73,'Data shares'!$C:$FB,124)</f>
        <v>0.46</v>
      </c>
      <c r="P73" s="50">
        <f>VLOOKUP($A73,'Data shares'!$C:$FB,125)</f>
        <v>0.4</v>
      </c>
      <c r="Q73" s="50">
        <f>VLOOKUP($A73,'Data shares'!$C:$FB,127)*100</f>
        <v>15</v>
      </c>
    </row>
    <row r="74" spans="1:17" x14ac:dyDescent="0.25">
      <c r="A74" s="97" t="str">
        <f>'Data Vlaue (Cr)'!C69</f>
        <v>GODREJCP</v>
      </c>
      <c r="B74" s="140">
        <f>VLOOKUP($A74,'Data shares'!$C:$FB,7)</f>
        <v>1179.7</v>
      </c>
      <c r="C74" s="140">
        <f>VLOOKUP($A74,'Data shares'!$C:$FB,3)</f>
        <v>1180.5</v>
      </c>
      <c r="D74" s="140">
        <f>VLOOKUP($A74,'Data shares'!$C:$FB,4)</f>
        <v>1184.2</v>
      </c>
      <c r="E74" s="50">
        <f t="shared" si="3"/>
        <v>-0.31244722175308604</v>
      </c>
      <c r="F74" s="49">
        <f>VLOOKUP($A74,'Data shares'!$C:$FB,98)</f>
        <v>14213000</v>
      </c>
      <c r="G74" s="49">
        <f>VLOOKUP($A74,'Data shares'!$C:$FB,99)</f>
        <v>14425500</v>
      </c>
      <c r="H74" s="50">
        <f t="shared" si="4"/>
        <v>-1.4730858549097086</v>
      </c>
      <c r="I74" s="49">
        <f>VLOOKUP($A74,'Data shares'!$C:$FB,66)</f>
        <v>4818000</v>
      </c>
      <c r="J74" s="49">
        <f>VLOOKUP($A74,'Data shares'!$C:$FB,67)</f>
        <v>31567500</v>
      </c>
      <c r="K74" s="50">
        <f t="shared" si="5"/>
        <v>-555.19925280199254</v>
      </c>
      <c r="L74" s="50">
        <f>VLOOKUP($A74,'Data shares'!$C:$FB,118)</f>
        <v>0.64</v>
      </c>
      <c r="M74" s="50">
        <f>VLOOKUP($A74,'Data shares'!$C:$FB,119)</f>
        <v>0.68</v>
      </c>
      <c r="N74" s="50">
        <f>VLOOKUP($A74,'Data shares'!$C:$FB,121)*100</f>
        <v>-5.88</v>
      </c>
      <c r="O74" s="50">
        <f>VLOOKUP($A74,'Data shares'!$C:$FB,124)</f>
        <v>0.49</v>
      </c>
      <c r="P74" s="50">
        <f>VLOOKUP($A74,'Data shares'!$C:$FB,125)</f>
        <v>0.37</v>
      </c>
      <c r="Q74" s="50">
        <f>VLOOKUP($A74,'Data shares'!$C:$FB,127)*100</f>
        <v>32.43</v>
      </c>
    </row>
    <row r="75" spans="1:17" x14ac:dyDescent="0.25">
      <c r="A75" s="97" t="str">
        <f>'Data Vlaue (Cr)'!C70</f>
        <v>GODREJPROP</v>
      </c>
      <c r="B75" s="140">
        <f>VLOOKUP($A75,'Data shares'!$C:$FB,7)</f>
        <v>2014.9</v>
      </c>
      <c r="C75" s="140">
        <f>VLOOKUP($A75,'Data shares'!$C:$FB,3)</f>
        <v>2018.7</v>
      </c>
      <c r="D75" s="140">
        <f>VLOOKUP($A75,'Data shares'!$C:$FB,4)</f>
        <v>2031</v>
      </c>
      <c r="E75" s="50">
        <f t="shared" si="3"/>
        <v>-0.60561299852289296</v>
      </c>
      <c r="F75" s="49">
        <f>VLOOKUP($A75,'Data shares'!$C:$FB,98)</f>
        <v>14507625</v>
      </c>
      <c r="G75" s="49">
        <f>VLOOKUP($A75,'Data shares'!$C:$FB,99)</f>
        <v>14234550</v>
      </c>
      <c r="H75" s="50">
        <f t="shared" si="4"/>
        <v>1.918395734322476</v>
      </c>
      <c r="I75" s="49">
        <f>VLOOKUP($A75,'Data shares'!$C:$FB,66)</f>
        <v>3151775</v>
      </c>
      <c r="J75" s="49">
        <f>VLOOKUP($A75,'Data shares'!$C:$FB,67)</f>
        <v>3572250</v>
      </c>
      <c r="K75" s="50">
        <f t="shared" si="5"/>
        <v>-13.340895209842074</v>
      </c>
      <c r="L75" s="50">
        <f>VLOOKUP($A75,'Data shares'!$C:$FB,118)</f>
        <v>0.6</v>
      </c>
      <c r="M75" s="50">
        <f>VLOOKUP($A75,'Data shares'!$C:$FB,119)</f>
        <v>0.61</v>
      </c>
      <c r="N75" s="50">
        <f>VLOOKUP($A75,'Data shares'!$C:$FB,121)*100</f>
        <v>-1.6400000000000001</v>
      </c>
      <c r="O75" s="50">
        <f>VLOOKUP($A75,'Data shares'!$C:$FB,124)</f>
        <v>0.61</v>
      </c>
      <c r="P75" s="50">
        <f>VLOOKUP($A75,'Data shares'!$C:$FB,125)</f>
        <v>0.53</v>
      </c>
      <c r="Q75" s="50">
        <f>VLOOKUP($A75,'Data shares'!$C:$FB,127)*100</f>
        <v>15.09</v>
      </c>
    </row>
    <row r="76" spans="1:17" x14ac:dyDescent="0.25">
      <c r="A76" s="97" t="str">
        <f>'Data Vlaue (Cr)'!C71</f>
        <v>GRASIM</v>
      </c>
      <c r="B76" s="140">
        <f>VLOOKUP($A76,'Data shares'!$C:$FB,7)</f>
        <v>2806.6</v>
      </c>
      <c r="C76" s="140">
        <f>VLOOKUP($A76,'Data shares'!$C:$FB,3)</f>
        <v>2813.1</v>
      </c>
      <c r="D76" s="140">
        <f>VLOOKUP($A76,'Data shares'!$C:$FB,4)</f>
        <v>2806.8</v>
      </c>
      <c r="E76" s="50">
        <f t="shared" si="3"/>
        <v>0.22445489525437248</v>
      </c>
      <c r="F76" s="49">
        <f>VLOOKUP($A76,'Data shares'!$C:$FB,98)</f>
        <v>20560250</v>
      </c>
      <c r="G76" s="49">
        <f>VLOOKUP($A76,'Data shares'!$C:$FB,99)</f>
        <v>20575500</v>
      </c>
      <c r="H76" s="50">
        <f t="shared" si="4"/>
        <v>-7.4117275400354787E-2</v>
      </c>
      <c r="I76" s="49">
        <f>VLOOKUP($A76,'Data shares'!$C:$FB,66)</f>
        <v>2956500</v>
      </c>
      <c r="J76" s="49">
        <f>VLOOKUP($A76,'Data shares'!$C:$FB,67)</f>
        <v>3112500</v>
      </c>
      <c r="K76" s="50">
        <f t="shared" si="5"/>
        <v>-5.2765093860984269</v>
      </c>
      <c r="L76" s="50">
        <f>VLOOKUP($A76,'Data shares'!$C:$FB,118)</f>
        <v>1.0900000000000001</v>
      </c>
      <c r="M76" s="50">
        <f>VLOOKUP($A76,'Data shares'!$C:$FB,119)</f>
        <v>1.1000000000000001</v>
      </c>
      <c r="N76" s="50">
        <f>VLOOKUP($A76,'Data shares'!$C:$FB,121)*100</f>
        <v>-0.91</v>
      </c>
      <c r="O76" s="50">
        <f>VLOOKUP($A76,'Data shares'!$C:$FB,124)</f>
        <v>0.53</v>
      </c>
      <c r="P76" s="50">
        <f>VLOOKUP($A76,'Data shares'!$C:$FB,125)</f>
        <v>0.55000000000000004</v>
      </c>
      <c r="Q76" s="50">
        <f>VLOOKUP($A76,'Data shares'!$C:$FB,127)*100</f>
        <v>-3.64</v>
      </c>
    </row>
    <row r="77" spans="1:17" x14ac:dyDescent="0.25">
      <c r="A77" s="97" t="str">
        <f>'Data Vlaue (Cr)'!C72</f>
        <v>HAL</v>
      </c>
      <c r="B77" s="140">
        <f>VLOOKUP($A77,'Data shares'!$C:$FB,7)</f>
        <v>4228.3999999999996</v>
      </c>
      <c r="C77" s="140">
        <f>VLOOKUP($A77,'Data shares'!$C:$FB,3)</f>
        <v>4242.1000000000004</v>
      </c>
      <c r="D77" s="140">
        <f>VLOOKUP($A77,'Data shares'!$C:$FB,4)</f>
        <v>4275.8</v>
      </c>
      <c r="E77" s="50">
        <f t="shared" si="3"/>
        <v>-0.78815660227325446</v>
      </c>
      <c r="F77" s="49">
        <f>VLOOKUP($A77,'Data shares'!$C:$FB,98)</f>
        <v>24108750</v>
      </c>
      <c r="G77" s="49">
        <f>VLOOKUP($A77,'Data shares'!$C:$FB,99)</f>
        <v>23766000</v>
      </c>
      <c r="H77" s="50">
        <f t="shared" si="4"/>
        <v>1.4421863165867206</v>
      </c>
      <c r="I77" s="49">
        <f>VLOOKUP($A77,'Data shares'!$C:$FB,66)</f>
        <v>9669600</v>
      </c>
      <c r="J77" s="49">
        <f>VLOOKUP($A77,'Data shares'!$C:$FB,67)</f>
        <v>9735600</v>
      </c>
      <c r="K77" s="50">
        <f t="shared" si="5"/>
        <v>-0.68255150161330358</v>
      </c>
      <c r="L77" s="50">
        <f>VLOOKUP($A77,'Data shares'!$C:$FB,118)</f>
        <v>0.49</v>
      </c>
      <c r="M77" s="50">
        <f>VLOOKUP($A77,'Data shares'!$C:$FB,119)</f>
        <v>0.5</v>
      </c>
      <c r="N77" s="50">
        <f>VLOOKUP($A77,'Data shares'!$C:$FB,121)*100</f>
        <v>-2</v>
      </c>
      <c r="O77" s="50">
        <f>VLOOKUP($A77,'Data shares'!$C:$FB,124)</f>
        <v>0.44</v>
      </c>
      <c r="P77" s="50">
        <f>VLOOKUP($A77,'Data shares'!$C:$FB,125)</f>
        <v>0.41</v>
      </c>
      <c r="Q77" s="50">
        <f>VLOOKUP($A77,'Data shares'!$C:$FB,127)*100</f>
        <v>7.32</v>
      </c>
    </row>
    <row r="78" spans="1:17" x14ac:dyDescent="0.25">
      <c r="A78" s="97" t="str">
        <f>'Data Vlaue (Cr)'!C73</f>
        <v>HAVELLS</v>
      </c>
      <c r="B78" s="140">
        <f>VLOOKUP($A78,'Data shares'!$C:$FB,7)</f>
        <v>1397</v>
      </c>
      <c r="C78" s="140">
        <f>VLOOKUP($A78,'Data shares'!$C:$FB,3)</f>
        <v>1398.7</v>
      </c>
      <c r="D78" s="140">
        <f>VLOOKUP($A78,'Data shares'!$C:$FB,4)</f>
        <v>1418</v>
      </c>
      <c r="E78" s="50">
        <f t="shared" si="3"/>
        <v>-1.3610719322990095</v>
      </c>
      <c r="F78" s="49">
        <f>VLOOKUP($A78,'Data shares'!$C:$FB,98)</f>
        <v>13262000</v>
      </c>
      <c r="G78" s="49">
        <f>VLOOKUP($A78,'Data shares'!$C:$FB,99)</f>
        <v>12970000</v>
      </c>
      <c r="H78" s="50">
        <f t="shared" si="4"/>
        <v>2.251349267540478</v>
      </c>
      <c r="I78" s="49">
        <f>VLOOKUP($A78,'Data shares'!$C:$FB,66)</f>
        <v>3960500</v>
      </c>
      <c r="J78" s="49">
        <f>VLOOKUP($A78,'Data shares'!$C:$FB,67)</f>
        <v>3336500</v>
      </c>
      <c r="K78" s="50">
        <f t="shared" si="5"/>
        <v>15.755586415856584</v>
      </c>
      <c r="L78" s="50">
        <f>VLOOKUP($A78,'Data shares'!$C:$FB,118)</f>
        <v>0.76</v>
      </c>
      <c r="M78" s="50">
        <f>VLOOKUP($A78,'Data shares'!$C:$FB,119)</f>
        <v>0.78</v>
      </c>
      <c r="N78" s="50">
        <f>VLOOKUP($A78,'Data shares'!$C:$FB,121)*100</f>
        <v>-2.56</v>
      </c>
      <c r="O78" s="50">
        <f>VLOOKUP($A78,'Data shares'!$C:$FB,124)</f>
        <v>0.74</v>
      </c>
      <c r="P78" s="50">
        <f>VLOOKUP($A78,'Data shares'!$C:$FB,125)</f>
        <v>0.34</v>
      </c>
      <c r="Q78" s="50">
        <f>VLOOKUP($A78,'Data shares'!$C:$FB,127)*100</f>
        <v>117.65</v>
      </c>
    </row>
    <row r="79" spans="1:17" x14ac:dyDescent="0.25">
      <c r="A79" s="97" t="str">
        <f>'Data Vlaue (Cr)'!C74</f>
        <v>HCLTECH</v>
      </c>
      <c r="B79" s="140">
        <f>VLOOKUP($A79,'Data shares'!$C:$FB,7)</f>
        <v>1655</v>
      </c>
      <c r="C79" s="140">
        <f>VLOOKUP($A79,'Data shares'!$C:$FB,3)</f>
        <v>1661</v>
      </c>
      <c r="D79" s="140">
        <f>VLOOKUP($A79,'Data shares'!$C:$FB,4)</f>
        <v>1657.7</v>
      </c>
      <c r="E79" s="50">
        <f t="shared" si="3"/>
        <v>0.19907100199070726</v>
      </c>
      <c r="F79" s="49">
        <f>VLOOKUP($A79,'Data shares'!$C:$FB,98)</f>
        <v>28630700</v>
      </c>
      <c r="G79" s="49">
        <f>VLOOKUP($A79,'Data shares'!$C:$FB,99)</f>
        <v>28908250</v>
      </c>
      <c r="H79" s="50">
        <f t="shared" si="4"/>
        <v>-0.96010654397965978</v>
      </c>
      <c r="I79" s="49">
        <f>VLOOKUP($A79,'Data shares'!$C:$FB,66)</f>
        <v>9174900</v>
      </c>
      <c r="J79" s="49">
        <f>VLOOKUP($A79,'Data shares'!$C:$FB,67)</f>
        <v>15531250</v>
      </c>
      <c r="K79" s="50">
        <f t="shared" si="5"/>
        <v>-69.279774166475931</v>
      </c>
      <c r="L79" s="50">
        <f>VLOOKUP($A79,'Data shares'!$C:$FB,118)</f>
        <v>0.56999999999999995</v>
      </c>
      <c r="M79" s="50">
        <f>VLOOKUP($A79,'Data shares'!$C:$FB,119)</f>
        <v>0.59</v>
      </c>
      <c r="N79" s="50">
        <f>VLOOKUP($A79,'Data shares'!$C:$FB,121)*100</f>
        <v>-3.39</v>
      </c>
      <c r="O79" s="50">
        <f>VLOOKUP($A79,'Data shares'!$C:$FB,124)</f>
        <v>0.5</v>
      </c>
      <c r="P79" s="50">
        <f>VLOOKUP($A79,'Data shares'!$C:$FB,125)</f>
        <v>0.59</v>
      </c>
      <c r="Q79" s="50">
        <f>VLOOKUP($A79,'Data shares'!$C:$FB,127)*100</f>
        <v>-15.25</v>
      </c>
    </row>
    <row r="80" spans="1:17" x14ac:dyDescent="0.25">
      <c r="A80" s="97" t="str">
        <f>'Data Vlaue (Cr)'!C75</f>
        <v>HDFCAMC</v>
      </c>
      <c r="B80" s="140">
        <f>VLOOKUP($A80,'Data shares'!$C:$FB,7)</f>
        <v>2541.1999999999998</v>
      </c>
      <c r="C80" s="140">
        <f>VLOOKUP($A80,'Data shares'!$C:$FB,3)</f>
        <v>2548.9</v>
      </c>
      <c r="D80" s="140">
        <f>VLOOKUP($A80,'Data shares'!$C:$FB,4)</f>
        <v>2592.8000000000002</v>
      </c>
      <c r="E80" s="50">
        <f t="shared" si="3"/>
        <v>-1.6931502622647365</v>
      </c>
      <c r="F80" s="49">
        <f>VLOOKUP($A80,'Data shares'!$C:$FB,98)</f>
        <v>8957400</v>
      </c>
      <c r="G80" s="49">
        <f>VLOOKUP($A80,'Data shares'!$C:$FB,99)</f>
        <v>8263800</v>
      </c>
      <c r="H80" s="50">
        <f t="shared" si="4"/>
        <v>8.3932331372976101</v>
      </c>
      <c r="I80" s="49">
        <f>VLOOKUP($A80,'Data shares'!$C:$FB,66)</f>
        <v>5461200</v>
      </c>
      <c r="J80" s="49">
        <f>VLOOKUP($A80,'Data shares'!$C:$FB,67)</f>
        <v>4520100</v>
      </c>
      <c r="K80" s="50">
        <f t="shared" si="5"/>
        <v>17.232476378817843</v>
      </c>
      <c r="L80" s="50">
        <f>VLOOKUP($A80,'Data shares'!$C:$FB,118)</f>
        <v>0.78</v>
      </c>
      <c r="M80" s="50">
        <f>VLOOKUP($A80,'Data shares'!$C:$FB,119)</f>
        <v>0.73</v>
      </c>
      <c r="N80" s="50">
        <f>VLOOKUP($A80,'Data shares'!$C:$FB,121)*100</f>
        <v>6.8500000000000005</v>
      </c>
      <c r="O80" s="50">
        <f>VLOOKUP($A80,'Data shares'!$C:$FB,124)</f>
        <v>0.98</v>
      </c>
      <c r="P80" s="50">
        <f>VLOOKUP($A80,'Data shares'!$C:$FB,125)</f>
        <v>0.67</v>
      </c>
      <c r="Q80" s="50">
        <f>VLOOKUP($A80,'Data shares'!$C:$FB,127)*100</f>
        <v>46.27</v>
      </c>
    </row>
    <row r="81" spans="1:17" x14ac:dyDescent="0.25">
      <c r="A81" s="97" t="str">
        <f>'Data Vlaue (Cr)'!C76</f>
        <v>HDFCBANK</v>
      </c>
      <c r="B81" s="140">
        <f>VLOOKUP($A81,'Data shares'!$C:$FB,7)</f>
        <v>984</v>
      </c>
      <c r="C81" s="140">
        <f>VLOOKUP($A81,'Data shares'!$C:$FB,3)</f>
        <v>987.5</v>
      </c>
      <c r="D81" s="140">
        <f>VLOOKUP($A81,'Data shares'!$C:$FB,4)</f>
        <v>998.2</v>
      </c>
      <c r="E81" s="50">
        <f t="shared" si="3"/>
        <v>-1.0719294730514972</v>
      </c>
      <c r="F81" s="49">
        <f>VLOOKUP($A81,'Data shares'!$C:$FB,98)</f>
        <v>292844200</v>
      </c>
      <c r="G81" s="49">
        <f>VLOOKUP($A81,'Data shares'!$C:$FB,99)</f>
        <v>279857600</v>
      </c>
      <c r="H81" s="50">
        <f t="shared" si="4"/>
        <v>4.6404314194075846</v>
      </c>
      <c r="I81" s="49">
        <f>VLOOKUP($A81,'Data shares'!$C:$FB,66)</f>
        <v>104513200</v>
      </c>
      <c r="J81" s="49">
        <f>VLOOKUP($A81,'Data shares'!$C:$FB,67)</f>
        <v>94643450</v>
      </c>
      <c r="K81" s="50">
        <f t="shared" si="5"/>
        <v>9.4435439733928348</v>
      </c>
      <c r="L81" s="50">
        <f>VLOOKUP($A81,'Data shares'!$C:$FB,118)</f>
        <v>0.64</v>
      </c>
      <c r="M81" s="50">
        <f>VLOOKUP($A81,'Data shares'!$C:$FB,119)</f>
        <v>0.74</v>
      </c>
      <c r="N81" s="50">
        <f>VLOOKUP($A81,'Data shares'!$C:$FB,121)*100</f>
        <v>-13.51</v>
      </c>
      <c r="O81" s="50">
        <f>VLOOKUP($A81,'Data shares'!$C:$FB,124)</f>
        <v>0.62</v>
      </c>
      <c r="P81" s="50">
        <f>VLOOKUP($A81,'Data shares'!$C:$FB,125)</f>
        <v>0.78</v>
      </c>
      <c r="Q81" s="50">
        <f>VLOOKUP($A81,'Data shares'!$C:$FB,127)*100</f>
        <v>-20.51</v>
      </c>
    </row>
    <row r="82" spans="1:17" x14ac:dyDescent="0.25">
      <c r="A82" s="97" t="str">
        <f>'Data Vlaue (Cr)'!C77</f>
        <v>HDFCLIFE</v>
      </c>
      <c r="B82" s="140">
        <f>VLOOKUP($A82,'Data shares'!$C:$FB,7)</f>
        <v>753.5</v>
      </c>
      <c r="C82" s="140">
        <f>VLOOKUP($A82,'Data shares'!$C:$FB,3)</f>
        <v>754.85</v>
      </c>
      <c r="D82" s="140">
        <f>VLOOKUP($A82,'Data shares'!$C:$FB,4)</f>
        <v>767.45</v>
      </c>
      <c r="E82" s="50">
        <f t="shared" si="3"/>
        <v>-1.641800768779728</v>
      </c>
      <c r="F82" s="49">
        <f>VLOOKUP($A82,'Data shares'!$C:$FB,98)</f>
        <v>59710200</v>
      </c>
      <c r="G82" s="49">
        <f>VLOOKUP($A82,'Data shares'!$C:$FB,99)</f>
        <v>61205100</v>
      </c>
      <c r="H82" s="50">
        <f t="shared" si="4"/>
        <v>-2.4424435218633742</v>
      </c>
      <c r="I82" s="49">
        <f>VLOOKUP($A82,'Data shares'!$C:$FB,66)</f>
        <v>44337700</v>
      </c>
      <c r="J82" s="49">
        <f>VLOOKUP($A82,'Data shares'!$C:$FB,67)</f>
        <v>40882600</v>
      </c>
      <c r="K82" s="50">
        <f t="shared" si="5"/>
        <v>7.792691095839432</v>
      </c>
      <c r="L82" s="50">
        <f>VLOOKUP($A82,'Data shares'!$C:$FB,118)</f>
        <v>0.43</v>
      </c>
      <c r="M82" s="50">
        <f>VLOOKUP($A82,'Data shares'!$C:$FB,119)</f>
        <v>0.41</v>
      </c>
      <c r="N82" s="50">
        <f>VLOOKUP($A82,'Data shares'!$C:$FB,121)*100</f>
        <v>4.88</v>
      </c>
      <c r="O82" s="50">
        <f>VLOOKUP($A82,'Data shares'!$C:$FB,124)</f>
        <v>0.32</v>
      </c>
      <c r="P82" s="50">
        <f>VLOOKUP($A82,'Data shares'!$C:$FB,125)</f>
        <v>0.28000000000000003</v>
      </c>
      <c r="Q82" s="50">
        <f>VLOOKUP($A82,'Data shares'!$C:$FB,127)*100</f>
        <v>14.29</v>
      </c>
    </row>
    <row r="83" spans="1:17" x14ac:dyDescent="0.25">
      <c r="A83" s="97" t="str">
        <f>'Data Vlaue (Cr)'!C78</f>
        <v>HEROMOTOCO</v>
      </c>
      <c r="B83" s="140">
        <f>VLOOKUP($A83,'Data shares'!$C:$FB,7)</f>
        <v>5817</v>
      </c>
      <c r="C83" s="140">
        <f>VLOOKUP($A83,'Data shares'!$C:$FB,3)</f>
        <v>5827.5</v>
      </c>
      <c r="D83" s="140">
        <f>VLOOKUP($A83,'Data shares'!$C:$FB,4)</f>
        <v>5960.5</v>
      </c>
      <c r="E83" s="50">
        <f t="shared" si="3"/>
        <v>-2.2313564298297126</v>
      </c>
      <c r="F83" s="49">
        <f>VLOOKUP($A83,'Data shares'!$C:$FB,98)</f>
        <v>11787300</v>
      </c>
      <c r="G83" s="49">
        <f>VLOOKUP($A83,'Data shares'!$C:$FB,99)</f>
        <v>10968000</v>
      </c>
      <c r="H83" s="50">
        <f t="shared" si="4"/>
        <v>7.4699124726477022</v>
      </c>
      <c r="I83" s="49">
        <f>VLOOKUP($A83,'Data shares'!$C:$FB,66)</f>
        <v>13040550</v>
      </c>
      <c r="J83" s="49">
        <f>VLOOKUP($A83,'Data shares'!$C:$FB,67)</f>
        <v>3376500</v>
      </c>
      <c r="K83" s="50">
        <f t="shared" si="5"/>
        <v>74.107687175770963</v>
      </c>
      <c r="L83" s="50">
        <f>VLOOKUP($A83,'Data shares'!$C:$FB,118)</f>
        <v>0.55000000000000004</v>
      </c>
      <c r="M83" s="50">
        <f>VLOOKUP($A83,'Data shares'!$C:$FB,119)</f>
        <v>0.7</v>
      </c>
      <c r="N83" s="50">
        <f>VLOOKUP($A83,'Data shares'!$C:$FB,121)*100</f>
        <v>-21.43</v>
      </c>
      <c r="O83" s="50">
        <f>VLOOKUP($A83,'Data shares'!$C:$FB,124)</f>
        <v>0.79</v>
      </c>
      <c r="P83" s="50">
        <f>VLOOKUP($A83,'Data shares'!$C:$FB,125)</f>
        <v>0.61</v>
      </c>
      <c r="Q83" s="50">
        <f>VLOOKUP($A83,'Data shares'!$C:$FB,127)*100</f>
        <v>29.509999999999998</v>
      </c>
    </row>
    <row r="84" spans="1:17" x14ac:dyDescent="0.25">
      <c r="A84" s="97" t="str">
        <f>'Data Vlaue (Cr)'!C79</f>
        <v>HFCL</v>
      </c>
      <c r="B84" s="140">
        <f>VLOOKUP($A84,'Data shares'!$C:$FB,7)</f>
        <v>64.53</v>
      </c>
      <c r="C84" s="140">
        <f>VLOOKUP($A84,'Data shares'!$C:$FB,3)</f>
        <v>64.63</v>
      </c>
      <c r="D84" s="140">
        <f>VLOOKUP($A84,'Data shares'!$C:$FB,4)</f>
        <v>65.48</v>
      </c>
      <c r="E84" s="50">
        <f t="shared" si="3"/>
        <v>-1.2981062919975694</v>
      </c>
      <c r="F84" s="49">
        <f>VLOOKUP($A84,'Data shares'!$C:$FB,98)</f>
        <v>213024150</v>
      </c>
      <c r="G84" s="49">
        <f>VLOOKUP($A84,'Data shares'!$C:$FB,99)</f>
        <v>214030350</v>
      </c>
      <c r="H84" s="50">
        <f t="shared" si="4"/>
        <v>-0.4701202422927403</v>
      </c>
      <c r="I84" s="49">
        <f>VLOOKUP($A84,'Data shares'!$C:$FB,66)</f>
        <v>56927700</v>
      </c>
      <c r="J84" s="49">
        <f>VLOOKUP($A84,'Data shares'!$C:$FB,67)</f>
        <v>63210000</v>
      </c>
      <c r="K84" s="50">
        <f t="shared" si="5"/>
        <v>-11.035576705189214</v>
      </c>
      <c r="L84" s="50">
        <f>VLOOKUP($A84,'Data shares'!$C:$FB,118)</f>
        <v>0.41</v>
      </c>
      <c r="M84" s="50">
        <f>VLOOKUP($A84,'Data shares'!$C:$FB,119)</f>
        <v>0.41</v>
      </c>
      <c r="N84" s="50">
        <f>VLOOKUP($A84,'Data shares'!$C:$FB,121)*100</f>
        <v>0</v>
      </c>
      <c r="O84" s="50">
        <f>VLOOKUP($A84,'Data shares'!$C:$FB,124)</f>
        <v>0.64</v>
      </c>
      <c r="P84" s="50">
        <f>VLOOKUP($A84,'Data shares'!$C:$FB,125)</f>
        <v>0.24</v>
      </c>
      <c r="Q84" s="50">
        <f>VLOOKUP($A84,'Data shares'!$C:$FB,127)*100</f>
        <v>166.67000000000002</v>
      </c>
    </row>
    <row r="85" spans="1:17" x14ac:dyDescent="0.25">
      <c r="A85" s="97" t="str">
        <f>'Data Vlaue (Cr)'!C80</f>
        <v>HINDALCO</v>
      </c>
      <c r="B85" s="140">
        <f>VLOOKUP($A85,'Data shares'!$C:$FB,7)</f>
        <v>848.8</v>
      </c>
      <c r="C85" s="140">
        <f>VLOOKUP($A85,'Data shares'!$C:$FB,3)</f>
        <v>849.65</v>
      </c>
      <c r="D85" s="140">
        <f>VLOOKUP($A85,'Data shares'!$C:$FB,4)</f>
        <v>840.3</v>
      </c>
      <c r="E85" s="50">
        <f t="shared" si="3"/>
        <v>1.1126978460073811</v>
      </c>
      <c r="F85" s="49">
        <f>VLOOKUP($A85,'Data shares'!$C:$FB,98)</f>
        <v>105156800</v>
      </c>
      <c r="G85" s="49">
        <f>VLOOKUP($A85,'Data shares'!$C:$FB,99)</f>
        <v>104912500</v>
      </c>
      <c r="H85" s="50">
        <f t="shared" si="4"/>
        <v>0.23286071726438701</v>
      </c>
      <c r="I85" s="49">
        <f>VLOOKUP($A85,'Data shares'!$C:$FB,66)</f>
        <v>46651500</v>
      </c>
      <c r="J85" s="49">
        <f>VLOOKUP($A85,'Data shares'!$C:$FB,67)</f>
        <v>38497900</v>
      </c>
      <c r="K85" s="50">
        <f t="shared" si="5"/>
        <v>17.477680246079977</v>
      </c>
      <c r="L85" s="50">
        <f>VLOOKUP($A85,'Data shares'!$C:$FB,118)</f>
        <v>0.74</v>
      </c>
      <c r="M85" s="50">
        <f>VLOOKUP($A85,'Data shares'!$C:$FB,119)</f>
        <v>0.75</v>
      </c>
      <c r="N85" s="50">
        <f>VLOOKUP($A85,'Data shares'!$C:$FB,121)*100</f>
        <v>-1.3299999999999998</v>
      </c>
      <c r="O85" s="50">
        <f>VLOOKUP($A85,'Data shares'!$C:$FB,124)</f>
        <v>0.44</v>
      </c>
      <c r="P85" s="50">
        <f>VLOOKUP($A85,'Data shares'!$C:$FB,125)</f>
        <v>0.64</v>
      </c>
      <c r="Q85" s="50">
        <f>VLOOKUP($A85,'Data shares'!$C:$FB,127)*100</f>
        <v>-31.25</v>
      </c>
    </row>
    <row r="86" spans="1:17" x14ac:dyDescent="0.25">
      <c r="A86" s="97" t="str">
        <f>'Data Vlaue (Cr)'!C81</f>
        <v>HINDPETRO</v>
      </c>
      <c r="B86" s="140">
        <f>VLOOKUP($A86,'Data shares'!$C:$FB,7)</f>
        <v>465.45</v>
      </c>
      <c r="C86" s="140">
        <f>VLOOKUP($A86,'Data shares'!$C:$FB,3)</f>
        <v>466.4</v>
      </c>
      <c r="D86" s="140">
        <f>VLOOKUP($A86,'Data shares'!$C:$FB,4)</f>
        <v>466</v>
      </c>
      <c r="E86" s="50">
        <f t="shared" si="3"/>
        <v>8.583690987123975E-2</v>
      </c>
      <c r="F86" s="49">
        <f>VLOOKUP($A86,'Data shares'!$C:$FB,98)</f>
        <v>62210025</v>
      </c>
      <c r="G86" s="49">
        <f>VLOOKUP($A86,'Data shares'!$C:$FB,99)</f>
        <v>61904250</v>
      </c>
      <c r="H86" s="50">
        <f t="shared" si="4"/>
        <v>0.49394831534183836</v>
      </c>
      <c r="I86" s="49">
        <f>VLOOKUP($A86,'Data shares'!$C:$FB,66)</f>
        <v>31142475</v>
      </c>
      <c r="J86" s="49">
        <f>VLOOKUP($A86,'Data shares'!$C:$FB,67)</f>
        <v>24719175</v>
      </c>
      <c r="K86" s="50">
        <f t="shared" si="5"/>
        <v>20.625528317836007</v>
      </c>
      <c r="L86" s="50">
        <f>VLOOKUP($A86,'Data shares'!$C:$FB,118)</f>
        <v>0.57999999999999996</v>
      </c>
      <c r="M86" s="50">
        <f>VLOOKUP($A86,'Data shares'!$C:$FB,119)</f>
        <v>0.56999999999999995</v>
      </c>
      <c r="N86" s="50">
        <f>VLOOKUP($A86,'Data shares'!$C:$FB,121)*100</f>
        <v>1.7500000000000002</v>
      </c>
      <c r="O86" s="50">
        <f>VLOOKUP($A86,'Data shares'!$C:$FB,124)</f>
        <v>0.38</v>
      </c>
      <c r="P86" s="50">
        <f>VLOOKUP($A86,'Data shares'!$C:$FB,125)</f>
        <v>0.44</v>
      </c>
      <c r="Q86" s="50">
        <f>VLOOKUP($A86,'Data shares'!$C:$FB,127)*100</f>
        <v>-13.639999999999999</v>
      </c>
    </row>
    <row r="87" spans="1:17" x14ac:dyDescent="0.25">
      <c r="A87" s="97" t="str">
        <f>'Data Vlaue (Cr)'!C82</f>
        <v>HINDUNILVR</v>
      </c>
      <c r="B87" s="140">
        <f>VLOOKUP($A87,'Data shares'!$C:$FB,7)</f>
        <v>2275.6</v>
      </c>
      <c r="C87" s="140">
        <f>VLOOKUP($A87,'Data shares'!$C:$FB,3)</f>
        <v>2275.3000000000002</v>
      </c>
      <c r="D87" s="140">
        <f>VLOOKUP($A87,'Data shares'!$C:$FB,4)</f>
        <v>2286.8000000000002</v>
      </c>
      <c r="E87" s="50">
        <f t="shared" si="3"/>
        <v>-0.5028861290886828</v>
      </c>
      <c r="F87" s="49">
        <f>VLOOKUP($A87,'Data shares'!$C:$FB,98)</f>
        <v>21006300</v>
      </c>
      <c r="G87" s="49">
        <f>VLOOKUP($A87,'Data shares'!$C:$FB,99)</f>
        <v>20369700</v>
      </c>
      <c r="H87" s="50">
        <f t="shared" si="4"/>
        <v>3.1252301212094435</v>
      </c>
      <c r="I87" s="49">
        <f>VLOOKUP($A87,'Data shares'!$C:$FB,66)</f>
        <v>8140500</v>
      </c>
      <c r="J87" s="49">
        <f>VLOOKUP($A87,'Data shares'!$C:$FB,67)</f>
        <v>11374800</v>
      </c>
      <c r="K87" s="50">
        <f t="shared" si="5"/>
        <v>-39.730974755850376</v>
      </c>
      <c r="L87" s="50">
        <f>VLOOKUP($A87,'Data shares'!$C:$FB,118)</f>
        <v>0.52</v>
      </c>
      <c r="M87" s="50">
        <f>VLOOKUP($A87,'Data shares'!$C:$FB,119)</f>
        <v>0.53</v>
      </c>
      <c r="N87" s="50">
        <f>VLOOKUP($A87,'Data shares'!$C:$FB,121)*100</f>
        <v>-1.8900000000000001</v>
      </c>
      <c r="O87" s="50">
        <f>VLOOKUP($A87,'Data shares'!$C:$FB,124)</f>
        <v>0.32</v>
      </c>
      <c r="P87" s="50">
        <f>VLOOKUP($A87,'Data shares'!$C:$FB,125)</f>
        <v>0.41</v>
      </c>
      <c r="Q87" s="50">
        <f>VLOOKUP($A87,'Data shares'!$C:$FB,127)*100</f>
        <v>-21.95</v>
      </c>
    </row>
    <row r="88" spans="1:17" x14ac:dyDescent="0.25">
      <c r="A88" s="97" t="str">
        <f>'Data Vlaue (Cr)'!C83</f>
        <v>HINDZINC</v>
      </c>
      <c r="B88" s="140">
        <f>VLOOKUP($A88,'Data shares'!$C:$FB,7)</f>
        <v>578.29999999999995</v>
      </c>
      <c r="C88" s="140">
        <f>VLOOKUP($A88,'Data shares'!$C:$FB,3)</f>
        <v>578.9</v>
      </c>
      <c r="D88" s="140">
        <f>VLOOKUP($A88,'Data shares'!$C:$FB,4)</f>
        <v>568.6</v>
      </c>
      <c r="E88" s="50">
        <f t="shared" si="3"/>
        <v>1.8114667604642902</v>
      </c>
      <c r="F88" s="140">
        <f>VLOOKUP($A88,'Data shares'!$C:$FB,98)</f>
        <v>122618825</v>
      </c>
      <c r="G88" s="140">
        <f>VLOOKUP($A88,'Data shares'!$C:$FB,99)</f>
        <v>112587300</v>
      </c>
      <c r="H88" s="50">
        <f t="shared" si="4"/>
        <v>8.9099969534752148</v>
      </c>
      <c r="I88" s="49">
        <f>VLOOKUP($A88,'Data shares'!$C:$FB,66)</f>
        <v>308184275</v>
      </c>
      <c r="J88" s="49">
        <f>VLOOKUP($A88,'Data shares'!$C:$FB,67)</f>
        <v>138425000</v>
      </c>
      <c r="K88" s="50">
        <f t="shared" si="5"/>
        <v>55.083691405085474</v>
      </c>
      <c r="L88" s="50">
        <f>VLOOKUP($A88,'Data shares'!$C:$FB,118)</f>
        <v>0.66</v>
      </c>
      <c r="M88" s="50">
        <f>VLOOKUP($A88,'Data shares'!$C:$FB,119)</f>
        <v>0.72</v>
      </c>
      <c r="N88" s="50">
        <f>VLOOKUP($A88,'Data shares'!$C:$FB,121)*100</f>
        <v>-8.33</v>
      </c>
      <c r="O88" s="50">
        <f>VLOOKUP($A88,'Data shares'!$C:$FB,124)</f>
        <v>0.41</v>
      </c>
      <c r="P88" s="50">
        <f>VLOOKUP($A88,'Data shares'!$C:$FB,125)</f>
        <v>0.48</v>
      </c>
      <c r="Q88" s="50">
        <f>VLOOKUP($A88,'Data shares'!$C:$FB,127)*100</f>
        <v>-14.580000000000002</v>
      </c>
    </row>
    <row r="89" spans="1:17" x14ac:dyDescent="0.25">
      <c r="A89" s="97" t="str">
        <f>'Data Vlaue (Cr)'!C84</f>
        <v>HUDCO</v>
      </c>
      <c r="B89" s="140">
        <f>VLOOKUP($A89,'Data shares'!$C:$FB,7)</f>
        <v>207.91</v>
      </c>
      <c r="C89" s="140">
        <f>VLOOKUP($A89,'Data shares'!$C:$FB,3)</f>
        <v>207.89</v>
      </c>
      <c r="D89" s="140">
        <f>VLOOKUP($A89,'Data shares'!$C:$FB,4)</f>
        <v>210.93</v>
      </c>
      <c r="E89" s="50">
        <f t="shared" si="3"/>
        <v>-1.44123642914712</v>
      </c>
      <c r="F89" s="49">
        <f>VLOOKUP($A89,'Data shares'!$C:$FB,98)</f>
        <v>94841175</v>
      </c>
      <c r="G89" s="49">
        <f>VLOOKUP($A89,'Data shares'!$C:$FB,99)</f>
        <v>94280625</v>
      </c>
      <c r="H89" s="50">
        <f t="shared" si="4"/>
        <v>0.5945548197203826</v>
      </c>
      <c r="I89" s="49">
        <f>VLOOKUP($A89,'Data shares'!$C:$FB,66)</f>
        <v>36424650</v>
      </c>
      <c r="J89" s="49">
        <f>VLOOKUP($A89,'Data shares'!$C:$FB,67)</f>
        <v>28255050</v>
      </c>
      <c r="K89" s="50">
        <f t="shared" si="5"/>
        <v>22.4287673320128</v>
      </c>
      <c r="L89" s="50">
        <f>VLOOKUP($A89,'Data shares'!$C:$FB,118)</f>
        <v>0.44</v>
      </c>
      <c r="M89" s="50">
        <f>VLOOKUP($A89,'Data shares'!$C:$FB,119)</f>
        <v>0.45</v>
      </c>
      <c r="N89" s="50">
        <f>VLOOKUP($A89,'Data shares'!$C:$FB,121)*100</f>
        <v>-2.2200000000000002</v>
      </c>
      <c r="O89" s="50">
        <f>VLOOKUP($A89,'Data shares'!$C:$FB,124)</f>
        <v>0.48</v>
      </c>
      <c r="P89" s="50">
        <f>VLOOKUP($A89,'Data shares'!$C:$FB,125)</f>
        <v>0.47</v>
      </c>
      <c r="Q89" s="50">
        <f>VLOOKUP($A89,'Data shares'!$C:$FB,127)*100</f>
        <v>2.13</v>
      </c>
    </row>
    <row r="90" spans="1:17" x14ac:dyDescent="0.25">
      <c r="A90" s="97" t="str">
        <f>'Data Vlaue (Cr)'!C85</f>
        <v>ICICIBANK</v>
      </c>
      <c r="B90" s="140">
        <f>VLOOKUP($A90,'Data shares'!$C:$FB,7)</f>
        <v>1352.4</v>
      </c>
      <c r="C90" s="140">
        <f>VLOOKUP($A90,'Data shares'!$C:$FB,3)</f>
        <v>1356.5</v>
      </c>
      <c r="D90" s="140">
        <f>VLOOKUP($A90,'Data shares'!$C:$FB,4)</f>
        <v>1370.3</v>
      </c>
      <c r="E90" s="50">
        <f t="shared" si="3"/>
        <v>-1.0070787418813365</v>
      </c>
      <c r="F90" s="49">
        <f>VLOOKUP($A90,'Data shares'!$C:$FB,98)</f>
        <v>187032300</v>
      </c>
      <c r="G90" s="49">
        <f>VLOOKUP($A90,'Data shares'!$C:$FB,99)</f>
        <v>178848600</v>
      </c>
      <c r="H90" s="50">
        <f t="shared" si="4"/>
        <v>4.5757696733438227</v>
      </c>
      <c r="I90" s="49">
        <f>VLOOKUP($A90,'Data shares'!$C:$FB,66)</f>
        <v>106170400</v>
      </c>
      <c r="J90" s="49">
        <f>VLOOKUP($A90,'Data shares'!$C:$FB,67)</f>
        <v>58455600</v>
      </c>
      <c r="K90" s="50">
        <f t="shared" si="5"/>
        <v>44.941716335249751</v>
      </c>
      <c r="L90" s="50">
        <f>VLOOKUP($A90,'Data shares'!$C:$FB,118)</f>
        <v>0.6</v>
      </c>
      <c r="M90" s="50">
        <f>VLOOKUP($A90,'Data shares'!$C:$FB,119)</f>
        <v>0.65</v>
      </c>
      <c r="N90" s="50">
        <f>VLOOKUP($A90,'Data shares'!$C:$FB,121)*100</f>
        <v>-7.6899999999999995</v>
      </c>
      <c r="O90" s="50">
        <f>VLOOKUP($A90,'Data shares'!$C:$FB,124)</f>
        <v>0.76</v>
      </c>
      <c r="P90" s="50">
        <f>VLOOKUP($A90,'Data shares'!$C:$FB,125)</f>
        <v>0.69</v>
      </c>
      <c r="Q90" s="50">
        <f>VLOOKUP($A90,'Data shares'!$C:$FB,127)*100</f>
        <v>10.14</v>
      </c>
    </row>
    <row r="91" spans="1:17" x14ac:dyDescent="0.25">
      <c r="A91" s="97" t="str">
        <f>'Data Vlaue (Cr)'!C86</f>
        <v>ICICIGI</v>
      </c>
      <c r="B91" s="140">
        <f>VLOOKUP($A91,'Data shares'!$C:$FB,7)</f>
        <v>1947</v>
      </c>
      <c r="C91" s="140">
        <f>VLOOKUP($A91,'Data shares'!$C:$FB,3)</f>
        <v>1947.1</v>
      </c>
      <c r="D91" s="140">
        <f>VLOOKUP($A91,'Data shares'!$C:$FB,4)</f>
        <v>1952.6</v>
      </c>
      <c r="E91" s="50">
        <f t="shared" si="3"/>
        <v>-0.28167571443203931</v>
      </c>
      <c r="F91" s="49">
        <f>VLOOKUP($A91,'Data shares'!$C:$FB,98)</f>
        <v>8750625</v>
      </c>
      <c r="G91" s="49">
        <f>VLOOKUP($A91,'Data shares'!$C:$FB,99)</f>
        <v>8671325</v>
      </c>
      <c r="H91" s="50">
        <f t="shared" si="4"/>
        <v>0.9145084517072074</v>
      </c>
      <c r="I91" s="49">
        <f>VLOOKUP($A91,'Data shares'!$C:$FB,66)</f>
        <v>1707550</v>
      </c>
      <c r="J91" s="49">
        <f>VLOOKUP($A91,'Data shares'!$C:$FB,67)</f>
        <v>1902550</v>
      </c>
      <c r="K91" s="50">
        <f t="shared" si="5"/>
        <v>-11.419870574800152</v>
      </c>
      <c r="L91" s="50">
        <f>VLOOKUP($A91,'Data shares'!$C:$FB,118)</f>
        <v>0.52</v>
      </c>
      <c r="M91" s="50">
        <f>VLOOKUP($A91,'Data shares'!$C:$FB,119)</f>
        <v>0.56999999999999995</v>
      </c>
      <c r="N91" s="50">
        <f>VLOOKUP($A91,'Data shares'!$C:$FB,121)*100</f>
        <v>-8.77</v>
      </c>
      <c r="O91" s="50">
        <f>VLOOKUP($A91,'Data shares'!$C:$FB,124)</f>
        <v>0.32</v>
      </c>
      <c r="P91" s="50">
        <f>VLOOKUP($A91,'Data shares'!$C:$FB,125)</f>
        <v>0.47</v>
      </c>
      <c r="Q91" s="50">
        <f>VLOOKUP($A91,'Data shares'!$C:$FB,127)*100</f>
        <v>-31.91</v>
      </c>
    </row>
    <row r="92" spans="1:17" x14ac:dyDescent="0.25">
      <c r="A92" s="97" t="str">
        <f>'Data Vlaue (Cr)'!C87</f>
        <v>ICICIPRULI</v>
      </c>
      <c r="B92" s="140">
        <f>VLOOKUP($A92,'Data shares'!$C:$FB,7)</f>
        <v>630.5</v>
      </c>
      <c r="C92" s="140">
        <f>VLOOKUP($A92,'Data shares'!$C:$FB,3)</f>
        <v>631.20000000000005</v>
      </c>
      <c r="D92" s="140">
        <f>VLOOKUP($A92,'Data shares'!$C:$FB,4)</f>
        <v>639.9</v>
      </c>
      <c r="E92" s="50">
        <f t="shared" si="3"/>
        <v>-1.3595874355367921</v>
      </c>
      <c r="F92" s="49">
        <f>VLOOKUP($A92,'Data shares'!$C:$FB,98)</f>
        <v>23253575</v>
      </c>
      <c r="G92" s="49">
        <f>VLOOKUP($A92,'Data shares'!$C:$FB,99)</f>
        <v>23290575</v>
      </c>
      <c r="H92" s="50">
        <f t="shared" si="4"/>
        <v>-0.15886254418364512</v>
      </c>
      <c r="I92" s="49">
        <f>VLOOKUP($A92,'Data shares'!$C:$FB,66)</f>
        <v>5757200</v>
      </c>
      <c r="J92" s="49">
        <f>VLOOKUP($A92,'Data shares'!$C:$FB,67)</f>
        <v>9980750</v>
      </c>
      <c r="K92" s="50">
        <f t="shared" si="5"/>
        <v>-73.361182519280206</v>
      </c>
      <c r="L92" s="50">
        <f>VLOOKUP($A92,'Data shares'!$C:$FB,118)</f>
        <v>0.46</v>
      </c>
      <c r="M92" s="50">
        <f>VLOOKUP($A92,'Data shares'!$C:$FB,119)</f>
        <v>0.49</v>
      </c>
      <c r="N92" s="50">
        <f>VLOOKUP($A92,'Data shares'!$C:$FB,121)*100</f>
        <v>-6.12</v>
      </c>
      <c r="O92" s="50">
        <f>VLOOKUP($A92,'Data shares'!$C:$FB,124)</f>
        <v>0.39</v>
      </c>
      <c r="P92" s="50">
        <f>VLOOKUP($A92,'Data shares'!$C:$FB,125)</f>
        <v>0.25</v>
      </c>
      <c r="Q92" s="50">
        <f>VLOOKUP($A92,'Data shares'!$C:$FB,127)*100</f>
        <v>56.000000000000007</v>
      </c>
    </row>
    <row r="93" spans="1:17" x14ac:dyDescent="0.25">
      <c r="A93" s="97" t="str">
        <f>'Data Vlaue (Cr)'!C88</f>
        <v>IDEA</v>
      </c>
      <c r="B93" s="140">
        <f>VLOOKUP($A93,'Data shares'!$C:$FB,7)</f>
        <v>11.13</v>
      </c>
      <c r="C93" s="140">
        <f>VLOOKUP($A93,'Data shares'!$C:$FB,3)</f>
        <v>11.17</v>
      </c>
      <c r="D93" s="140">
        <f>VLOOKUP($A93,'Data shares'!$C:$FB,4)</f>
        <v>11.29</v>
      </c>
      <c r="E93" s="50">
        <f t="shared" si="3"/>
        <v>-1.0628875110717382</v>
      </c>
      <c r="F93" s="49">
        <f>VLOOKUP($A93,'Data shares'!$C:$FB,98)</f>
        <v>10632906900</v>
      </c>
      <c r="G93" s="49">
        <f>VLOOKUP($A93,'Data shares'!$C:$FB,99)</f>
        <v>10705954350</v>
      </c>
      <c r="H93" s="50">
        <f t="shared" si="4"/>
        <v>-0.68230675764090098</v>
      </c>
      <c r="I93" s="49">
        <f>VLOOKUP($A93,'Data shares'!$C:$FB,66)</f>
        <v>3211157325</v>
      </c>
      <c r="J93" s="49">
        <f>VLOOKUP($A93,'Data shares'!$C:$FB,67)</f>
        <v>4286856075</v>
      </c>
      <c r="K93" s="50">
        <f t="shared" si="5"/>
        <v>-33.498786921005184</v>
      </c>
      <c r="L93" s="50">
        <f>VLOOKUP($A93,'Data shares'!$C:$FB,118)</f>
        <v>0.56999999999999995</v>
      </c>
      <c r="M93" s="50">
        <f>VLOOKUP($A93,'Data shares'!$C:$FB,119)</f>
        <v>0.56000000000000005</v>
      </c>
      <c r="N93" s="50">
        <f>VLOOKUP($A93,'Data shares'!$C:$FB,121)*100</f>
        <v>1.79</v>
      </c>
      <c r="O93" s="50">
        <f>VLOOKUP($A93,'Data shares'!$C:$FB,124)</f>
        <v>0.26</v>
      </c>
      <c r="P93" s="50">
        <f>VLOOKUP($A93,'Data shares'!$C:$FB,125)</f>
        <v>0.4</v>
      </c>
      <c r="Q93" s="50">
        <f>VLOOKUP($A93,'Data shares'!$C:$FB,127)*100</f>
        <v>-35</v>
      </c>
    </row>
    <row r="94" spans="1:17" x14ac:dyDescent="0.25">
      <c r="A94" s="97" t="str">
        <f>'Data Vlaue (Cr)'!C89</f>
        <v>IDFCFIRSTB</v>
      </c>
      <c r="B94" s="140">
        <f>VLOOKUP($A94,'Data shares'!$C:$FB,7)</f>
        <v>83.95</v>
      </c>
      <c r="C94" s="140">
        <f>VLOOKUP($A94,'Data shares'!$C:$FB,3)</f>
        <v>84.01</v>
      </c>
      <c r="D94" s="140">
        <f>VLOOKUP($A94,'Data shares'!$C:$FB,4)</f>
        <v>83.52</v>
      </c>
      <c r="E94" s="50">
        <f t="shared" si="3"/>
        <v>0.58668582375480016</v>
      </c>
      <c r="F94" s="49">
        <f>VLOOKUP($A94,'Data shares'!$C:$FB,98)</f>
        <v>580744850</v>
      </c>
      <c r="G94" s="49">
        <f>VLOOKUP($A94,'Data shares'!$C:$FB,99)</f>
        <v>578815650</v>
      </c>
      <c r="H94" s="50">
        <f t="shared" si="4"/>
        <v>0.3333012851328398</v>
      </c>
      <c r="I94" s="49">
        <f>VLOOKUP($A94,'Data shares'!$C:$FB,66)</f>
        <v>167552875</v>
      </c>
      <c r="J94" s="49">
        <f>VLOOKUP($A94,'Data shares'!$C:$FB,67)</f>
        <v>218073800</v>
      </c>
      <c r="K94" s="50">
        <f t="shared" si="5"/>
        <v>-30.152228065319679</v>
      </c>
      <c r="L94" s="50">
        <f>VLOOKUP($A94,'Data shares'!$C:$FB,118)</f>
        <v>0.72</v>
      </c>
      <c r="M94" s="50">
        <f>VLOOKUP($A94,'Data shares'!$C:$FB,119)</f>
        <v>0.72</v>
      </c>
      <c r="N94" s="50">
        <f>VLOOKUP($A94,'Data shares'!$C:$FB,121)*100</f>
        <v>0</v>
      </c>
      <c r="O94" s="50">
        <f>VLOOKUP($A94,'Data shares'!$C:$FB,124)</f>
        <v>0.49</v>
      </c>
      <c r="P94" s="50">
        <f>VLOOKUP($A94,'Data shares'!$C:$FB,125)</f>
        <v>0.52</v>
      </c>
      <c r="Q94" s="50">
        <f>VLOOKUP($A94,'Data shares'!$C:$FB,127)*100</f>
        <v>-5.7700000000000005</v>
      </c>
    </row>
    <row r="95" spans="1:17" x14ac:dyDescent="0.25">
      <c r="A95" s="97" t="str">
        <f>'Data Vlaue (Cr)'!C90</f>
        <v>IEX</v>
      </c>
      <c r="B95" s="140">
        <f>VLOOKUP($A95,'Data shares'!$C:$FB,7)</f>
        <v>140.22</v>
      </c>
      <c r="C95" s="140">
        <f>VLOOKUP($A95,'Data shares'!$C:$FB,3)</f>
        <v>140.38999999999999</v>
      </c>
      <c r="D95" s="140">
        <f>VLOOKUP($A95,'Data shares'!$C:$FB,4)</f>
        <v>140.51</v>
      </c>
      <c r="E95" s="50">
        <f t="shared" si="3"/>
        <v>-8.54031741513092E-2</v>
      </c>
      <c r="F95" s="49">
        <f>VLOOKUP($A95,'Data shares'!$C:$FB,98)</f>
        <v>137433750</v>
      </c>
      <c r="G95" s="49">
        <f>VLOOKUP($A95,'Data shares'!$C:$FB,99)</f>
        <v>136867500</v>
      </c>
      <c r="H95" s="50">
        <f t="shared" si="4"/>
        <v>0.41372129979724914</v>
      </c>
      <c r="I95" s="49">
        <f>VLOOKUP($A95,'Data shares'!$C:$FB,66)</f>
        <v>22845000</v>
      </c>
      <c r="J95" s="49">
        <f>VLOOKUP($A95,'Data shares'!$C:$FB,67)</f>
        <v>30135000</v>
      </c>
      <c r="K95" s="50">
        <f t="shared" si="5"/>
        <v>-31.910702560735395</v>
      </c>
      <c r="L95" s="50">
        <f>VLOOKUP($A95,'Data shares'!$C:$FB,118)</f>
        <v>0.73</v>
      </c>
      <c r="M95" s="50">
        <f>VLOOKUP($A95,'Data shares'!$C:$FB,119)</f>
        <v>0.72</v>
      </c>
      <c r="N95" s="50">
        <f>VLOOKUP($A95,'Data shares'!$C:$FB,121)*100</f>
        <v>1.39</v>
      </c>
      <c r="O95" s="50">
        <f>VLOOKUP($A95,'Data shares'!$C:$FB,124)</f>
        <v>0.31</v>
      </c>
      <c r="P95" s="50">
        <f>VLOOKUP($A95,'Data shares'!$C:$FB,125)</f>
        <v>0.31</v>
      </c>
      <c r="Q95" s="50">
        <f>VLOOKUP($A95,'Data shares'!$C:$FB,127)*100</f>
        <v>0</v>
      </c>
    </row>
    <row r="96" spans="1:17" x14ac:dyDescent="0.25">
      <c r="A96" s="97" t="str">
        <f>'Data Vlaue (Cr)'!C91</f>
        <v>IIFL</v>
      </c>
      <c r="B96" s="140">
        <f>VLOOKUP($A96,'Data shares'!$C:$FB,7)</f>
        <v>563.1</v>
      </c>
      <c r="C96" s="140">
        <f>VLOOKUP($A96,'Data shares'!$C:$FB,3)</f>
        <v>563.54999999999995</v>
      </c>
      <c r="D96" s="140">
        <f>VLOOKUP($A96,'Data shares'!$C:$FB,4)</f>
        <v>567.45000000000005</v>
      </c>
      <c r="E96" s="50">
        <f t="shared" si="3"/>
        <v>-0.68728522336771358</v>
      </c>
      <c r="F96" s="49">
        <f>VLOOKUP($A96,'Data shares'!$C:$FB,98)</f>
        <v>24276450</v>
      </c>
      <c r="G96" s="49">
        <f>VLOOKUP($A96,'Data shares'!$C:$FB,99)</f>
        <v>23804550</v>
      </c>
      <c r="H96" s="50">
        <f t="shared" si="4"/>
        <v>1.9823941221321133</v>
      </c>
      <c r="I96" s="49">
        <f>VLOOKUP($A96,'Data shares'!$C:$FB,66)</f>
        <v>13411200</v>
      </c>
      <c r="J96" s="49">
        <f>VLOOKUP($A96,'Data shares'!$C:$FB,67)</f>
        <v>16465350</v>
      </c>
      <c r="K96" s="50">
        <f t="shared" si="5"/>
        <v>-22.773129921259844</v>
      </c>
      <c r="L96" s="50">
        <f>VLOOKUP($A96,'Data shares'!$C:$FB,118)</f>
        <v>0.6</v>
      </c>
      <c r="M96" s="50">
        <f>VLOOKUP($A96,'Data shares'!$C:$FB,119)</f>
        <v>0.6</v>
      </c>
      <c r="N96" s="50">
        <f>VLOOKUP($A96,'Data shares'!$C:$FB,121)*100</f>
        <v>0</v>
      </c>
      <c r="O96" s="50">
        <f>VLOOKUP($A96,'Data shares'!$C:$FB,124)</f>
        <v>0.22</v>
      </c>
      <c r="P96" s="50">
        <f>VLOOKUP($A96,'Data shares'!$C:$FB,125)</f>
        <v>0.21</v>
      </c>
      <c r="Q96" s="50">
        <f>VLOOKUP($A96,'Data shares'!$C:$FB,127)*100</f>
        <v>4.7600000000000007</v>
      </c>
    </row>
    <row r="97" spans="1:17" x14ac:dyDescent="0.25">
      <c r="A97" s="97" t="str">
        <f>'Data Vlaue (Cr)'!C92</f>
        <v>INDHOTEL</v>
      </c>
      <c r="B97" s="140">
        <f>VLOOKUP($A97,'Data shares'!$C:$FB,7)</f>
        <v>713.2</v>
      </c>
      <c r="C97" s="140">
        <f>VLOOKUP($A97,'Data shares'!$C:$FB,3)</f>
        <v>715.75</v>
      </c>
      <c r="D97" s="140">
        <f>VLOOKUP($A97,'Data shares'!$C:$FB,4)</f>
        <v>727.45</v>
      </c>
      <c r="E97" s="50">
        <f t="shared" si="3"/>
        <v>-1.6083579627465867</v>
      </c>
      <c r="F97" s="49">
        <f>VLOOKUP($A97,'Data shares'!$C:$FB,98)</f>
        <v>44786000</v>
      </c>
      <c r="G97" s="49">
        <f>VLOOKUP($A97,'Data shares'!$C:$FB,99)</f>
        <v>42341000</v>
      </c>
      <c r="H97" s="50">
        <f t="shared" si="4"/>
        <v>5.7745447674830546</v>
      </c>
      <c r="I97" s="49">
        <f>VLOOKUP($A97,'Data shares'!$C:$FB,66)</f>
        <v>15794000</v>
      </c>
      <c r="J97" s="49">
        <f>VLOOKUP($A97,'Data shares'!$C:$FB,67)</f>
        <v>9348000</v>
      </c>
      <c r="K97" s="50">
        <f t="shared" si="5"/>
        <v>40.812966949474486</v>
      </c>
      <c r="L97" s="50">
        <f>VLOOKUP($A97,'Data shares'!$C:$FB,118)</f>
        <v>0.6</v>
      </c>
      <c r="M97" s="50">
        <f>VLOOKUP($A97,'Data shares'!$C:$FB,119)</f>
        <v>0.65</v>
      </c>
      <c r="N97" s="50">
        <f>VLOOKUP($A97,'Data shares'!$C:$FB,121)*100</f>
        <v>-7.6899999999999995</v>
      </c>
      <c r="O97" s="50">
        <f>VLOOKUP($A97,'Data shares'!$C:$FB,124)</f>
        <v>0.41</v>
      </c>
      <c r="P97" s="50">
        <f>VLOOKUP($A97,'Data shares'!$C:$FB,125)</f>
        <v>0.38</v>
      </c>
      <c r="Q97" s="50">
        <f>VLOOKUP($A97,'Data shares'!$C:$FB,127)*100</f>
        <v>7.89</v>
      </c>
    </row>
    <row r="98" spans="1:17" x14ac:dyDescent="0.25">
      <c r="A98" s="97" t="str">
        <f>'Data Vlaue (Cr)'!C93</f>
        <v>INDIANB</v>
      </c>
      <c r="B98" s="140">
        <f>VLOOKUP($A98,'Data shares'!$C:$FB,7)</f>
        <v>775</v>
      </c>
      <c r="C98" s="140">
        <f>VLOOKUP($A98,'Data shares'!$C:$FB,3)</f>
        <v>776.35</v>
      </c>
      <c r="D98" s="140">
        <f>VLOOKUP($A98,'Data shares'!$C:$FB,4)</f>
        <v>774.75</v>
      </c>
      <c r="E98" s="50">
        <f t="shared" si="3"/>
        <v>0.2065182316876441</v>
      </c>
      <c r="F98" s="49">
        <f>VLOOKUP($A98,'Data shares'!$C:$FB,98)</f>
        <v>29351000</v>
      </c>
      <c r="G98" s="49">
        <f>VLOOKUP($A98,'Data shares'!$C:$FB,99)</f>
        <v>29281000</v>
      </c>
      <c r="H98" s="50">
        <f t="shared" si="4"/>
        <v>0.23906287353573988</v>
      </c>
      <c r="I98" s="49">
        <f>VLOOKUP($A98,'Data shares'!$C:$FB,66)</f>
        <v>8025000</v>
      </c>
      <c r="J98" s="49">
        <f>VLOOKUP($A98,'Data shares'!$C:$FB,67)</f>
        <v>13289000</v>
      </c>
      <c r="K98" s="50">
        <f t="shared" si="5"/>
        <v>-65.595015576323988</v>
      </c>
      <c r="L98" s="50">
        <f>VLOOKUP($A98,'Data shares'!$C:$FB,118)</f>
        <v>0.41</v>
      </c>
      <c r="M98" s="50">
        <f>VLOOKUP($A98,'Data shares'!$C:$FB,119)</f>
        <v>0.41</v>
      </c>
      <c r="N98" s="50">
        <f>VLOOKUP($A98,'Data shares'!$C:$FB,121)*100</f>
        <v>0</v>
      </c>
      <c r="O98" s="50">
        <f>VLOOKUP($A98,'Data shares'!$C:$FB,124)</f>
        <v>0.36</v>
      </c>
      <c r="P98" s="50">
        <f>VLOOKUP($A98,'Data shares'!$C:$FB,125)</f>
        <v>0.32</v>
      </c>
      <c r="Q98" s="50">
        <f>VLOOKUP($A98,'Data shares'!$C:$FB,127)*100</f>
        <v>12.5</v>
      </c>
    </row>
    <row r="99" spans="1:17" x14ac:dyDescent="0.25">
      <c r="A99" s="97" t="str">
        <f>'Data Vlaue (Cr)'!C94</f>
        <v>INDIAVIX</v>
      </c>
      <c r="B99" s="140">
        <f>VLOOKUP($A99,'Data shares'!$C:$FB,7)</f>
        <v>9.84</v>
      </c>
      <c r="C99" s="140">
        <f>VLOOKUP($A99,'Data shares'!$C:$FB,3)</f>
        <v>9.84</v>
      </c>
      <c r="D99" s="140">
        <f>VLOOKUP($A99,'Data shares'!$C:$FB,4)</f>
        <v>10.06</v>
      </c>
      <c r="E99" s="50">
        <f t="shared" si="3"/>
        <v>-2.1868787276342014</v>
      </c>
      <c r="F99" s="49">
        <f>VLOOKUP($A99,'Data shares'!$C:$FB,98)</f>
        <v>0</v>
      </c>
      <c r="G99" s="49">
        <f>VLOOKUP($A99,'Data shares'!$C:$FB,99)</f>
        <v>0</v>
      </c>
      <c r="H99" s="50" t="e">
        <f t="shared" si="4"/>
        <v>#DIV/0!</v>
      </c>
      <c r="I99" s="49">
        <f>VLOOKUP($A99,'Data shares'!$C:$FB,66)</f>
        <v>0</v>
      </c>
      <c r="J99" s="49">
        <f>VLOOKUP($A99,'Data shares'!$C:$FB,67)</f>
        <v>0</v>
      </c>
      <c r="K99" s="50" t="e">
        <f t="shared" si="5"/>
        <v>#DIV/0!</v>
      </c>
      <c r="L99" s="50">
        <f>VLOOKUP($A99,'Data shares'!$C:$FB,118)</f>
        <v>0</v>
      </c>
      <c r="M99" s="50">
        <f>VLOOKUP($A99,'Data shares'!$C:$FB,119)</f>
        <v>0</v>
      </c>
      <c r="N99" s="50">
        <f>VLOOKUP($A99,'Data shares'!$C:$FB,121)*100</f>
        <v>0</v>
      </c>
      <c r="O99" s="50">
        <f>VLOOKUP($A99,'Data shares'!$C:$FB,124)</f>
        <v>0</v>
      </c>
      <c r="P99" s="50">
        <f>VLOOKUP($A99,'Data shares'!$C:$FB,125)</f>
        <v>0</v>
      </c>
      <c r="Q99" s="50">
        <f>VLOOKUP($A99,'Data shares'!$C:$FB,127)*100</f>
        <v>0</v>
      </c>
    </row>
    <row r="100" spans="1:17" x14ac:dyDescent="0.25">
      <c r="A100" s="97" t="str">
        <f>'Data Vlaue (Cr)'!C95</f>
        <v>INDIGO</v>
      </c>
      <c r="B100" s="140">
        <f>VLOOKUP($A100,'Data shares'!$C:$FB,7)</f>
        <v>4980.5</v>
      </c>
      <c r="C100" s="140">
        <f>VLOOKUP($A100,'Data shares'!$C:$FB,3)</f>
        <v>4984</v>
      </c>
      <c r="D100" s="140">
        <f>VLOOKUP($A100,'Data shares'!$C:$FB,4)</f>
        <v>4979.5</v>
      </c>
      <c r="E100" s="50">
        <f t="shared" si="3"/>
        <v>9.0370519128426557E-2</v>
      </c>
      <c r="F100" s="49">
        <f>VLOOKUP($A100,'Data shares'!$C:$FB,98)</f>
        <v>37648500</v>
      </c>
      <c r="G100" s="49">
        <f>VLOOKUP($A100,'Data shares'!$C:$FB,99)</f>
        <v>38605050</v>
      </c>
      <c r="H100" s="50">
        <f t="shared" si="4"/>
        <v>-2.477784642164691</v>
      </c>
      <c r="I100" s="49">
        <f>VLOOKUP($A100,'Data shares'!$C:$FB,66)</f>
        <v>14007300</v>
      </c>
      <c r="J100" s="49">
        <f>VLOOKUP($A100,'Data shares'!$C:$FB,67)</f>
        <v>20980950</v>
      </c>
      <c r="K100" s="50">
        <f t="shared" si="5"/>
        <v>-49.785825962176865</v>
      </c>
      <c r="L100" s="50">
        <f>VLOOKUP($A100,'Data shares'!$C:$FB,118)</f>
        <v>0.48</v>
      </c>
      <c r="M100" s="50">
        <f>VLOOKUP($A100,'Data shares'!$C:$FB,119)</f>
        <v>0.49</v>
      </c>
      <c r="N100" s="50">
        <f>VLOOKUP($A100,'Data shares'!$C:$FB,121)*100</f>
        <v>-2.04</v>
      </c>
      <c r="O100" s="50">
        <f>VLOOKUP($A100,'Data shares'!$C:$FB,124)</f>
        <v>0.51</v>
      </c>
      <c r="P100" s="50">
        <f>VLOOKUP($A100,'Data shares'!$C:$FB,125)</f>
        <v>0.49</v>
      </c>
      <c r="Q100" s="50">
        <f>VLOOKUP($A100,'Data shares'!$C:$FB,127)*100</f>
        <v>4.08</v>
      </c>
    </row>
    <row r="101" spans="1:17" x14ac:dyDescent="0.25">
      <c r="A101" s="97" t="str">
        <f>'Data Vlaue (Cr)'!C96</f>
        <v>INDUSINDBK</v>
      </c>
      <c r="B101" s="140">
        <f>VLOOKUP($A101,'Data shares'!$C:$FB,7)</f>
        <v>833.85</v>
      </c>
      <c r="C101" s="140">
        <f>VLOOKUP($A101,'Data shares'!$C:$FB,3)</f>
        <v>834.65</v>
      </c>
      <c r="D101" s="140">
        <f>VLOOKUP($A101,'Data shares'!$C:$FB,4)</f>
        <v>846.6</v>
      </c>
      <c r="E101" s="50">
        <f t="shared" si="3"/>
        <v>-1.4115284668084154</v>
      </c>
      <c r="F101" s="49">
        <f>VLOOKUP($A101,'Data shares'!$C:$FB,98)</f>
        <v>71937600</v>
      </c>
      <c r="G101" s="49">
        <f>VLOOKUP($A101,'Data shares'!$C:$FB,99)</f>
        <v>71325100</v>
      </c>
      <c r="H101" s="50">
        <f t="shared" si="4"/>
        <v>0.85874397652439327</v>
      </c>
      <c r="I101" s="49">
        <f>VLOOKUP($A101,'Data shares'!$C:$FB,66)</f>
        <v>40085500</v>
      </c>
      <c r="J101" s="49">
        <f>VLOOKUP($A101,'Data shares'!$C:$FB,67)</f>
        <v>19453000</v>
      </c>
      <c r="K101" s="50">
        <f t="shared" si="5"/>
        <v>51.471230245350561</v>
      </c>
      <c r="L101" s="50">
        <f>VLOOKUP($A101,'Data shares'!$C:$FB,118)</f>
        <v>0.7</v>
      </c>
      <c r="M101" s="50">
        <f>VLOOKUP($A101,'Data shares'!$C:$FB,119)</f>
        <v>0.69</v>
      </c>
      <c r="N101" s="50">
        <f>VLOOKUP($A101,'Data shares'!$C:$FB,121)*100</f>
        <v>1.4500000000000002</v>
      </c>
      <c r="O101" s="50">
        <f>VLOOKUP($A101,'Data shares'!$C:$FB,124)</f>
        <v>0.88</v>
      </c>
      <c r="P101" s="50">
        <f>VLOOKUP($A101,'Data shares'!$C:$FB,125)</f>
        <v>0.4</v>
      </c>
      <c r="Q101" s="50">
        <f>VLOOKUP($A101,'Data shares'!$C:$FB,127)*100</f>
        <v>120</v>
      </c>
    </row>
    <row r="102" spans="1:17" x14ac:dyDescent="0.25">
      <c r="A102" s="97" t="str">
        <f>'Data Vlaue (Cr)'!C97</f>
        <v>INDUSTOWER</v>
      </c>
      <c r="B102" s="140">
        <f>VLOOKUP($A102,'Data shares'!$C:$FB,7)</f>
        <v>407.2</v>
      </c>
      <c r="C102" s="140">
        <f>VLOOKUP($A102,'Data shares'!$C:$FB,3)</f>
        <v>408.6</v>
      </c>
      <c r="D102" s="140">
        <f>VLOOKUP($A102,'Data shares'!$C:$FB,4)</f>
        <v>409.6</v>
      </c>
      <c r="E102" s="50">
        <f t="shared" si="3"/>
        <v>-0.244140625</v>
      </c>
      <c r="F102" s="49">
        <f>VLOOKUP($A102,'Data shares'!$C:$FB,98)</f>
        <v>126299800</v>
      </c>
      <c r="G102" s="49">
        <f>VLOOKUP($A102,'Data shares'!$C:$FB,99)</f>
        <v>127314700</v>
      </c>
      <c r="H102" s="50">
        <f t="shared" si="4"/>
        <v>-0.79715853707388074</v>
      </c>
      <c r="I102" s="49">
        <f>VLOOKUP($A102,'Data shares'!$C:$FB,66)</f>
        <v>27801800</v>
      </c>
      <c r="J102" s="49">
        <f>VLOOKUP($A102,'Data shares'!$C:$FB,67)</f>
        <v>34282200</v>
      </c>
      <c r="K102" s="50">
        <f t="shared" si="5"/>
        <v>-23.309282132811546</v>
      </c>
      <c r="L102" s="50">
        <f>VLOOKUP($A102,'Data shares'!$C:$FB,118)</f>
        <v>0.59</v>
      </c>
      <c r="M102" s="50">
        <f>VLOOKUP($A102,'Data shares'!$C:$FB,119)</f>
        <v>0.57999999999999996</v>
      </c>
      <c r="N102" s="50">
        <f>VLOOKUP($A102,'Data shares'!$C:$FB,121)*100</f>
        <v>1.72</v>
      </c>
      <c r="O102" s="50">
        <f>VLOOKUP($A102,'Data shares'!$C:$FB,124)</f>
        <v>0.25</v>
      </c>
      <c r="P102" s="50">
        <f>VLOOKUP($A102,'Data shares'!$C:$FB,125)</f>
        <v>0.37</v>
      </c>
      <c r="Q102" s="50">
        <f>VLOOKUP($A102,'Data shares'!$C:$FB,127)*100</f>
        <v>-32.43</v>
      </c>
    </row>
    <row r="103" spans="1:17" x14ac:dyDescent="0.25">
      <c r="A103" s="97" t="str">
        <f>'Data Vlaue (Cr)'!C98</f>
        <v>INFY</v>
      </c>
      <c r="B103" s="140">
        <f>VLOOKUP($A103,'Data shares'!$C:$FB,7)</f>
        <v>1602</v>
      </c>
      <c r="C103" s="140">
        <f>VLOOKUP($A103,'Data shares'!$C:$FB,3)</f>
        <v>1605.8</v>
      </c>
      <c r="D103" s="140">
        <f>VLOOKUP($A103,'Data shares'!$C:$FB,4)</f>
        <v>1596.8</v>
      </c>
      <c r="E103" s="50">
        <f t="shared" si="3"/>
        <v>0.56362725450901807</v>
      </c>
      <c r="F103" s="49">
        <f>VLOOKUP($A103,'Data shares'!$C:$FB,98)</f>
        <v>116527200</v>
      </c>
      <c r="G103" s="49">
        <f>VLOOKUP($A103,'Data shares'!$C:$FB,99)</f>
        <v>113867600</v>
      </c>
      <c r="H103" s="50">
        <f t="shared" si="4"/>
        <v>2.3356951406721489</v>
      </c>
      <c r="I103" s="49">
        <f>VLOOKUP($A103,'Data shares'!$C:$FB,66)</f>
        <v>43017200</v>
      </c>
      <c r="J103" s="49">
        <f>VLOOKUP($A103,'Data shares'!$C:$FB,67)</f>
        <v>45612400</v>
      </c>
      <c r="K103" s="50">
        <f t="shared" si="5"/>
        <v>-6.0329356629441246</v>
      </c>
      <c r="L103" s="50">
        <f>VLOOKUP($A103,'Data shares'!$C:$FB,118)</f>
        <v>0.65</v>
      </c>
      <c r="M103" s="50">
        <f>VLOOKUP($A103,'Data shares'!$C:$FB,119)</f>
        <v>0.64</v>
      </c>
      <c r="N103" s="50">
        <f>VLOOKUP($A103,'Data shares'!$C:$FB,121)*100</f>
        <v>1.5599999999999998</v>
      </c>
      <c r="O103" s="50">
        <f>VLOOKUP($A103,'Data shares'!$C:$FB,124)</f>
        <v>0.54</v>
      </c>
      <c r="P103" s="50">
        <f>VLOOKUP($A103,'Data shares'!$C:$FB,125)</f>
        <v>0.62</v>
      </c>
      <c r="Q103" s="50">
        <f>VLOOKUP($A103,'Data shares'!$C:$FB,127)*100</f>
        <v>-12.9</v>
      </c>
    </row>
    <row r="104" spans="1:17" x14ac:dyDescent="0.25">
      <c r="A104" s="97" t="str">
        <f>'Data Vlaue (Cr)'!C99</f>
        <v>INOXWIND</v>
      </c>
      <c r="B104" s="140">
        <f>VLOOKUP($A104,'Data shares'!$C:$FB,7)</f>
        <v>126.04</v>
      </c>
      <c r="C104" s="140">
        <f>VLOOKUP($A104,'Data shares'!$C:$FB,3)</f>
        <v>126.43</v>
      </c>
      <c r="D104" s="140">
        <f>VLOOKUP($A104,'Data shares'!$C:$FB,4)</f>
        <v>127.2</v>
      </c>
      <c r="E104" s="50">
        <f t="shared" si="3"/>
        <v>-0.60534591194968235</v>
      </c>
      <c r="F104" s="49">
        <f>VLOOKUP($A104,'Data shares'!$C:$FB,98)</f>
        <v>157497562</v>
      </c>
      <c r="G104" s="49">
        <f>VLOOKUP($A104,'Data shares'!$C:$FB,99)</f>
        <v>158855438</v>
      </c>
      <c r="H104" s="50">
        <f t="shared" si="4"/>
        <v>-0.85478723114282062</v>
      </c>
      <c r="I104" s="49">
        <f>VLOOKUP($A104,'Data shares'!$C:$FB,66)</f>
        <v>23807072</v>
      </c>
      <c r="J104" s="49">
        <f>VLOOKUP($A104,'Data shares'!$C:$FB,67)</f>
        <v>31905272</v>
      </c>
      <c r="K104" s="50">
        <f t="shared" si="5"/>
        <v>-34.015942825728423</v>
      </c>
      <c r="L104" s="50">
        <f>VLOOKUP($A104,'Data shares'!$C:$FB,118)</f>
        <v>0.49</v>
      </c>
      <c r="M104" s="50">
        <f>VLOOKUP($A104,'Data shares'!$C:$FB,119)</f>
        <v>0.5</v>
      </c>
      <c r="N104" s="50">
        <f>VLOOKUP($A104,'Data shares'!$C:$FB,121)*100</f>
        <v>-2</v>
      </c>
      <c r="O104" s="50">
        <f>VLOOKUP($A104,'Data shares'!$C:$FB,124)</f>
        <v>0.6</v>
      </c>
      <c r="P104" s="50">
        <f>VLOOKUP($A104,'Data shares'!$C:$FB,125)</f>
        <v>0.5</v>
      </c>
      <c r="Q104" s="50">
        <f>VLOOKUP($A104,'Data shares'!$C:$FB,127)*100</f>
        <v>20</v>
      </c>
    </row>
    <row r="105" spans="1:17" x14ac:dyDescent="0.25">
      <c r="A105" s="97" t="str">
        <f>'Data Vlaue (Cr)'!C100</f>
        <v>IOC</v>
      </c>
      <c r="B105" s="140">
        <f>VLOOKUP($A105,'Data shares'!$C:$FB,7)</f>
        <v>168.16</v>
      </c>
      <c r="C105" s="140">
        <f>VLOOKUP($A105,'Data shares'!$C:$FB,3)</f>
        <v>168.64</v>
      </c>
      <c r="D105" s="140">
        <f>VLOOKUP($A105,'Data shares'!$C:$FB,4)</f>
        <v>168.07</v>
      </c>
      <c r="E105" s="50">
        <f t="shared" si="3"/>
        <v>0.33914440411732799</v>
      </c>
      <c r="F105" s="49">
        <f>VLOOKUP($A105,'Data shares'!$C:$FB,98)</f>
        <v>201781125</v>
      </c>
      <c r="G105" s="49">
        <f>VLOOKUP($A105,'Data shares'!$C:$FB,99)</f>
        <v>199358250</v>
      </c>
      <c r="H105" s="50">
        <f t="shared" si="4"/>
        <v>1.2153372132831222</v>
      </c>
      <c r="I105" s="49">
        <f>VLOOKUP($A105,'Data shares'!$C:$FB,66)</f>
        <v>170483625</v>
      </c>
      <c r="J105" s="49">
        <f>VLOOKUP($A105,'Data shares'!$C:$FB,67)</f>
        <v>216328125</v>
      </c>
      <c r="K105" s="50">
        <f t="shared" si="5"/>
        <v>-26.890852420577048</v>
      </c>
      <c r="L105" s="50">
        <f>VLOOKUP($A105,'Data shares'!$C:$FB,118)</f>
        <v>0.66</v>
      </c>
      <c r="M105" s="50">
        <f>VLOOKUP($A105,'Data shares'!$C:$FB,119)</f>
        <v>0.57999999999999996</v>
      </c>
      <c r="N105" s="50">
        <f>VLOOKUP($A105,'Data shares'!$C:$FB,121)*100</f>
        <v>13.79</v>
      </c>
      <c r="O105" s="50">
        <f>VLOOKUP($A105,'Data shares'!$C:$FB,124)</f>
        <v>0.57999999999999996</v>
      </c>
      <c r="P105" s="50">
        <f>VLOOKUP($A105,'Data shares'!$C:$FB,125)</f>
        <v>0.49</v>
      </c>
      <c r="Q105" s="50">
        <f>VLOOKUP($A105,'Data shares'!$C:$FB,127)*100</f>
        <v>18.37</v>
      </c>
    </row>
    <row r="106" spans="1:17" x14ac:dyDescent="0.25">
      <c r="A106" s="97" t="str">
        <f>'Data Vlaue (Cr)'!C101</f>
        <v>IRCTC</v>
      </c>
      <c r="B106" s="140">
        <f>VLOOKUP($A106,'Data shares'!$C:$FB,7)</f>
        <v>666.1</v>
      </c>
      <c r="C106" s="140">
        <f>VLOOKUP($A106,'Data shares'!$C:$FB,3)</f>
        <v>667.25</v>
      </c>
      <c r="D106" s="140">
        <f>VLOOKUP($A106,'Data shares'!$C:$FB,4)</f>
        <v>672.5</v>
      </c>
      <c r="E106" s="50">
        <f t="shared" si="3"/>
        <v>-0.7806691449814126</v>
      </c>
      <c r="F106" s="49">
        <f>VLOOKUP($A106,'Data shares'!$C:$FB,98)</f>
        <v>38381875</v>
      </c>
      <c r="G106" s="49">
        <f>VLOOKUP($A106,'Data shares'!$C:$FB,99)</f>
        <v>37681000</v>
      </c>
      <c r="H106" s="50">
        <f t="shared" si="4"/>
        <v>1.8600222924020062</v>
      </c>
      <c r="I106" s="49">
        <f>VLOOKUP($A106,'Data shares'!$C:$FB,66)</f>
        <v>10350375</v>
      </c>
      <c r="J106" s="49">
        <f>VLOOKUP($A106,'Data shares'!$C:$FB,67)</f>
        <v>6327125</v>
      </c>
      <c r="K106" s="50">
        <f t="shared" si="5"/>
        <v>38.870572322258859</v>
      </c>
      <c r="L106" s="50">
        <f>VLOOKUP($A106,'Data shares'!$C:$FB,118)</f>
        <v>0.7</v>
      </c>
      <c r="M106" s="50">
        <f>VLOOKUP($A106,'Data shares'!$C:$FB,119)</f>
        <v>0.67</v>
      </c>
      <c r="N106" s="50">
        <f>VLOOKUP($A106,'Data shares'!$C:$FB,121)*100</f>
        <v>4.4799999999999995</v>
      </c>
      <c r="O106" s="50">
        <f>VLOOKUP($A106,'Data shares'!$C:$FB,124)</f>
        <v>0.63</v>
      </c>
      <c r="P106" s="50">
        <f>VLOOKUP($A106,'Data shares'!$C:$FB,125)</f>
        <v>0.38</v>
      </c>
      <c r="Q106" s="50">
        <f>VLOOKUP($A106,'Data shares'!$C:$FB,127)*100</f>
        <v>65.790000000000006</v>
      </c>
    </row>
    <row r="107" spans="1:17" x14ac:dyDescent="0.25">
      <c r="A107" s="97" t="str">
        <f>'Data Vlaue (Cr)'!C102</f>
        <v>IREDA</v>
      </c>
      <c r="B107" s="140">
        <f>VLOOKUP($A107,'Data shares'!$C:$FB,7)</f>
        <v>131.43</v>
      </c>
      <c r="C107" s="140">
        <f>VLOOKUP($A107,'Data shares'!$C:$FB,3)</f>
        <v>131.16999999999999</v>
      </c>
      <c r="D107" s="140">
        <f>VLOOKUP($A107,'Data shares'!$C:$FB,4)</f>
        <v>133.68</v>
      </c>
      <c r="E107" s="50">
        <f t="shared" si="3"/>
        <v>-1.877618192698997</v>
      </c>
      <c r="F107" s="49">
        <f>VLOOKUP($A107,'Data shares'!$C:$FB,98)</f>
        <v>112787400</v>
      </c>
      <c r="G107" s="49">
        <f>VLOOKUP($A107,'Data shares'!$C:$FB,99)</f>
        <v>109106250</v>
      </c>
      <c r="H107" s="50">
        <f t="shared" si="4"/>
        <v>3.3739130434782614</v>
      </c>
      <c r="I107" s="49">
        <f>VLOOKUP($A107,'Data shares'!$C:$FB,66)</f>
        <v>29266350</v>
      </c>
      <c r="J107" s="49">
        <f>VLOOKUP($A107,'Data shares'!$C:$FB,67)</f>
        <v>19999650</v>
      </c>
      <c r="K107" s="50">
        <f t="shared" si="5"/>
        <v>31.663326653306612</v>
      </c>
      <c r="L107" s="50">
        <f>VLOOKUP($A107,'Data shares'!$C:$FB,118)</f>
        <v>0.5</v>
      </c>
      <c r="M107" s="50">
        <f>VLOOKUP($A107,'Data shares'!$C:$FB,119)</f>
        <v>0.49</v>
      </c>
      <c r="N107" s="50">
        <f>VLOOKUP($A107,'Data shares'!$C:$FB,121)*100</f>
        <v>2.04</v>
      </c>
      <c r="O107" s="50">
        <f>VLOOKUP($A107,'Data shares'!$C:$FB,124)</f>
        <v>0.32</v>
      </c>
      <c r="P107" s="50">
        <f>VLOOKUP($A107,'Data shares'!$C:$FB,125)</f>
        <v>0.25</v>
      </c>
      <c r="Q107" s="50">
        <f>VLOOKUP($A107,'Data shares'!$C:$FB,127)*100</f>
        <v>28.000000000000004</v>
      </c>
    </row>
    <row r="108" spans="1:17" x14ac:dyDescent="0.25">
      <c r="A108" s="97" t="str">
        <f>'Data Vlaue (Cr)'!C103</f>
        <v>IRFC</v>
      </c>
      <c r="B108" s="140">
        <f>VLOOKUP($A108,'Data shares'!$C:$FB,7)</f>
        <v>111.08</v>
      </c>
      <c r="C108" s="140">
        <f>VLOOKUP($A108,'Data shares'!$C:$FB,3)</f>
        <v>111.25</v>
      </c>
      <c r="D108" s="140">
        <f>VLOOKUP($A108,'Data shares'!$C:$FB,4)</f>
        <v>112.07</v>
      </c>
      <c r="E108" s="50">
        <f t="shared" si="3"/>
        <v>-0.73168555367180621</v>
      </c>
      <c r="F108" s="49">
        <f>VLOOKUP($A108,'Data shares'!$C:$FB,98)</f>
        <v>112935250</v>
      </c>
      <c r="G108" s="49">
        <f>VLOOKUP($A108,'Data shares'!$C:$FB,99)</f>
        <v>110997250</v>
      </c>
      <c r="H108" s="50">
        <f t="shared" si="4"/>
        <v>1.7459892024351955</v>
      </c>
      <c r="I108" s="49">
        <f>VLOOKUP($A108,'Data shares'!$C:$FB,66)</f>
        <v>36435250</v>
      </c>
      <c r="J108" s="49">
        <f>VLOOKUP($A108,'Data shares'!$C:$FB,67)</f>
        <v>24433250</v>
      </c>
      <c r="K108" s="50">
        <f t="shared" si="5"/>
        <v>32.940627551615535</v>
      </c>
      <c r="L108" s="50">
        <f>VLOOKUP($A108,'Data shares'!$C:$FB,118)</f>
        <v>0.48</v>
      </c>
      <c r="M108" s="50">
        <f>VLOOKUP($A108,'Data shares'!$C:$FB,119)</f>
        <v>0.47</v>
      </c>
      <c r="N108" s="50">
        <f>VLOOKUP($A108,'Data shares'!$C:$FB,121)*100</f>
        <v>2.13</v>
      </c>
      <c r="O108" s="50">
        <f>VLOOKUP($A108,'Data shares'!$C:$FB,124)</f>
        <v>0.42</v>
      </c>
      <c r="P108" s="50">
        <f>VLOOKUP($A108,'Data shares'!$C:$FB,125)</f>
        <v>0.46</v>
      </c>
      <c r="Q108" s="50">
        <f>VLOOKUP($A108,'Data shares'!$C:$FB,127)*100</f>
        <v>-8.6999999999999993</v>
      </c>
    </row>
    <row r="109" spans="1:17" x14ac:dyDescent="0.25">
      <c r="A109" s="97" t="str">
        <f>'Data Vlaue (Cr)'!C104</f>
        <v>ITC</v>
      </c>
      <c r="B109" s="140">
        <f>VLOOKUP($A109,'Data shares'!$C:$FB,7)</f>
        <v>399.8</v>
      </c>
      <c r="C109" s="140">
        <f>VLOOKUP($A109,'Data shares'!$C:$FB,3)</f>
        <v>401.05</v>
      </c>
      <c r="D109" s="140">
        <f>VLOOKUP($A109,'Data shares'!$C:$FB,4)</f>
        <v>403.2</v>
      </c>
      <c r="E109" s="50">
        <f t="shared" si="3"/>
        <v>-0.53323412698412131</v>
      </c>
      <c r="F109" s="49">
        <f>VLOOKUP($A109,'Data shares'!$C:$FB,98)</f>
        <v>276201600</v>
      </c>
      <c r="G109" s="49">
        <f>VLOOKUP($A109,'Data shares'!$C:$FB,99)</f>
        <v>271793600</v>
      </c>
      <c r="H109" s="50">
        <f t="shared" si="4"/>
        <v>1.6218189096431999</v>
      </c>
      <c r="I109" s="49">
        <f>VLOOKUP($A109,'Data shares'!$C:$FB,66)</f>
        <v>72676800</v>
      </c>
      <c r="J109" s="49">
        <f>VLOOKUP($A109,'Data shares'!$C:$FB,67)</f>
        <v>109088000</v>
      </c>
      <c r="K109" s="50">
        <f t="shared" si="5"/>
        <v>-50.100169517645242</v>
      </c>
      <c r="L109" s="50">
        <f>VLOOKUP($A109,'Data shares'!$C:$FB,118)</f>
        <v>0.62</v>
      </c>
      <c r="M109" s="50">
        <f>VLOOKUP($A109,'Data shares'!$C:$FB,119)</f>
        <v>0.64</v>
      </c>
      <c r="N109" s="50">
        <f>VLOOKUP($A109,'Data shares'!$C:$FB,121)*100</f>
        <v>-3.1300000000000003</v>
      </c>
      <c r="O109" s="50">
        <f>VLOOKUP($A109,'Data shares'!$C:$FB,124)</f>
        <v>0.48</v>
      </c>
      <c r="P109" s="50">
        <f>VLOOKUP($A109,'Data shares'!$C:$FB,125)</f>
        <v>0.61</v>
      </c>
      <c r="Q109" s="50">
        <f>VLOOKUP($A109,'Data shares'!$C:$FB,127)*100</f>
        <v>-21.310000000000002</v>
      </c>
    </row>
    <row r="110" spans="1:17" x14ac:dyDescent="0.25">
      <c r="A110" s="97" t="str">
        <f>'Data Vlaue (Cr)'!C105</f>
        <v>JINDALSTEL</v>
      </c>
      <c r="B110" s="140">
        <f>VLOOKUP($A110,'Data shares'!$C:$FB,7)</f>
        <v>1001.5</v>
      </c>
      <c r="C110" s="140">
        <f>VLOOKUP($A110,'Data shares'!$C:$FB,3)</f>
        <v>1003.9</v>
      </c>
      <c r="D110" s="140">
        <f>VLOOKUP($A110,'Data shares'!$C:$FB,4)</f>
        <v>1012.5</v>
      </c>
      <c r="E110" s="50">
        <f t="shared" si="3"/>
        <v>-0.84938271604938498</v>
      </c>
      <c r="F110" s="49">
        <f>VLOOKUP($A110,'Data shares'!$C:$FB,98)</f>
        <v>22001250</v>
      </c>
      <c r="G110" s="49">
        <f>VLOOKUP($A110,'Data shares'!$C:$FB,99)</f>
        <v>21503750</v>
      </c>
      <c r="H110" s="50">
        <f t="shared" si="4"/>
        <v>2.3135499622158924</v>
      </c>
      <c r="I110" s="49">
        <f>VLOOKUP($A110,'Data shares'!$C:$FB,66)</f>
        <v>8147500</v>
      </c>
      <c r="J110" s="49">
        <f>VLOOKUP($A110,'Data shares'!$C:$FB,67)</f>
        <v>8810625</v>
      </c>
      <c r="K110" s="50">
        <f t="shared" si="5"/>
        <v>-8.1389996931574107</v>
      </c>
      <c r="L110" s="50">
        <f>VLOOKUP($A110,'Data shares'!$C:$FB,118)</f>
        <v>0.6</v>
      </c>
      <c r="M110" s="50">
        <f>VLOOKUP($A110,'Data shares'!$C:$FB,119)</f>
        <v>0.62</v>
      </c>
      <c r="N110" s="50">
        <f>VLOOKUP($A110,'Data shares'!$C:$FB,121)*100</f>
        <v>-3.2300000000000004</v>
      </c>
      <c r="O110" s="50">
        <f>VLOOKUP($A110,'Data shares'!$C:$FB,124)</f>
        <v>0.55000000000000004</v>
      </c>
      <c r="P110" s="50">
        <f>VLOOKUP($A110,'Data shares'!$C:$FB,125)</f>
        <v>0.83</v>
      </c>
      <c r="Q110" s="50">
        <f>VLOOKUP($A110,'Data shares'!$C:$FB,127)*100</f>
        <v>-33.729999999999997</v>
      </c>
    </row>
    <row r="111" spans="1:17" x14ac:dyDescent="0.25">
      <c r="A111" s="97" t="str">
        <f>'Data Vlaue (Cr)'!C106</f>
        <v>JIOFIN</v>
      </c>
      <c r="B111" s="140">
        <f>VLOOKUP($A111,'Data shares'!$C:$FB,7)</f>
        <v>293.14999999999998</v>
      </c>
      <c r="C111" s="140">
        <f>VLOOKUP($A111,'Data shares'!$C:$FB,3)</f>
        <v>293.7</v>
      </c>
      <c r="D111" s="140">
        <f>VLOOKUP($A111,'Data shares'!$C:$FB,4)</f>
        <v>295.85000000000002</v>
      </c>
      <c r="E111" s="50">
        <f t="shared" si="3"/>
        <v>-0.72671962142979007</v>
      </c>
      <c r="F111" s="49">
        <f>VLOOKUP($A111,'Data shares'!$C:$FB,98)</f>
        <v>274621000</v>
      </c>
      <c r="G111" s="49">
        <f>VLOOKUP($A111,'Data shares'!$C:$FB,99)</f>
        <v>271436750</v>
      </c>
      <c r="H111" s="50">
        <f t="shared" si="4"/>
        <v>1.1731093892039306</v>
      </c>
      <c r="I111" s="49">
        <f>VLOOKUP($A111,'Data shares'!$C:$FB,66)</f>
        <v>59607750</v>
      </c>
      <c r="J111" s="49">
        <f>VLOOKUP($A111,'Data shares'!$C:$FB,67)</f>
        <v>60152950</v>
      </c>
      <c r="K111" s="50">
        <f t="shared" si="5"/>
        <v>-0.91464616597673964</v>
      </c>
      <c r="L111" s="50">
        <f>VLOOKUP($A111,'Data shares'!$C:$FB,118)</f>
        <v>0.68</v>
      </c>
      <c r="M111" s="50">
        <f>VLOOKUP($A111,'Data shares'!$C:$FB,119)</f>
        <v>0.7</v>
      </c>
      <c r="N111" s="50">
        <f>VLOOKUP($A111,'Data shares'!$C:$FB,121)*100</f>
        <v>-2.86</v>
      </c>
      <c r="O111" s="50">
        <f>VLOOKUP($A111,'Data shares'!$C:$FB,124)</f>
        <v>0.36</v>
      </c>
      <c r="P111" s="50">
        <f>VLOOKUP($A111,'Data shares'!$C:$FB,125)</f>
        <v>0.42</v>
      </c>
      <c r="Q111" s="50">
        <f>VLOOKUP($A111,'Data shares'!$C:$FB,127)*100</f>
        <v>-14.29</v>
      </c>
    </row>
    <row r="112" spans="1:17" x14ac:dyDescent="0.25">
      <c r="A112" s="97" t="str">
        <f>'Data Vlaue (Cr)'!C107</f>
        <v>JSWENERGY</v>
      </c>
      <c r="B112" s="140">
        <f>VLOOKUP($A112,'Data shares'!$C:$FB,7)</f>
        <v>475.25</v>
      </c>
      <c r="C112" s="140">
        <f>VLOOKUP($A112,'Data shares'!$C:$FB,3)</f>
        <v>475.8</v>
      </c>
      <c r="D112" s="140">
        <f>VLOOKUP($A112,'Data shares'!$C:$FB,4)</f>
        <v>479.2</v>
      </c>
      <c r="E112" s="50">
        <f t="shared" si="3"/>
        <v>-0.70951585976627241</v>
      </c>
      <c r="F112" s="49">
        <f>VLOOKUP($A112,'Data shares'!$C:$FB,98)</f>
        <v>73213000</v>
      </c>
      <c r="G112" s="49">
        <f>VLOOKUP($A112,'Data shares'!$C:$FB,99)</f>
        <v>73960000</v>
      </c>
      <c r="H112" s="50">
        <f t="shared" si="4"/>
        <v>-1.0100054083288263</v>
      </c>
      <c r="I112" s="49">
        <f>VLOOKUP($A112,'Data shares'!$C:$FB,66)</f>
        <v>19059000</v>
      </c>
      <c r="J112" s="49">
        <f>VLOOKUP($A112,'Data shares'!$C:$FB,67)</f>
        <v>28837000</v>
      </c>
      <c r="K112" s="50">
        <f t="shared" si="5"/>
        <v>-51.303845952043659</v>
      </c>
      <c r="L112" s="50">
        <f>VLOOKUP($A112,'Data shares'!$C:$FB,118)</f>
        <v>0.68</v>
      </c>
      <c r="M112" s="50">
        <f>VLOOKUP($A112,'Data shares'!$C:$FB,119)</f>
        <v>0.68</v>
      </c>
      <c r="N112" s="50">
        <f>VLOOKUP($A112,'Data shares'!$C:$FB,121)*100</f>
        <v>0</v>
      </c>
      <c r="O112" s="50">
        <f>VLOOKUP($A112,'Data shares'!$C:$FB,124)</f>
        <v>0.6</v>
      </c>
      <c r="P112" s="50">
        <f>VLOOKUP($A112,'Data shares'!$C:$FB,125)</f>
        <v>0.76</v>
      </c>
      <c r="Q112" s="50">
        <f>VLOOKUP($A112,'Data shares'!$C:$FB,127)*100</f>
        <v>-21.05</v>
      </c>
    </row>
    <row r="113" spans="1:17" x14ac:dyDescent="0.25">
      <c r="A113" s="97" t="str">
        <f>'Data Vlaue (Cr)'!C108</f>
        <v>JSWSTEEL</v>
      </c>
      <c r="B113" s="140">
        <f>VLOOKUP($A113,'Data shares'!$C:$FB,7)</f>
        <v>1079.3</v>
      </c>
      <c r="C113" s="140">
        <f>VLOOKUP($A113,'Data shares'!$C:$FB,3)</f>
        <v>1083.2</v>
      </c>
      <c r="D113" s="140">
        <f>VLOOKUP($A113,'Data shares'!$C:$FB,4)</f>
        <v>1085.7</v>
      </c>
      <c r="E113" s="50">
        <f t="shared" si="3"/>
        <v>-0.2302661877129962</v>
      </c>
      <c r="F113" s="49">
        <f>VLOOKUP($A113,'Data shares'!$C:$FB,98)</f>
        <v>80272350</v>
      </c>
      <c r="G113" s="49">
        <f>VLOOKUP($A113,'Data shares'!$C:$FB,99)</f>
        <v>79795800</v>
      </c>
      <c r="H113" s="50">
        <f t="shared" si="4"/>
        <v>0.59721188333220543</v>
      </c>
      <c r="I113" s="49">
        <f>VLOOKUP($A113,'Data shares'!$C:$FB,66)</f>
        <v>22331025</v>
      </c>
      <c r="J113" s="49">
        <f>VLOOKUP($A113,'Data shares'!$C:$FB,67)</f>
        <v>37509075</v>
      </c>
      <c r="K113" s="50">
        <f t="shared" si="5"/>
        <v>-67.96844300698244</v>
      </c>
      <c r="L113" s="50">
        <f>VLOOKUP($A113,'Data shares'!$C:$FB,118)</f>
        <v>0.51</v>
      </c>
      <c r="M113" s="50">
        <f>VLOOKUP($A113,'Data shares'!$C:$FB,119)</f>
        <v>0.53</v>
      </c>
      <c r="N113" s="50">
        <f>VLOOKUP($A113,'Data shares'!$C:$FB,121)*100</f>
        <v>-3.7699999999999996</v>
      </c>
      <c r="O113" s="50">
        <f>VLOOKUP($A113,'Data shares'!$C:$FB,124)</f>
        <v>0.37</v>
      </c>
      <c r="P113" s="50">
        <f>VLOOKUP($A113,'Data shares'!$C:$FB,125)</f>
        <v>0.54</v>
      </c>
      <c r="Q113" s="50">
        <f>VLOOKUP($A113,'Data shares'!$C:$FB,127)*100</f>
        <v>-31.480000000000004</v>
      </c>
    </row>
    <row r="114" spans="1:17" x14ac:dyDescent="0.25">
      <c r="A114" s="97" t="str">
        <f>'Data Vlaue (Cr)'!C109</f>
        <v>JUBLFOOD</v>
      </c>
      <c r="B114" s="140">
        <f>VLOOKUP($A114,'Data shares'!$C:$FB,7)</f>
        <v>554.04999999999995</v>
      </c>
      <c r="C114" s="140">
        <f>VLOOKUP($A114,'Data shares'!$C:$FB,3)</f>
        <v>554.70000000000005</v>
      </c>
      <c r="D114" s="140">
        <f>VLOOKUP($A114,'Data shares'!$C:$FB,4)</f>
        <v>561.04999999999995</v>
      </c>
      <c r="E114" s="50">
        <f t="shared" si="3"/>
        <v>-1.1318064343641225</v>
      </c>
      <c r="F114" s="49">
        <f>VLOOKUP($A114,'Data shares'!$C:$FB,98)</f>
        <v>44898750</v>
      </c>
      <c r="G114" s="49">
        <f>VLOOKUP($A114,'Data shares'!$C:$FB,99)</f>
        <v>42521250</v>
      </c>
      <c r="H114" s="50">
        <f t="shared" si="4"/>
        <v>5.5913219860657906</v>
      </c>
      <c r="I114" s="49">
        <f>VLOOKUP($A114,'Data shares'!$C:$FB,66)</f>
        <v>27065000</v>
      </c>
      <c r="J114" s="49">
        <f>VLOOKUP($A114,'Data shares'!$C:$FB,67)</f>
        <v>38727500</v>
      </c>
      <c r="K114" s="50">
        <f t="shared" si="5"/>
        <v>-43.090707555883981</v>
      </c>
      <c r="L114" s="50">
        <f>VLOOKUP($A114,'Data shares'!$C:$FB,118)</f>
        <v>0.56000000000000005</v>
      </c>
      <c r="M114" s="50">
        <f>VLOOKUP($A114,'Data shares'!$C:$FB,119)</f>
        <v>0.61</v>
      </c>
      <c r="N114" s="50">
        <f>VLOOKUP($A114,'Data shares'!$C:$FB,121)*100</f>
        <v>-8.2000000000000011</v>
      </c>
      <c r="O114" s="50">
        <f>VLOOKUP($A114,'Data shares'!$C:$FB,124)</f>
        <v>0.63</v>
      </c>
      <c r="P114" s="50">
        <f>VLOOKUP($A114,'Data shares'!$C:$FB,125)</f>
        <v>0.66</v>
      </c>
      <c r="Q114" s="50">
        <f>VLOOKUP($A114,'Data shares'!$C:$FB,127)*100</f>
        <v>-4.55</v>
      </c>
    </row>
    <row r="115" spans="1:17" x14ac:dyDescent="0.25">
      <c r="A115" s="97" t="str">
        <f>'Data Vlaue (Cr)'!C110</f>
        <v>KALYANKJIL</v>
      </c>
      <c r="B115" s="140">
        <f>VLOOKUP($A115,'Data shares'!$C:$FB,7)</f>
        <v>474.85</v>
      </c>
      <c r="C115" s="140">
        <f>VLOOKUP($A115,'Data shares'!$C:$FB,3)</f>
        <v>475.3</v>
      </c>
      <c r="D115" s="140">
        <f>VLOOKUP($A115,'Data shares'!$C:$FB,4)</f>
        <v>479.65</v>
      </c>
      <c r="E115" s="50">
        <f t="shared" si="3"/>
        <v>-0.9069112894819068</v>
      </c>
      <c r="F115" s="49">
        <f>VLOOKUP($A115,'Data shares'!$C:$FB,98)</f>
        <v>51778725</v>
      </c>
      <c r="G115" s="49">
        <f>VLOOKUP($A115,'Data shares'!$C:$FB,99)</f>
        <v>50624875</v>
      </c>
      <c r="H115" s="50">
        <f t="shared" si="4"/>
        <v>2.2792155042358129</v>
      </c>
      <c r="I115" s="49">
        <f>VLOOKUP($A115,'Data shares'!$C:$FB,66)</f>
        <v>19448600</v>
      </c>
      <c r="J115" s="49">
        <f>VLOOKUP($A115,'Data shares'!$C:$FB,67)</f>
        <v>10423425</v>
      </c>
      <c r="K115" s="50">
        <f t="shared" si="5"/>
        <v>46.405268245529243</v>
      </c>
      <c r="L115" s="50">
        <f>VLOOKUP($A115,'Data shares'!$C:$FB,118)</f>
        <v>0.55000000000000004</v>
      </c>
      <c r="M115" s="50">
        <f>VLOOKUP($A115,'Data shares'!$C:$FB,119)</f>
        <v>0.59</v>
      </c>
      <c r="N115" s="50">
        <f>VLOOKUP($A115,'Data shares'!$C:$FB,121)*100</f>
        <v>-6.78</v>
      </c>
      <c r="O115" s="50">
        <f>VLOOKUP($A115,'Data shares'!$C:$FB,124)</f>
        <v>0.55000000000000004</v>
      </c>
      <c r="P115" s="50">
        <f>VLOOKUP($A115,'Data shares'!$C:$FB,125)</f>
        <v>0.31</v>
      </c>
      <c r="Q115" s="50">
        <f>VLOOKUP($A115,'Data shares'!$C:$FB,127)*100</f>
        <v>77.42</v>
      </c>
    </row>
    <row r="116" spans="1:17" x14ac:dyDescent="0.25">
      <c r="A116" s="97" t="str">
        <f>'Data Vlaue (Cr)'!C111</f>
        <v>KAYNES</v>
      </c>
      <c r="B116" s="140">
        <f>VLOOKUP($A116,'Data shares'!$C:$FB,7)</f>
        <v>4093.5</v>
      </c>
      <c r="C116" s="140">
        <f>VLOOKUP($A116,'Data shares'!$C:$FB,3)</f>
        <v>4098.5</v>
      </c>
      <c r="D116" s="140">
        <f>VLOOKUP($A116,'Data shares'!$C:$FB,4)</f>
        <v>4194.5</v>
      </c>
      <c r="E116" s="50">
        <f t="shared" si="3"/>
        <v>-2.2887114077959234</v>
      </c>
      <c r="F116" s="49">
        <f>VLOOKUP($A116,'Data shares'!$C:$FB,98)</f>
        <v>15503000</v>
      </c>
      <c r="G116" s="49">
        <f>VLOOKUP($A116,'Data shares'!$C:$FB,99)</f>
        <v>15241000</v>
      </c>
      <c r="H116" s="50">
        <f t="shared" si="4"/>
        <v>1.7190473066071781</v>
      </c>
      <c r="I116" s="49">
        <f>VLOOKUP($A116,'Data shares'!$C:$FB,66)</f>
        <v>16644400</v>
      </c>
      <c r="J116" s="49">
        <f>VLOOKUP($A116,'Data shares'!$C:$FB,67)</f>
        <v>11990900</v>
      </c>
      <c r="K116" s="50">
        <f t="shared" si="5"/>
        <v>27.958352358751291</v>
      </c>
      <c r="L116" s="50">
        <f>VLOOKUP($A116,'Data shares'!$C:$FB,118)</f>
        <v>0.4</v>
      </c>
      <c r="M116" s="50">
        <f>VLOOKUP($A116,'Data shares'!$C:$FB,119)</f>
        <v>0.4</v>
      </c>
      <c r="N116" s="50">
        <f>VLOOKUP($A116,'Data shares'!$C:$FB,121)*100</f>
        <v>0</v>
      </c>
      <c r="O116" s="50">
        <f>VLOOKUP($A116,'Data shares'!$C:$FB,124)</f>
        <v>0.5</v>
      </c>
      <c r="P116" s="50">
        <f>VLOOKUP($A116,'Data shares'!$C:$FB,125)</f>
        <v>0.48</v>
      </c>
      <c r="Q116" s="50">
        <f>VLOOKUP($A116,'Data shares'!$C:$FB,127)*100</f>
        <v>4.17</v>
      </c>
    </row>
    <row r="117" spans="1:17" x14ac:dyDescent="0.25">
      <c r="A117" s="97" t="str">
        <f>'Data Vlaue (Cr)'!C112</f>
        <v>KEI</v>
      </c>
      <c r="B117" s="140">
        <f>VLOOKUP($A117,'Data shares'!$C:$FB,7)</f>
        <v>4106.6000000000004</v>
      </c>
      <c r="C117" s="140">
        <f>VLOOKUP($A117,'Data shares'!$C:$FB,3)</f>
        <v>4119.8999999999996</v>
      </c>
      <c r="D117" s="140">
        <f>VLOOKUP($A117,'Data shares'!$C:$FB,4)</f>
        <v>4165.6000000000004</v>
      </c>
      <c r="E117" s="50">
        <f t="shared" si="3"/>
        <v>-1.097080852698308</v>
      </c>
      <c r="F117" s="49">
        <f>VLOOKUP($A117,'Data shares'!$C:$FB,98)</f>
        <v>2301425</v>
      </c>
      <c r="G117" s="49">
        <f>VLOOKUP($A117,'Data shares'!$C:$FB,99)</f>
        <v>2098775</v>
      </c>
      <c r="H117" s="50">
        <f t="shared" si="4"/>
        <v>9.6556324522638217</v>
      </c>
      <c r="I117" s="49">
        <f>VLOOKUP($A117,'Data shares'!$C:$FB,66)</f>
        <v>2246825</v>
      </c>
      <c r="J117" s="49">
        <f>VLOOKUP($A117,'Data shares'!$C:$FB,67)</f>
        <v>861175</v>
      </c>
      <c r="K117" s="50">
        <f t="shared" si="5"/>
        <v>61.671469740634009</v>
      </c>
      <c r="L117" s="50">
        <f>VLOOKUP($A117,'Data shares'!$C:$FB,118)</f>
        <v>0.67</v>
      </c>
      <c r="M117" s="50">
        <f>VLOOKUP($A117,'Data shares'!$C:$FB,119)</f>
        <v>0.62</v>
      </c>
      <c r="N117" s="50">
        <f>VLOOKUP($A117,'Data shares'!$C:$FB,121)*100</f>
        <v>8.06</v>
      </c>
      <c r="O117" s="50">
        <f>VLOOKUP($A117,'Data shares'!$C:$FB,124)</f>
        <v>1.67</v>
      </c>
      <c r="P117" s="50">
        <f>VLOOKUP($A117,'Data shares'!$C:$FB,125)</f>
        <v>0.66</v>
      </c>
      <c r="Q117" s="50">
        <f>VLOOKUP($A117,'Data shares'!$C:$FB,127)*100</f>
        <v>153.03</v>
      </c>
    </row>
    <row r="118" spans="1:17" x14ac:dyDescent="0.25">
      <c r="A118" s="97" t="str">
        <f>'Data Vlaue (Cr)'!C113</f>
        <v>KFINTECH</v>
      </c>
      <c r="B118" s="140">
        <f>VLOOKUP($A118,'Data shares'!$C:$FB,7)</f>
        <v>1031.3</v>
      </c>
      <c r="C118" s="140">
        <f>VLOOKUP($A118,'Data shares'!$C:$FB,3)</f>
        <v>1031.4000000000001</v>
      </c>
      <c r="D118" s="140">
        <f>VLOOKUP($A118,'Data shares'!$C:$FB,4)</f>
        <v>1035.2</v>
      </c>
      <c r="E118" s="50">
        <f t="shared" si="3"/>
        <v>-0.36707882534775449</v>
      </c>
      <c r="F118" s="49">
        <f>VLOOKUP($A118,'Data shares'!$C:$FB,98)</f>
        <v>8595300</v>
      </c>
      <c r="G118" s="49">
        <f>VLOOKUP($A118,'Data shares'!$C:$FB,99)</f>
        <v>8579700</v>
      </c>
      <c r="H118" s="50">
        <f t="shared" si="4"/>
        <v>0.18182453931955661</v>
      </c>
      <c r="I118" s="49">
        <f>VLOOKUP($A118,'Data shares'!$C:$FB,66)</f>
        <v>2422800</v>
      </c>
      <c r="J118" s="49">
        <f>VLOOKUP($A118,'Data shares'!$C:$FB,67)</f>
        <v>3429900</v>
      </c>
      <c r="K118" s="50">
        <f t="shared" si="5"/>
        <v>-41.56760772659733</v>
      </c>
      <c r="L118" s="50">
        <f>VLOOKUP($A118,'Data shares'!$C:$FB,118)</f>
        <v>0.64</v>
      </c>
      <c r="M118" s="50">
        <f>VLOOKUP($A118,'Data shares'!$C:$FB,119)</f>
        <v>0.63</v>
      </c>
      <c r="N118" s="50">
        <f>VLOOKUP($A118,'Data shares'!$C:$FB,121)*100</f>
        <v>1.59</v>
      </c>
      <c r="O118" s="50">
        <f>VLOOKUP($A118,'Data shares'!$C:$FB,124)</f>
        <v>0.47</v>
      </c>
      <c r="P118" s="50">
        <f>VLOOKUP($A118,'Data shares'!$C:$FB,125)</f>
        <v>0.48</v>
      </c>
      <c r="Q118" s="50">
        <f>VLOOKUP($A118,'Data shares'!$C:$FB,127)*100</f>
        <v>-2.08</v>
      </c>
    </row>
    <row r="119" spans="1:17" x14ac:dyDescent="0.25">
      <c r="A119" s="97" t="str">
        <f>'Data Vlaue (Cr)'!C114</f>
        <v>KOTAKBANK</v>
      </c>
      <c r="B119" s="140">
        <f>VLOOKUP($A119,'Data shares'!$C:$FB,7)</f>
        <v>2173.1999999999998</v>
      </c>
      <c r="C119" s="140">
        <f>VLOOKUP($A119,'Data shares'!$C:$FB,3)</f>
        <v>2176.6</v>
      </c>
      <c r="D119" s="140">
        <f>VLOOKUP($A119,'Data shares'!$C:$FB,4)</f>
        <v>2189</v>
      </c>
      <c r="E119" s="50">
        <f t="shared" si="3"/>
        <v>-0.56646870717222897</v>
      </c>
      <c r="F119" s="49">
        <f>VLOOKUP($A119,'Data shares'!$C:$FB,98)</f>
        <v>57025600</v>
      </c>
      <c r="G119" s="49">
        <f>VLOOKUP($A119,'Data shares'!$C:$FB,99)</f>
        <v>57104800</v>
      </c>
      <c r="H119" s="50">
        <f t="shared" si="4"/>
        <v>-0.13869236911783248</v>
      </c>
      <c r="I119" s="49">
        <f>VLOOKUP($A119,'Data shares'!$C:$FB,66)</f>
        <v>16645200</v>
      </c>
      <c r="J119" s="49">
        <f>VLOOKUP($A119,'Data shares'!$C:$FB,67)</f>
        <v>22315600</v>
      </c>
      <c r="K119" s="50">
        <f t="shared" si="5"/>
        <v>-34.066277365246442</v>
      </c>
      <c r="L119" s="50">
        <f>VLOOKUP($A119,'Data shares'!$C:$FB,118)</f>
        <v>0.85</v>
      </c>
      <c r="M119" s="50">
        <f>VLOOKUP($A119,'Data shares'!$C:$FB,119)</f>
        <v>0.88</v>
      </c>
      <c r="N119" s="50">
        <f>VLOOKUP($A119,'Data shares'!$C:$FB,121)*100</f>
        <v>-3.4099999999999997</v>
      </c>
      <c r="O119" s="50">
        <f>VLOOKUP($A119,'Data shares'!$C:$FB,124)</f>
        <v>0.66</v>
      </c>
      <c r="P119" s="50">
        <f>VLOOKUP($A119,'Data shares'!$C:$FB,125)</f>
        <v>0.51</v>
      </c>
      <c r="Q119" s="50">
        <f>VLOOKUP($A119,'Data shares'!$C:$FB,127)*100</f>
        <v>29.409999999999997</v>
      </c>
    </row>
    <row r="120" spans="1:17" x14ac:dyDescent="0.25">
      <c r="A120" s="97" t="str">
        <f>'Data Vlaue (Cr)'!C115</f>
        <v>KPITTECH</v>
      </c>
      <c r="B120" s="140">
        <f>VLOOKUP($A120,'Data shares'!$C:$FB,7)</f>
        <v>1168.9000000000001</v>
      </c>
      <c r="C120" s="140">
        <f>VLOOKUP($A120,'Data shares'!$C:$FB,3)</f>
        <v>1173.4000000000001</v>
      </c>
      <c r="D120" s="140">
        <f>VLOOKUP($A120,'Data shares'!$C:$FB,4)</f>
        <v>1173.5</v>
      </c>
      <c r="E120" s="50">
        <f t="shared" si="3"/>
        <v>-8.5215168299879896E-3</v>
      </c>
      <c r="F120" s="49">
        <f>VLOOKUP($A120,'Data shares'!$C:$FB,98)</f>
        <v>8094650</v>
      </c>
      <c r="G120" s="49">
        <f>VLOOKUP($A120,'Data shares'!$C:$FB,99)</f>
        <v>7880725</v>
      </c>
      <c r="H120" s="50">
        <f t="shared" si="4"/>
        <v>2.7145345130048315</v>
      </c>
      <c r="I120" s="49">
        <f>VLOOKUP($A120,'Data shares'!$C:$FB,66)</f>
        <v>2969200</v>
      </c>
      <c r="J120" s="49">
        <f>VLOOKUP($A120,'Data shares'!$C:$FB,67)</f>
        <v>8979600</v>
      </c>
      <c r="K120" s="50">
        <f t="shared" si="5"/>
        <v>-202.42489559477298</v>
      </c>
      <c r="L120" s="50">
        <f>VLOOKUP($A120,'Data shares'!$C:$FB,118)</f>
        <v>0.59</v>
      </c>
      <c r="M120" s="50">
        <f>VLOOKUP($A120,'Data shares'!$C:$FB,119)</f>
        <v>0.57999999999999996</v>
      </c>
      <c r="N120" s="50">
        <f>VLOOKUP($A120,'Data shares'!$C:$FB,121)*100</f>
        <v>1.72</v>
      </c>
      <c r="O120" s="50">
        <f>VLOOKUP($A120,'Data shares'!$C:$FB,124)</f>
        <v>0.66</v>
      </c>
      <c r="P120" s="50">
        <f>VLOOKUP($A120,'Data shares'!$C:$FB,125)</f>
        <v>0.61</v>
      </c>
      <c r="Q120" s="50">
        <f>VLOOKUP($A120,'Data shares'!$C:$FB,127)*100</f>
        <v>8.2000000000000011</v>
      </c>
    </row>
    <row r="121" spans="1:17" x14ac:dyDescent="0.25">
      <c r="A121" s="97" t="str">
        <f>'Data Vlaue (Cr)'!C116</f>
        <v>LAURUSLABS</v>
      </c>
      <c r="B121" s="140">
        <f>VLOOKUP($A121,'Data shares'!$C:$FB,7)</f>
        <v>1010</v>
      </c>
      <c r="C121" s="140">
        <f>VLOOKUP($A121,'Data shares'!$C:$FB,3)</f>
        <v>1010.6</v>
      </c>
      <c r="D121" s="140">
        <f>VLOOKUP($A121,'Data shares'!$C:$FB,4)</f>
        <v>1005</v>
      </c>
      <c r="E121" s="50">
        <f t="shared" si="3"/>
        <v>0.55721393034826094</v>
      </c>
      <c r="F121" s="49">
        <f>VLOOKUP($A121,'Data shares'!$C:$FB,98)</f>
        <v>30004150</v>
      </c>
      <c r="G121" s="49">
        <f>VLOOKUP($A121,'Data shares'!$C:$FB,99)</f>
        <v>30239600</v>
      </c>
      <c r="H121" s="50">
        <f t="shared" si="4"/>
        <v>-0.77861479649201704</v>
      </c>
      <c r="I121" s="49">
        <f>VLOOKUP($A121,'Data shares'!$C:$FB,66)</f>
        <v>13636550</v>
      </c>
      <c r="J121" s="49">
        <f>VLOOKUP($A121,'Data shares'!$C:$FB,67)</f>
        <v>11455450</v>
      </c>
      <c r="K121" s="50">
        <f t="shared" si="5"/>
        <v>15.994514741631866</v>
      </c>
      <c r="L121" s="50">
        <f>VLOOKUP($A121,'Data shares'!$C:$FB,118)</f>
        <v>0.55000000000000004</v>
      </c>
      <c r="M121" s="50">
        <f>VLOOKUP($A121,'Data shares'!$C:$FB,119)</f>
        <v>0.54</v>
      </c>
      <c r="N121" s="50">
        <f>VLOOKUP($A121,'Data shares'!$C:$FB,121)*100</f>
        <v>1.8499999999999999</v>
      </c>
      <c r="O121" s="50">
        <f>VLOOKUP($A121,'Data shares'!$C:$FB,124)</f>
        <v>0.38</v>
      </c>
      <c r="P121" s="50">
        <f>VLOOKUP($A121,'Data shares'!$C:$FB,125)</f>
        <v>0.41</v>
      </c>
      <c r="Q121" s="50">
        <f>VLOOKUP($A121,'Data shares'!$C:$FB,127)*100</f>
        <v>-7.32</v>
      </c>
    </row>
    <row r="122" spans="1:17" x14ac:dyDescent="0.25">
      <c r="A122" s="97" t="str">
        <f>'Data Vlaue (Cr)'!C117</f>
        <v>LICHSGFIN</v>
      </c>
      <c r="B122" s="140">
        <f>VLOOKUP($A122,'Data shares'!$C:$FB,7)</f>
        <v>524.79999999999995</v>
      </c>
      <c r="C122" s="140">
        <f>VLOOKUP($A122,'Data shares'!$C:$FB,3)</f>
        <v>524.75</v>
      </c>
      <c r="D122" s="140">
        <f>VLOOKUP($A122,'Data shares'!$C:$FB,4)</f>
        <v>526.9</v>
      </c>
      <c r="E122" s="50">
        <f t="shared" si="3"/>
        <v>-0.40804706775478788</v>
      </c>
      <c r="F122" s="49">
        <f>VLOOKUP($A122,'Data shares'!$C:$FB,98)</f>
        <v>54515000</v>
      </c>
      <c r="G122" s="49">
        <f>VLOOKUP($A122,'Data shares'!$C:$FB,99)</f>
        <v>54339000</v>
      </c>
      <c r="H122" s="50">
        <f t="shared" si="4"/>
        <v>0.32389260015826571</v>
      </c>
      <c r="I122" s="49">
        <f>VLOOKUP($A122,'Data shares'!$C:$FB,66)</f>
        <v>9153000</v>
      </c>
      <c r="J122" s="49">
        <f>VLOOKUP($A122,'Data shares'!$C:$FB,67)</f>
        <v>10759000</v>
      </c>
      <c r="K122" s="50">
        <f t="shared" si="5"/>
        <v>-17.546159729050583</v>
      </c>
      <c r="L122" s="50">
        <f>VLOOKUP($A122,'Data shares'!$C:$FB,118)</f>
        <v>0.75</v>
      </c>
      <c r="M122" s="50">
        <f>VLOOKUP($A122,'Data shares'!$C:$FB,119)</f>
        <v>0.74</v>
      </c>
      <c r="N122" s="50">
        <f>VLOOKUP($A122,'Data shares'!$C:$FB,121)*100</f>
        <v>1.35</v>
      </c>
      <c r="O122" s="50">
        <f>VLOOKUP($A122,'Data shares'!$C:$FB,124)</f>
        <v>0.32</v>
      </c>
      <c r="P122" s="50">
        <f>VLOOKUP($A122,'Data shares'!$C:$FB,125)</f>
        <v>0.25</v>
      </c>
      <c r="Q122" s="50">
        <f>VLOOKUP($A122,'Data shares'!$C:$FB,127)*100</f>
        <v>28.000000000000004</v>
      </c>
    </row>
    <row r="123" spans="1:17" x14ac:dyDescent="0.25">
      <c r="A123" s="97" t="str">
        <f>'Data Vlaue (Cr)'!C118</f>
        <v>LICI</v>
      </c>
      <c r="B123" s="140">
        <f>VLOOKUP($A123,'Data shares'!$C:$FB,7)</f>
        <v>844.55</v>
      </c>
      <c r="C123" s="140">
        <f>VLOOKUP($A123,'Data shares'!$C:$FB,3)</f>
        <v>847.1</v>
      </c>
      <c r="D123" s="140">
        <f>VLOOKUP($A123,'Data shares'!$C:$FB,4)</f>
        <v>856.65</v>
      </c>
      <c r="E123" s="50">
        <f t="shared" si="3"/>
        <v>-1.1148076810832843</v>
      </c>
      <c r="F123" s="49">
        <f>VLOOKUP($A123,'Data shares'!$C:$FB,98)</f>
        <v>25594100</v>
      </c>
      <c r="G123" s="49">
        <f>VLOOKUP($A123,'Data shares'!$C:$FB,99)</f>
        <v>25495400</v>
      </c>
      <c r="H123" s="50">
        <f t="shared" si="4"/>
        <v>0.38712865850310252</v>
      </c>
      <c r="I123" s="49">
        <f>VLOOKUP($A123,'Data shares'!$C:$FB,66)</f>
        <v>8952300</v>
      </c>
      <c r="J123" s="49">
        <f>VLOOKUP($A123,'Data shares'!$C:$FB,67)</f>
        <v>11610200</v>
      </c>
      <c r="K123" s="50">
        <f t="shared" si="5"/>
        <v>-29.689576980217375</v>
      </c>
      <c r="L123" s="50">
        <f>VLOOKUP($A123,'Data shares'!$C:$FB,118)</f>
        <v>0.48</v>
      </c>
      <c r="M123" s="50">
        <f>VLOOKUP($A123,'Data shares'!$C:$FB,119)</f>
        <v>0.51</v>
      </c>
      <c r="N123" s="50">
        <f>VLOOKUP($A123,'Data shares'!$C:$FB,121)*100</f>
        <v>-5.88</v>
      </c>
      <c r="O123" s="50">
        <f>VLOOKUP($A123,'Data shares'!$C:$FB,124)</f>
        <v>0.47</v>
      </c>
      <c r="P123" s="50">
        <f>VLOOKUP($A123,'Data shares'!$C:$FB,125)</f>
        <v>0.33</v>
      </c>
      <c r="Q123" s="50">
        <f>VLOOKUP($A123,'Data shares'!$C:$FB,127)*100</f>
        <v>42.42</v>
      </c>
    </row>
    <row r="124" spans="1:17" x14ac:dyDescent="0.25">
      <c r="A124" s="97" t="str">
        <f>'Data Vlaue (Cr)'!C119</f>
        <v>LODHA</v>
      </c>
      <c r="B124" s="140">
        <f>VLOOKUP($A124,'Data shares'!$C:$FB,7)</f>
        <v>1063.8</v>
      </c>
      <c r="C124" s="140">
        <f>VLOOKUP($A124,'Data shares'!$C:$FB,3)</f>
        <v>1064.7</v>
      </c>
      <c r="D124" s="140">
        <f>VLOOKUP($A124,'Data shares'!$C:$FB,4)</f>
        <v>1076</v>
      </c>
      <c r="E124" s="50">
        <f t="shared" si="3"/>
        <v>-1.0501858736059437</v>
      </c>
      <c r="F124" s="49">
        <f>VLOOKUP($A124,'Data shares'!$C:$FB,98)</f>
        <v>21223800</v>
      </c>
      <c r="G124" s="49">
        <f>VLOOKUP($A124,'Data shares'!$C:$FB,99)</f>
        <v>19919700</v>
      </c>
      <c r="H124" s="50">
        <f t="shared" si="4"/>
        <v>6.5467853431527585</v>
      </c>
      <c r="I124" s="49">
        <f>VLOOKUP($A124,'Data shares'!$C:$FB,66)</f>
        <v>11263050</v>
      </c>
      <c r="J124" s="49">
        <f>VLOOKUP($A124,'Data shares'!$C:$FB,67)</f>
        <v>4714200</v>
      </c>
      <c r="K124" s="50">
        <f t="shared" si="5"/>
        <v>58.144552319309604</v>
      </c>
      <c r="L124" s="50">
        <f>VLOOKUP($A124,'Data shares'!$C:$FB,118)</f>
        <v>0.4</v>
      </c>
      <c r="M124" s="50">
        <f>VLOOKUP($A124,'Data shares'!$C:$FB,119)</f>
        <v>0.44</v>
      </c>
      <c r="N124" s="50">
        <f>VLOOKUP($A124,'Data shares'!$C:$FB,121)*100</f>
        <v>-9.09</v>
      </c>
      <c r="O124" s="50">
        <f>VLOOKUP($A124,'Data shares'!$C:$FB,124)</f>
        <v>0.33</v>
      </c>
      <c r="P124" s="50">
        <f>VLOOKUP($A124,'Data shares'!$C:$FB,125)</f>
        <v>0.34</v>
      </c>
      <c r="Q124" s="50">
        <f>VLOOKUP($A124,'Data shares'!$C:$FB,127)*100</f>
        <v>-2.94</v>
      </c>
    </row>
    <row r="125" spans="1:17" x14ac:dyDescent="0.25">
      <c r="A125" s="97" t="str">
        <f>'Data Vlaue (Cr)'!C120</f>
        <v>LT</v>
      </c>
      <c r="B125" s="140">
        <f>VLOOKUP($A125,'Data shares'!$C:$FB,7)</f>
        <v>4062.4</v>
      </c>
      <c r="C125" s="140">
        <f>VLOOKUP($A125,'Data shares'!$C:$FB,3)</f>
        <v>4068.7</v>
      </c>
      <c r="D125" s="140">
        <f>VLOOKUP($A125,'Data shares'!$C:$FB,4)</f>
        <v>4068.8</v>
      </c>
      <c r="E125" s="50">
        <f t="shared" si="3"/>
        <v>-2.4577270939924252E-3</v>
      </c>
      <c r="F125" s="49">
        <f>VLOOKUP($A125,'Data shares'!$C:$FB,98)</f>
        <v>22598275</v>
      </c>
      <c r="G125" s="49">
        <f>VLOOKUP($A125,'Data shares'!$C:$FB,99)</f>
        <v>22812825</v>
      </c>
      <c r="H125" s="50">
        <f t="shared" si="4"/>
        <v>-0.94047975206928558</v>
      </c>
      <c r="I125" s="49">
        <f>VLOOKUP($A125,'Data shares'!$C:$FB,66)</f>
        <v>6798400</v>
      </c>
      <c r="J125" s="49">
        <f>VLOOKUP($A125,'Data shares'!$C:$FB,67)</f>
        <v>7261100</v>
      </c>
      <c r="K125" s="50">
        <f t="shared" si="5"/>
        <v>-6.8060131795716643</v>
      </c>
      <c r="L125" s="50">
        <f>VLOOKUP($A125,'Data shares'!$C:$FB,118)</f>
        <v>0.56999999999999995</v>
      </c>
      <c r="M125" s="50">
        <f>VLOOKUP($A125,'Data shares'!$C:$FB,119)</f>
        <v>0.56999999999999995</v>
      </c>
      <c r="N125" s="50">
        <f>VLOOKUP($A125,'Data shares'!$C:$FB,121)*100</f>
        <v>0</v>
      </c>
      <c r="O125" s="50">
        <f>VLOOKUP($A125,'Data shares'!$C:$FB,124)</f>
        <v>0.68</v>
      </c>
      <c r="P125" s="50">
        <f>VLOOKUP($A125,'Data shares'!$C:$FB,125)</f>
        <v>0.62</v>
      </c>
      <c r="Q125" s="50">
        <f>VLOOKUP($A125,'Data shares'!$C:$FB,127)*100</f>
        <v>9.68</v>
      </c>
    </row>
    <row r="126" spans="1:17" x14ac:dyDescent="0.25">
      <c r="A126" s="97" t="str">
        <f>'Data Vlaue (Cr)'!C121</f>
        <v>LTF</v>
      </c>
      <c r="B126" s="140">
        <f>VLOOKUP($A126,'Data shares'!$C:$FB,7)</f>
        <v>301.89999999999998</v>
      </c>
      <c r="C126" s="140">
        <f>VLOOKUP($A126,'Data shares'!$C:$FB,3)</f>
        <v>303.05</v>
      </c>
      <c r="D126" s="140">
        <f>VLOOKUP($A126,'Data shares'!$C:$FB,4)</f>
        <v>301.55</v>
      </c>
      <c r="E126" s="50">
        <f t="shared" si="3"/>
        <v>0.49742994528270601</v>
      </c>
      <c r="F126" s="49">
        <f>VLOOKUP($A126,'Data shares'!$C:$FB,98)</f>
        <v>102118206</v>
      </c>
      <c r="G126" s="49">
        <f>VLOOKUP($A126,'Data shares'!$C:$FB,99)</f>
        <v>100274200</v>
      </c>
      <c r="H126" s="50">
        <f t="shared" si="4"/>
        <v>1.8389635619132341</v>
      </c>
      <c r="I126" s="49">
        <f>VLOOKUP($A126,'Data shares'!$C:$FB,66)</f>
        <v>65127352</v>
      </c>
      <c r="J126" s="49">
        <f>VLOOKUP($A126,'Data shares'!$C:$FB,67)</f>
        <v>52138470</v>
      </c>
      <c r="K126" s="50">
        <f t="shared" si="5"/>
        <v>19.943820224719101</v>
      </c>
      <c r="L126" s="50">
        <f>VLOOKUP($A126,'Data shares'!$C:$FB,118)</f>
        <v>0.64</v>
      </c>
      <c r="M126" s="50">
        <f>VLOOKUP($A126,'Data shares'!$C:$FB,119)</f>
        <v>0.64</v>
      </c>
      <c r="N126" s="50">
        <f>VLOOKUP($A126,'Data shares'!$C:$FB,121)*100</f>
        <v>0</v>
      </c>
      <c r="O126" s="50">
        <f>VLOOKUP($A126,'Data shares'!$C:$FB,124)</f>
        <v>0.47</v>
      </c>
      <c r="P126" s="50">
        <f>VLOOKUP($A126,'Data shares'!$C:$FB,125)</f>
        <v>0.32</v>
      </c>
      <c r="Q126" s="50">
        <f>VLOOKUP($A126,'Data shares'!$C:$FB,127)*100</f>
        <v>46.87</v>
      </c>
    </row>
    <row r="127" spans="1:17" x14ac:dyDescent="0.25">
      <c r="A127" s="97" t="str">
        <f>'Data Vlaue (Cr)'!C122</f>
        <v>LTIM</v>
      </c>
      <c r="B127" s="140">
        <f>VLOOKUP($A127,'Data shares'!$C:$FB,7)</f>
        <v>6252.5</v>
      </c>
      <c r="C127" s="140">
        <f>VLOOKUP($A127,'Data shares'!$C:$FB,3)</f>
        <v>6270.5</v>
      </c>
      <c r="D127" s="140">
        <f>VLOOKUP($A127,'Data shares'!$C:$FB,4)</f>
        <v>6228</v>
      </c>
      <c r="E127" s="50">
        <f t="shared" si="3"/>
        <v>0.68240205523442521</v>
      </c>
      <c r="F127" s="49">
        <f>VLOOKUP($A127,'Data shares'!$C:$FB,98)</f>
        <v>3959850</v>
      </c>
      <c r="G127" s="49">
        <f>VLOOKUP($A127,'Data shares'!$C:$FB,99)</f>
        <v>3853800</v>
      </c>
      <c r="H127" s="50">
        <f t="shared" si="4"/>
        <v>2.7518293632259065</v>
      </c>
      <c r="I127" s="49">
        <f>VLOOKUP($A127,'Data shares'!$C:$FB,66)</f>
        <v>2610600</v>
      </c>
      <c r="J127" s="49">
        <f>VLOOKUP($A127,'Data shares'!$C:$FB,67)</f>
        <v>1625850</v>
      </c>
      <c r="K127" s="50">
        <f t="shared" si="5"/>
        <v>37.721213514134682</v>
      </c>
      <c r="L127" s="50">
        <f>VLOOKUP($A127,'Data shares'!$C:$FB,118)</f>
        <v>0.79</v>
      </c>
      <c r="M127" s="50">
        <f>VLOOKUP($A127,'Data shares'!$C:$FB,119)</f>
        <v>0.81</v>
      </c>
      <c r="N127" s="50">
        <f>VLOOKUP($A127,'Data shares'!$C:$FB,121)*100</f>
        <v>-2.4699999999999998</v>
      </c>
      <c r="O127" s="50">
        <f>VLOOKUP($A127,'Data shares'!$C:$FB,124)</f>
        <v>0.31</v>
      </c>
      <c r="P127" s="50">
        <f>VLOOKUP($A127,'Data shares'!$C:$FB,125)</f>
        <v>0.73</v>
      </c>
      <c r="Q127" s="50">
        <f>VLOOKUP($A127,'Data shares'!$C:$FB,127)*100</f>
        <v>-57.53</v>
      </c>
    </row>
    <row r="128" spans="1:17" x14ac:dyDescent="0.25">
      <c r="A128" s="97" t="str">
        <f>'Data Vlaue (Cr)'!C123</f>
        <v>LUPIN</v>
      </c>
      <c r="B128" s="140">
        <f>VLOOKUP($A128,'Data shares'!$C:$FB,7)</f>
        <v>2113.1</v>
      </c>
      <c r="C128" s="140">
        <f>VLOOKUP($A128,'Data shares'!$C:$FB,3)</f>
        <v>2114</v>
      </c>
      <c r="D128" s="140">
        <f>VLOOKUP($A128,'Data shares'!$C:$FB,4)</f>
        <v>2092.3000000000002</v>
      </c>
      <c r="E128" s="50">
        <f t="shared" si="3"/>
        <v>1.0371361659417777</v>
      </c>
      <c r="F128" s="49">
        <f>VLOOKUP($A128,'Data shares'!$C:$FB,98)</f>
        <v>12523475</v>
      </c>
      <c r="G128" s="49">
        <f>VLOOKUP($A128,'Data shares'!$C:$FB,99)</f>
        <v>12620800</v>
      </c>
      <c r="H128" s="50">
        <f t="shared" si="4"/>
        <v>-0.77114762931034475</v>
      </c>
      <c r="I128" s="49">
        <f>VLOOKUP($A128,'Data shares'!$C:$FB,66)</f>
        <v>9213575</v>
      </c>
      <c r="J128" s="49">
        <f>VLOOKUP($A128,'Data shares'!$C:$FB,67)</f>
        <v>3461625</v>
      </c>
      <c r="K128" s="50">
        <f t="shared" si="5"/>
        <v>62.429078832049441</v>
      </c>
      <c r="L128" s="50">
        <f>VLOOKUP($A128,'Data shares'!$C:$FB,118)</f>
        <v>0.76</v>
      </c>
      <c r="M128" s="50">
        <f>VLOOKUP($A128,'Data shares'!$C:$FB,119)</f>
        <v>0.75</v>
      </c>
      <c r="N128" s="50">
        <f>VLOOKUP($A128,'Data shares'!$C:$FB,121)*100</f>
        <v>1.3299999999999998</v>
      </c>
      <c r="O128" s="50">
        <f>VLOOKUP($A128,'Data shares'!$C:$FB,124)</f>
        <v>0.3</v>
      </c>
      <c r="P128" s="50">
        <f>VLOOKUP($A128,'Data shares'!$C:$FB,125)</f>
        <v>0.37</v>
      </c>
      <c r="Q128" s="50">
        <f>VLOOKUP($A128,'Data shares'!$C:$FB,127)*100</f>
        <v>-18.920000000000002</v>
      </c>
    </row>
    <row r="129" spans="1:17" x14ac:dyDescent="0.25">
      <c r="A129" s="97" t="str">
        <f>'Data Vlaue (Cr)'!C124</f>
        <v>M&amp;M</v>
      </c>
      <c r="B129" s="140">
        <f>VLOOKUP($A129,'Data shares'!$C:$FB,7)</f>
        <v>3612.8</v>
      </c>
      <c r="C129" s="140">
        <f>VLOOKUP($A129,'Data shares'!$C:$FB,3)</f>
        <v>3617.9</v>
      </c>
      <c r="D129" s="140">
        <f>VLOOKUP($A129,'Data shares'!$C:$FB,4)</f>
        <v>3629.8</v>
      </c>
      <c r="E129" s="50">
        <f t="shared" si="3"/>
        <v>-0.32784175436663426</v>
      </c>
      <c r="F129" s="49">
        <f>VLOOKUP($A129,'Data shares'!$C:$FB,98)</f>
        <v>28718400</v>
      </c>
      <c r="G129" s="49">
        <f>VLOOKUP($A129,'Data shares'!$C:$FB,99)</f>
        <v>28991200</v>
      </c>
      <c r="H129" s="50">
        <f t="shared" si="4"/>
        <v>-0.94097519247219841</v>
      </c>
      <c r="I129" s="49">
        <f>VLOOKUP($A129,'Data shares'!$C:$FB,66)</f>
        <v>8533200</v>
      </c>
      <c r="J129" s="49">
        <f>VLOOKUP($A129,'Data shares'!$C:$FB,67)</f>
        <v>10707400</v>
      </c>
      <c r="K129" s="50">
        <f t="shared" si="5"/>
        <v>-25.479304364130691</v>
      </c>
      <c r="L129" s="50">
        <f>VLOOKUP($A129,'Data shares'!$C:$FB,118)</f>
        <v>0.54</v>
      </c>
      <c r="M129" s="50">
        <f>VLOOKUP($A129,'Data shares'!$C:$FB,119)</f>
        <v>0.55000000000000004</v>
      </c>
      <c r="N129" s="50">
        <f>VLOOKUP($A129,'Data shares'!$C:$FB,121)*100</f>
        <v>-1.82</v>
      </c>
      <c r="O129" s="50">
        <f>VLOOKUP($A129,'Data shares'!$C:$FB,124)</f>
        <v>0.51</v>
      </c>
      <c r="P129" s="50">
        <f>VLOOKUP($A129,'Data shares'!$C:$FB,125)</f>
        <v>0.47</v>
      </c>
      <c r="Q129" s="50">
        <f>VLOOKUP($A129,'Data shares'!$C:$FB,127)*100</f>
        <v>8.51</v>
      </c>
    </row>
    <row r="130" spans="1:17" x14ac:dyDescent="0.25">
      <c r="A130" s="97" t="str">
        <f>'Data Vlaue (Cr)'!C125</f>
        <v>MANAPPURAM</v>
      </c>
      <c r="B130" s="140">
        <f>VLOOKUP($A130,'Data shares'!$C:$FB,7)</f>
        <v>286.25</v>
      </c>
      <c r="C130" s="140">
        <f>VLOOKUP($A130,'Data shares'!$C:$FB,3)</f>
        <v>286.5</v>
      </c>
      <c r="D130" s="140">
        <f>VLOOKUP($A130,'Data shares'!$C:$FB,4)</f>
        <v>283.85000000000002</v>
      </c>
      <c r="E130" s="50">
        <f t="shared" si="3"/>
        <v>0.93359168574950746</v>
      </c>
      <c r="F130" s="49">
        <f>VLOOKUP($A130,'Data shares'!$C:$FB,98)</f>
        <v>69012000</v>
      </c>
      <c r="G130" s="49">
        <f>VLOOKUP($A130,'Data shares'!$C:$FB,99)</f>
        <v>69210000</v>
      </c>
      <c r="H130" s="50">
        <f t="shared" si="4"/>
        <v>-0.28608582574772429</v>
      </c>
      <c r="I130" s="49">
        <f>VLOOKUP($A130,'Data shares'!$C:$FB,66)</f>
        <v>26625000</v>
      </c>
      <c r="J130" s="49">
        <f>VLOOKUP($A130,'Data shares'!$C:$FB,67)</f>
        <v>16566000</v>
      </c>
      <c r="K130" s="50">
        <f t="shared" si="5"/>
        <v>37.780281690140846</v>
      </c>
      <c r="L130" s="50">
        <f>VLOOKUP($A130,'Data shares'!$C:$FB,118)</f>
        <v>0.66</v>
      </c>
      <c r="M130" s="50">
        <f>VLOOKUP($A130,'Data shares'!$C:$FB,119)</f>
        <v>0.68</v>
      </c>
      <c r="N130" s="50">
        <f>VLOOKUP($A130,'Data shares'!$C:$FB,121)*100</f>
        <v>-2.94</v>
      </c>
      <c r="O130" s="50">
        <f>VLOOKUP($A130,'Data shares'!$C:$FB,124)</f>
        <v>0.4</v>
      </c>
      <c r="P130" s="50">
        <f>VLOOKUP($A130,'Data shares'!$C:$FB,125)</f>
        <v>0.49</v>
      </c>
      <c r="Q130" s="50">
        <f>VLOOKUP($A130,'Data shares'!$C:$FB,127)*100</f>
        <v>-18.37</v>
      </c>
    </row>
    <row r="131" spans="1:17" x14ac:dyDescent="0.25">
      <c r="A131" s="97" t="str">
        <f>'Data Vlaue (Cr)'!C126</f>
        <v>MANKIND</v>
      </c>
      <c r="B131" s="140">
        <f>VLOOKUP($A131,'Data shares'!$C:$FB,7)</f>
        <v>2111.1999999999998</v>
      </c>
      <c r="C131" s="140">
        <f>VLOOKUP($A131,'Data shares'!$C:$FB,3)</f>
        <v>2117.6</v>
      </c>
      <c r="D131" s="140">
        <f>VLOOKUP($A131,'Data shares'!$C:$FB,4)</f>
        <v>2114.1</v>
      </c>
      <c r="E131" s="50">
        <f t="shared" si="3"/>
        <v>0.16555508254103402</v>
      </c>
      <c r="F131" s="49">
        <f>VLOOKUP($A131,'Data shares'!$C:$FB,98)</f>
        <v>4409100</v>
      </c>
      <c r="G131" s="49">
        <f>VLOOKUP($A131,'Data shares'!$C:$FB,99)</f>
        <v>4324500</v>
      </c>
      <c r="H131" s="50">
        <f t="shared" si="4"/>
        <v>1.9562955254942769</v>
      </c>
      <c r="I131" s="49">
        <f>VLOOKUP($A131,'Data shares'!$C:$FB,66)</f>
        <v>1764450</v>
      </c>
      <c r="J131" s="49">
        <f>VLOOKUP($A131,'Data shares'!$C:$FB,67)</f>
        <v>1884600</v>
      </c>
      <c r="K131" s="50">
        <f t="shared" si="5"/>
        <v>-6.8094873756694723</v>
      </c>
      <c r="L131" s="50">
        <f>VLOOKUP($A131,'Data shares'!$C:$FB,118)</f>
        <v>0.48</v>
      </c>
      <c r="M131" s="50">
        <f>VLOOKUP($A131,'Data shares'!$C:$FB,119)</f>
        <v>0.49</v>
      </c>
      <c r="N131" s="50">
        <f>VLOOKUP($A131,'Data shares'!$C:$FB,121)*100</f>
        <v>-2.04</v>
      </c>
      <c r="O131" s="50">
        <f>VLOOKUP($A131,'Data shares'!$C:$FB,124)</f>
        <v>0.48</v>
      </c>
      <c r="P131" s="50">
        <f>VLOOKUP($A131,'Data shares'!$C:$FB,125)</f>
        <v>0.48</v>
      </c>
      <c r="Q131" s="50">
        <f>VLOOKUP($A131,'Data shares'!$C:$FB,127)*100</f>
        <v>0</v>
      </c>
    </row>
    <row r="132" spans="1:17" x14ac:dyDescent="0.25">
      <c r="A132" s="97" t="str">
        <f>'Data Vlaue (Cr)'!C127</f>
        <v>MARICO</v>
      </c>
      <c r="B132" s="140">
        <f>VLOOKUP($A132,'Data shares'!$C:$FB,7)</f>
        <v>738.15</v>
      </c>
      <c r="C132" s="140">
        <f>VLOOKUP($A132,'Data shares'!$C:$FB,3)</f>
        <v>739</v>
      </c>
      <c r="D132" s="140">
        <f>VLOOKUP($A132,'Data shares'!$C:$FB,4)</f>
        <v>739.8</v>
      </c>
      <c r="E132" s="50">
        <f t="shared" si="3"/>
        <v>-0.10813733441470054</v>
      </c>
      <c r="F132" s="49">
        <f>VLOOKUP($A132,'Data shares'!$C:$FB,98)</f>
        <v>44415600</v>
      </c>
      <c r="G132" s="49">
        <f>VLOOKUP($A132,'Data shares'!$C:$FB,99)</f>
        <v>44305200</v>
      </c>
      <c r="H132" s="50">
        <f t="shared" si="4"/>
        <v>0.24918068308008989</v>
      </c>
      <c r="I132" s="49">
        <f>VLOOKUP($A132,'Data shares'!$C:$FB,66)</f>
        <v>7419600</v>
      </c>
      <c r="J132" s="49">
        <f>VLOOKUP($A132,'Data shares'!$C:$FB,67)</f>
        <v>29834400</v>
      </c>
      <c r="K132" s="50">
        <f t="shared" si="5"/>
        <v>-302.10253922044313</v>
      </c>
      <c r="L132" s="50">
        <f>VLOOKUP($A132,'Data shares'!$C:$FB,118)</f>
        <v>0.61</v>
      </c>
      <c r="M132" s="50">
        <f>VLOOKUP($A132,'Data shares'!$C:$FB,119)</f>
        <v>0.6</v>
      </c>
      <c r="N132" s="50">
        <f>VLOOKUP($A132,'Data shares'!$C:$FB,121)*100</f>
        <v>1.67</v>
      </c>
      <c r="O132" s="50">
        <f>VLOOKUP($A132,'Data shares'!$C:$FB,124)</f>
        <v>0.31</v>
      </c>
      <c r="P132" s="50">
        <f>VLOOKUP($A132,'Data shares'!$C:$FB,125)</f>
        <v>0.28000000000000003</v>
      </c>
      <c r="Q132" s="50">
        <f>VLOOKUP($A132,'Data shares'!$C:$FB,127)*100</f>
        <v>10.71</v>
      </c>
    </row>
    <row r="133" spans="1:17" x14ac:dyDescent="0.25">
      <c r="A133" s="97" t="str">
        <f>'Data Vlaue (Cr)'!C128</f>
        <v>MARUTI</v>
      </c>
      <c r="B133" s="140">
        <f>VLOOKUP($A133,'Data shares'!$C:$FB,7)</f>
        <v>16398</v>
      </c>
      <c r="C133" s="140">
        <f>VLOOKUP($A133,'Data shares'!$C:$FB,3)</f>
        <v>16409</v>
      </c>
      <c r="D133" s="140">
        <f>VLOOKUP($A133,'Data shares'!$C:$FB,4)</f>
        <v>16396</v>
      </c>
      <c r="E133" s="50">
        <f t="shared" si="3"/>
        <v>7.928763112954379E-2</v>
      </c>
      <c r="F133" s="49">
        <f>VLOOKUP($A133,'Data shares'!$C:$FB,98)</f>
        <v>6002100</v>
      </c>
      <c r="G133" s="49">
        <f>VLOOKUP($A133,'Data shares'!$C:$FB,99)</f>
        <v>5984700</v>
      </c>
      <c r="H133" s="50">
        <f t="shared" si="4"/>
        <v>0.29074139054589204</v>
      </c>
      <c r="I133" s="49">
        <f>VLOOKUP($A133,'Data shares'!$C:$FB,66)</f>
        <v>3743800</v>
      </c>
      <c r="J133" s="49">
        <f>VLOOKUP($A133,'Data shares'!$C:$FB,67)</f>
        <v>2972350</v>
      </c>
      <c r="K133" s="50">
        <f t="shared" si="5"/>
        <v>20.606068700251083</v>
      </c>
      <c r="L133" s="50">
        <f>VLOOKUP($A133,'Data shares'!$C:$FB,118)</f>
        <v>0.95</v>
      </c>
      <c r="M133" s="50">
        <f>VLOOKUP($A133,'Data shares'!$C:$FB,119)</f>
        <v>0.98</v>
      </c>
      <c r="N133" s="50">
        <f>VLOOKUP($A133,'Data shares'!$C:$FB,121)*100</f>
        <v>-3.06</v>
      </c>
      <c r="O133" s="50">
        <f>VLOOKUP($A133,'Data shares'!$C:$FB,124)</f>
        <v>0.77</v>
      </c>
      <c r="P133" s="50">
        <f>VLOOKUP($A133,'Data shares'!$C:$FB,125)</f>
        <v>1.18</v>
      </c>
      <c r="Q133" s="50">
        <f>VLOOKUP($A133,'Data shares'!$C:$FB,127)*100</f>
        <v>-34.75</v>
      </c>
    </row>
    <row r="134" spans="1:17" x14ac:dyDescent="0.25">
      <c r="A134" s="97" t="str">
        <f>'Data Vlaue (Cr)'!C129</f>
        <v>MAXHEALTH</v>
      </c>
      <c r="B134" s="140">
        <f>VLOOKUP($A134,'Data shares'!$C:$FB,7)</f>
        <v>1031.0999999999999</v>
      </c>
      <c r="C134" s="140">
        <f>VLOOKUP($A134,'Data shares'!$C:$FB,3)</f>
        <v>1033.8</v>
      </c>
      <c r="D134" s="140">
        <f>VLOOKUP($A134,'Data shares'!$C:$FB,4)</f>
        <v>1074.2</v>
      </c>
      <c r="E134" s="50">
        <f t="shared" si="3"/>
        <v>-3.7609383727425145</v>
      </c>
      <c r="F134" s="49">
        <f>VLOOKUP($A134,'Data shares'!$C:$FB,98)</f>
        <v>30875250</v>
      </c>
      <c r="G134" s="49">
        <f>VLOOKUP($A134,'Data shares'!$C:$FB,99)</f>
        <v>27195000</v>
      </c>
      <c r="H134" s="50">
        <f t="shared" si="4"/>
        <v>13.532818532818533</v>
      </c>
      <c r="I134" s="49">
        <f>VLOOKUP($A134,'Data shares'!$C:$FB,66)</f>
        <v>37061325</v>
      </c>
      <c r="J134" s="49">
        <f>VLOOKUP($A134,'Data shares'!$C:$FB,67)</f>
        <v>5500950</v>
      </c>
      <c r="K134" s="50">
        <f t="shared" si="5"/>
        <v>85.157168557789021</v>
      </c>
      <c r="L134" s="50">
        <f>VLOOKUP($A134,'Data shares'!$C:$FB,118)</f>
        <v>0.53</v>
      </c>
      <c r="M134" s="50">
        <f>VLOOKUP($A134,'Data shares'!$C:$FB,119)</f>
        <v>0.51</v>
      </c>
      <c r="N134" s="50">
        <f>VLOOKUP($A134,'Data shares'!$C:$FB,121)*100</f>
        <v>3.92</v>
      </c>
      <c r="O134" s="50">
        <f>VLOOKUP($A134,'Data shares'!$C:$FB,124)</f>
        <v>1.31</v>
      </c>
      <c r="P134" s="50">
        <f>VLOOKUP($A134,'Data shares'!$C:$FB,125)</f>
        <v>0.24</v>
      </c>
      <c r="Q134" s="50">
        <f>VLOOKUP($A134,'Data shares'!$C:$FB,127)*100</f>
        <v>445.83000000000004</v>
      </c>
    </row>
    <row r="135" spans="1:17" x14ac:dyDescent="0.25">
      <c r="A135" s="97" t="str">
        <f>'Data Vlaue (Cr)'!C130</f>
        <v>MAZDOCK</v>
      </c>
      <c r="B135" s="140">
        <f>VLOOKUP($A135,'Data shares'!$C:$FB,7)</f>
        <v>2356.6</v>
      </c>
      <c r="C135" s="140">
        <f>VLOOKUP($A135,'Data shares'!$C:$FB,3)</f>
        <v>2362.6</v>
      </c>
      <c r="D135" s="140">
        <f>VLOOKUP($A135,'Data shares'!$C:$FB,4)</f>
        <v>2416.6</v>
      </c>
      <c r="E135" s="50">
        <f t="shared" si="3"/>
        <v>-2.2345444012248614</v>
      </c>
      <c r="F135" s="49">
        <f>VLOOKUP($A135,'Data shares'!$C:$FB,98)</f>
        <v>10580050</v>
      </c>
      <c r="G135" s="49">
        <f>VLOOKUP($A135,'Data shares'!$C:$FB,99)</f>
        <v>10501500</v>
      </c>
      <c r="H135" s="50">
        <f t="shared" si="4"/>
        <v>0.74798838261200784</v>
      </c>
      <c r="I135" s="49">
        <f>VLOOKUP($A135,'Data shares'!$C:$FB,66)</f>
        <v>6462575</v>
      </c>
      <c r="J135" s="49">
        <f>VLOOKUP($A135,'Data shares'!$C:$FB,67)</f>
        <v>4281025</v>
      </c>
      <c r="K135" s="50">
        <f t="shared" si="5"/>
        <v>33.75666820114273</v>
      </c>
      <c r="L135" s="50">
        <f>VLOOKUP($A135,'Data shares'!$C:$FB,118)</f>
        <v>0.43</v>
      </c>
      <c r="M135" s="50">
        <f>VLOOKUP($A135,'Data shares'!$C:$FB,119)</f>
        <v>0.45</v>
      </c>
      <c r="N135" s="50">
        <f>VLOOKUP($A135,'Data shares'!$C:$FB,121)*100</f>
        <v>-4.4400000000000004</v>
      </c>
      <c r="O135" s="50">
        <f>VLOOKUP($A135,'Data shares'!$C:$FB,124)</f>
        <v>0.6</v>
      </c>
      <c r="P135" s="50">
        <f>VLOOKUP($A135,'Data shares'!$C:$FB,125)</f>
        <v>0.4</v>
      </c>
      <c r="Q135" s="50">
        <f>VLOOKUP($A135,'Data shares'!$C:$FB,127)*100</f>
        <v>50</v>
      </c>
    </row>
    <row r="136" spans="1:17" x14ac:dyDescent="0.25">
      <c r="A136" s="97" t="str">
        <f>'Data Vlaue (Cr)'!C131</f>
        <v>MCX</v>
      </c>
      <c r="B136" s="140">
        <f>VLOOKUP($A136,'Data shares'!$C:$FB,7)</f>
        <v>10025</v>
      </c>
      <c r="C136" s="140">
        <f>VLOOKUP($A136,'Data shares'!$C:$FB,3)</f>
        <v>10066</v>
      </c>
      <c r="D136" s="140">
        <f>VLOOKUP($A136,'Data shares'!$C:$FB,4)</f>
        <v>10195</v>
      </c>
      <c r="E136" s="50">
        <f t="shared" ref="E136:E172" si="6">(C136-D136)/D136*100</f>
        <v>-1.2653261402648357</v>
      </c>
      <c r="F136" s="49">
        <f>VLOOKUP($A136,'Data shares'!$C:$FB,98)</f>
        <v>8026500</v>
      </c>
      <c r="G136" s="49">
        <f>VLOOKUP($A136,'Data shares'!$C:$FB,99)</f>
        <v>7671750</v>
      </c>
      <c r="H136" s="50">
        <f t="shared" ref="H136:H172" si="7">(F136-G136)/G136*100</f>
        <v>4.6241079284387521</v>
      </c>
      <c r="I136" s="49">
        <f>VLOOKUP($A136,'Data shares'!$C:$FB,66)</f>
        <v>6345000</v>
      </c>
      <c r="J136" s="49">
        <f>VLOOKUP($A136,'Data shares'!$C:$FB,67)</f>
        <v>8445500</v>
      </c>
      <c r="K136" s="50">
        <f t="shared" ref="K136:K172" si="8">(I136-J136)/I136*100</f>
        <v>-33.104806934594166</v>
      </c>
      <c r="L136" s="50">
        <f>VLOOKUP($A136,'Data shares'!$C:$FB,118)</f>
        <v>0.64</v>
      </c>
      <c r="M136" s="50">
        <f>VLOOKUP($A136,'Data shares'!$C:$FB,119)</f>
        <v>0.67</v>
      </c>
      <c r="N136" s="50">
        <f>VLOOKUP($A136,'Data shares'!$C:$FB,121)*100</f>
        <v>-4.4799999999999995</v>
      </c>
      <c r="O136" s="50">
        <f>VLOOKUP($A136,'Data shares'!$C:$FB,124)</f>
        <v>0.65</v>
      </c>
      <c r="P136" s="50">
        <f>VLOOKUP($A136,'Data shares'!$C:$FB,125)</f>
        <v>0.76</v>
      </c>
      <c r="Q136" s="50">
        <f>VLOOKUP($A136,'Data shares'!$C:$FB,127)*100</f>
        <v>-14.469999999999999</v>
      </c>
    </row>
    <row r="137" spans="1:17" x14ac:dyDescent="0.25">
      <c r="A137" s="97" t="str">
        <f>'Data Vlaue (Cr)'!C132</f>
        <v>MFSL</v>
      </c>
      <c r="B137" s="140">
        <f>VLOOKUP($A137,'Data shares'!$C:$FB,7)</f>
        <v>1663.9</v>
      </c>
      <c r="C137" s="140">
        <f>VLOOKUP($A137,'Data shares'!$C:$FB,3)</f>
        <v>1668.5</v>
      </c>
      <c r="D137" s="140">
        <f>VLOOKUP($A137,'Data shares'!$C:$FB,4)</f>
        <v>1675.8</v>
      </c>
      <c r="E137" s="50">
        <f t="shared" si="6"/>
        <v>-0.4356128416278765</v>
      </c>
      <c r="F137" s="49">
        <f>VLOOKUP($A137,'Data shares'!$C:$FB,98)</f>
        <v>10808800</v>
      </c>
      <c r="G137" s="49">
        <f>VLOOKUP($A137,'Data shares'!$C:$FB,99)</f>
        <v>10749600</v>
      </c>
      <c r="H137" s="50">
        <f t="shared" si="7"/>
        <v>0.55071816625734904</v>
      </c>
      <c r="I137" s="49">
        <f>VLOOKUP($A137,'Data shares'!$C:$FB,66)</f>
        <v>3749600</v>
      </c>
      <c r="J137" s="49">
        <f>VLOOKUP($A137,'Data shares'!$C:$FB,67)</f>
        <v>4150800</v>
      </c>
      <c r="K137" s="50">
        <f t="shared" si="8"/>
        <v>-10.699807979517816</v>
      </c>
      <c r="L137" s="50">
        <f>VLOOKUP($A137,'Data shares'!$C:$FB,118)</f>
        <v>0.53</v>
      </c>
      <c r="M137" s="50">
        <f>VLOOKUP($A137,'Data shares'!$C:$FB,119)</f>
        <v>0.55000000000000004</v>
      </c>
      <c r="N137" s="50">
        <f>VLOOKUP($A137,'Data shares'!$C:$FB,121)*100</f>
        <v>-3.64</v>
      </c>
      <c r="O137" s="50">
        <f>VLOOKUP($A137,'Data shares'!$C:$FB,124)</f>
        <v>0.61</v>
      </c>
      <c r="P137" s="50">
        <f>VLOOKUP($A137,'Data shares'!$C:$FB,125)</f>
        <v>0.41</v>
      </c>
      <c r="Q137" s="50">
        <f>VLOOKUP($A137,'Data shares'!$C:$FB,127)*100</f>
        <v>48.78</v>
      </c>
    </row>
    <row r="138" spans="1:17" x14ac:dyDescent="0.25">
      <c r="A138" s="97" t="str">
        <f>'Data Vlaue (Cr)'!C133</f>
        <v>MIDCPNIFTY</v>
      </c>
      <c r="B138" s="140">
        <f>VLOOKUP($A138,'Data shares'!$C:$FB,7)</f>
        <v>13652.3</v>
      </c>
      <c r="C138" s="140">
        <f>VLOOKUP($A138,'Data shares'!$C:$FB,3)</f>
        <v>13686.05</v>
      </c>
      <c r="D138" s="140">
        <f>VLOOKUP($A138,'Data shares'!$C:$FB,4)</f>
        <v>13776.85</v>
      </c>
      <c r="E138" s="50">
        <f t="shared" si="6"/>
        <v>-0.65907663943500205</v>
      </c>
      <c r="F138" s="49">
        <f>VLOOKUP($A138,'Data shares'!$C:$FB,98)</f>
        <v>22432160</v>
      </c>
      <c r="G138" s="49">
        <f>VLOOKUP($A138,'Data shares'!$C:$FB,99)</f>
        <v>21434460</v>
      </c>
      <c r="H138" s="50">
        <f t="shared" si="7"/>
        <v>4.6546542343497341</v>
      </c>
      <c r="I138" s="49">
        <f>VLOOKUP($A138,'Data shares'!$C:$FB,66)</f>
        <v>43679300</v>
      </c>
      <c r="J138" s="49">
        <f>VLOOKUP($A138,'Data shares'!$C:$FB,67)</f>
        <v>38596600</v>
      </c>
      <c r="K138" s="50">
        <f t="shared" si="8"/>
        <v>11.636404429558166</v>
      </c>
      <c r="L138" s="50">
        <f>VLOOKUP($A138,'Data shares'!$C:$FB,118)</f>
        <v>0.86</v>
      </c>
      <c r="M138" s="50">
        <f>VLOOKUP($A138,'Data shares'!$C:$FB,119)</f>
        <v>0.91</v>
      </c>
      <c r="N138" s="50">
        <f>VLOOKUP($A138,'Data shares'!$C:$FB,121)*100</f>
        <v>-5.4899999999999993</v>
      </c>
      <c r="O138" s="50">
        <f>VLOOKUP($A138,'Data shares'!$C:$FB,124)</f>
        <v>0.75</v>
      </c>
      <c r="P138" s="50">
        <f>VLOOKUP($A138,'Data shares'!$C:$FB,125)</f>
        <v>0.86</v>
      </c>
      <c r="Q138" s="50">
        <f>VLOOKUP($A138,'Data shares'!$C:$FB,127)*100</f>
        <v>-12.790000000000001</v>
      </c>
    </row>
    <row r="139" spans="1:17" x14ac:dyDescent="0.25">
      <c r="A139" s="97" t="str">
        <f>'Data Vlaue (Cr)'!C134</f>
        <v>MOTHERSON</v>
      </c>
      <c r="B139" s="140">
        <f>VLOOKUP($A139,'Data shares'!$C:$FB,7)</f>
        <v>119.56</v>
      </c>
      <c r="C139" s="140">
        <f>VLOOKUP($A139,'Data shares'!$C:$FB,3)</f>
        <v>119.73</v>
      </c>
      <c r="D139" s="140">
        <f>VLOOKUP($A139,'Data shares'!$C:$FB,4)</f>
        <v>119.97</v>
      </c>
      <c r="E139" s="50">
        <f t="shared" si="6"/>
        <v>-0.20005001250312152</v>
      </c>
      <c r="F139" s="49">
        <f>VLOOKUP($A139,'Data shares'!$C:$FB,98)</f>
        <v>299191350</v>
      </c>
      <c r="G139" s="49">
        <f>VLOOKUP($A139,'Data shares'!$C:$FB,99)</f>
        <v>297850650</v>
      </c>
      <c r="H139" s="50">
        <f t="shared" si="7"/>
        <v>0.45012491998926307</v>
      </c>
      <c r="I139" s="49">
        <f>VLOOKUP($A139,'Data shares'!$C:$FB,66)</f>
        <v>71260050</v>
      </c>
      <c r="J139" s="49">
        <f>VLOOKUP($A139,'Data shares'!$C:$FB,67)</f>
        <v>46543200</v>
      </c>
      <c r="K139" s="50">
        <f t="shared" si="8"/>
        <v>34.685423319237074</v>
      </c>
      <c r="L139" s="50">
        <f>VLOOKUP($A139,'Data shares'!$C:$FB,118)</f>
        <v>0.79</v>
      </c>
      <c r="M139" s="50">
        <f>VLOOKUP($A139,'Data shares'!$C:$FB,119)</f>
        <v>0.8</v>
      </c>
      <c r="N139" s="50">
        <f>VLOOKUP($A139,'Data shares'!$C:$FB,121)*100</f>
        <v>-1.25</v>
      </c>
      <c r="O139" s="50">
        <f>VLOOKUP($A139,'Data shares'!$C:$FB,124)</f>
        <v>0.46</v>
      </c>
      <c r="P139" s="50">
        <f>VLOOKUP($A139,'Data shares'!$C:$FB,125)</f>
        <v>0.55000000000000004</v>
      </c>
      <c r="Q139" s="50">
        <f>VLOOKUP($A139,'Data shares'!$C:$FB,127)*100</f>
        <v>-16.36</v>
      </c>
    </row>
    <row r="140" spans="1:17" x14ac:dyDescent="0.25">
      <c r="A140" s="97" t="str">
        <f>'Data Vlaue (Cr)'!C135</f>
        <v>MPHASIS</v>
      </c>
      <c r="B140" s="140">
        <f>VLOOKUP($A140,'Data shares'!$C:$FB,7)</f>
        <v>2865.3</v>
      </c>
      <c r="C140" s="140">
        <f>VLOOKUP($A140,'Data shares'!$C:$FB,3)</f>
        <v>2868.4</v>
      </c>
      <c r="D140" s="140">
        <f>VLOOKUP($A140,'Data shares'!$C:$FB,4)</f>
        <v>2866.9</v>
      </c>
      <c r="E140" s="50">
        <f t="shared" si="6"/>
        <v>5.2321322683037429E-2</v>
      </c>
      <c r="F140" s="49">
        <f>VLOOKUP($A140,'Data shares'!$C:$FB,98)</f>
        <v>8825300</v>
      </c>
      <c r="G140" s="49">
        <f>VLOOKUP($A140,'Data shares'!$C:$FB,99)</f>
        <v>8731800</v>
      </c>
      <c r="H140" s="50">
        <f t="shared" si="7"/>
        <v>1.0707986898463089</v>
      </c>
      <c r="I140" s="49">
        <f>VLOOKUP($A140,'Data shares'!$C:$FB,66)</f>
        <v>2127125</v>
      </c>
      <c r="J140" s="49">
        <f>VLOOKUP($A140,'Data shares'!$C:$FB,67)</f>
        <v>2759900</v>
      </c>
      <c r="K140" s="50">
        <f t="shared" si="8"/>
        <v>-29.747899159663866</v>
      </c>
      <c r="L140" s="50">
        <f>VLOOKUP($A140,'Data shares'!$C:$FB,118)</f>
        <v>0.77</v>
      </c>
      <c r="M140" s="50">
        <f>VLOOKUP($A140,'Data shares'!$C:$FB,119)</f>
        <v>0.76</v>
      </c>
      <c r="N140" s="50">
        <f>VLOOKUP($A140,'Data shares'!$C:$FB,121)*100</f>
        <v>1.32</v>
      </c>
      <c r="O140" s="50">
        <f>VLOOKUP($A140,'Data shares'!$C:$FB,124)</f>
        <v>0.28000000000000003</v>
      </c>
      <c r="P140" s="50">
        <f>VLOOKUP($A140,'Data shares'!$C:$FB,125)</f>
        <v>0.76</v>
      </c>
      <c r="Q140" s="50">
        <f>VLOOKUP($A140,'Data shares'!$C:$FB,127)*100</f>
        <v>-63.160000000000004</v>
      </c>
    </row>
    <row r="141" spans="1:17" x14ac:dyDescent="0.25">
      <c r="A141" s="97" t="str">
        <f>'Data Vlaue (Cr)'!C136</f>
        <v>MUTHOOTFIN</v>
      </c>
      <c r="B141" s="140">
        <f>VLOOKUP($A141,'Data shares'!$C:$FB,7)</f>
        <v>3766.5</v>
      </c>
      <c r="C141" s="140">
        <f>VLOOKUP($A141,'Data shares'!$C:$FB,3)</f>
        <v>3769.2</v>
      </c>
      <c r="D141" s="140">
        <f>VLOOKUP($A141,'Data shares'!$C:$FB,4)</f>
        <v>3850.4</v>
      </c>
      <c r="E141" s="50">
        <f t="shared" si="6"/>
        <v>-2.1088718055267055</v>
      </c>
      <c r="F141" s="49">
        <f>VLOOKUP($A141,'Data shares'!$C:$FB,98)</f>
        <v>8446075</v>
      </c>
      <c r="G141" s="49">
        <f>VLOOKUP($A141,'Data shares'!$C:$FB,99)</f>
        <v>8115250</v>
      </c>
      <c r="H141" s="50">
        <f t="shared" si="7"/>
        <v>4.0765842087427995</v>
      </c>
      <c r="I141" s="49">
        <f>VLOOKUP($A141,'Data shares'!$C:$FB,66)</f>
        <v>11112750</v>
      </c>
      <c r="J141" s="49">
        <f>VLOOKUP($A141,'Data shares'!$C:$FB,67)</f>
        <v>5038825</v>
      </c>
      <c r="K141" s="50">
        <f t="shared" si="8"/>
        <v>54.65726305369958</v>
      </c>
      <c r="L141" s="50">
        <f>VLOOKUP($A141,'Data shares'!$C:$FB,118)</f>
        <v>0.52</v>
      </c>
      <c r="M141" s="50">
        <f>VLOOKUP($A141,'Data shares'!$C:$FB,119)</f>
        <v>0.55000000000000004</v>
      </c>
      <c r="N141" s="50">
        <f>VLOOKUP($A141,'Data shares'!$C:$FB,121)*100</f>
        <v>-5.45</v>
      </c>
      <c r="O141" s="50">
        <f>VLOOKUP($A141,'Data shares'!$C:$FB,124)</f>
        <v>0.41</v>
      </c>
      <c r="P141" s="50">
        <f>VLOOKUP($A141,'Data shares'!$C:$FB,125)</f>
        <v>0.57999999999999996</v>
      </c>
      <c r="Q141" s="50">
        <f>VLOOKUP($A141,'Data shares'!$C:$FB,127)*100</f>
        <v>-29.310000000000002</v>
      </c>
    </row>
    <row r="142" spans="1:17" x14ac:dyDescent="0.25">
      <c r="A142" s="97" t="str">
        <f>'Data Vlaue (Cr)'!C137</f>
        <v>NATIONALUM</v>
      </c>
      <c r="B142" s="140">
        <f>VLOOKUP($A142,'Data shares'!$C:$FB,7)</f>
        <v>279.45</v>
      </c>
      <c r="C142" s="140">
        <f>VLOOKUP($A142,'Data shares'!$C:$FB,3)</f>
        <v>279.7</v>
      </c>
      <c r="D142" s="140">
        <f>VLOOKUP($A142,'Data shares'!$C:$FB,4)</f>
        <v>277.10000000000002</v>
      </c>
      <c r="E142" s="50">
        <f t="shared" si="6"/>
        <v>0.9382894261999154</v>
      </c>
      <c r="F142" s="49">
        <f>VLOOKUP($A142,'Data shares'!$C:$FB,98)</f>
        <v>121065000</v>
      </c>
      <c r="G142" s="49">
        <f>VLOOKUP($A142,'Data shares'!$C:$FB,99)</f>
        <v>119587500</v>
      </c>
      <c r="H142" s="50">
        <f t="shared" si="7"/>
        <v>1.2354970210097209</v>
      </c>
      <c r="I142" s="49">
        <f>VLOOKUP($A142,'Data shares'!$C:$FB,66)</f>
        <v>98197500</v>
      </c>
      <c r="J142" s="49">
        <f>VLOOKUP($A142,'Data shares'!$C:$FB,67)</f>
        <v>64965000</v>
      </c>
      <c r="K142" s="50">
        <f t="shared" si="8"/>
        <v>33.842511265561754</v>
      </c>
      <c r="L142" s="50">
        <f>VLOOKUP($A142,'Data shares'!$C:$FB,118)</f>
        <v>0.85</v>
      </c>
      <c r="M142" s="50">
        <f>VLOOKUP($A142,'Data shares'!$C:$FB,119)</f>
        <v>0.87</v>
      </c>
      <c r="N142" s="50">
        <f>VLOOKUP($A142,'Data shares'!$C:$FB,121)*100</f>
        <v>-2.2999999999999998</v>
      </c>
      <c r="O142" s="50">
        <f>VLOOKUP($A142,'Data shares'!$C:$FB,124)</f>
        <v>0.51</v>
      </c>
      <c r="P142" s="50">
        <f>VLOOKUP($A142,'Data shares'!$C:$FB,125)</f>
        <v>0.61</v>
      </c>
      <c r="Q142" s="50">
        <f>VLOOKUP($A142,'Data shares'!$C:$FB,127)*100</f>
        <v>-16.39</v>
      </c>
    </row>
    <row r="143" spans="1:17" x14ac:dyDescent="0.25">
      <c r="A143" s="97" t="str">
        <f>'Data Vlaue (Cr)'!C138</f>
        <v>NAUKRI</v>
      </c>
      <c r="B143" s="140">
        <f>VLOOKUP($A143,'Data shares'!$C:$FB,7)</f>
        <v>1338.2</v>
      </c>
      <c r="C143" s="140">
        <f>VLOOKUP($A143,'Data shares'!$C:$FB,3)</f>
        <v>1343.2</v>
      </c>
      <c r="D143" s="140">
        <f>VLOOKUP($A143,'Data shares'!$C:$FB,4)</f>
        <v>1348.9</v>
      </c>
      <c r="E143" s="50">
        <f t="shared" si="6"/>
        <v>-0.42256653569575547</v>
      </c>
      <c r="F143" s="49">
        <f>VLOOKUP($A143,'Data shares'!$C:$FB,98)</f>
        <v>13599000</v>
      </c>
      <c r="G143" s="49">
        <f>VLOOKUP($A143,'Data shares'!$C:$FB,99)</f>
        <v>13423875</v>
      </c>
      <c r="H143" s="50">
        <f t="shared" si="7"/>
        <v>1.3045785959717293</v>
      </c>
      <c r="I143" s="49">
        <f>VLOOKUP($A143,'Data shares'!$C:$FB,66)</f>
        <v>3103125</v>
      </c>
      <c r="J143" s="49">
        <f>VLOOKUP($A143,'Data shares'!$C:$FB,67)</f>
        <v>3079500</v>
      </c>
      <c r="K143" s="50">
        <f t="shared" si="8"/>
        <v>0.76132930513595165</v>
      </c>
      <c r="L143" s="50">
        <f>VLOOKUP($A143,'Data shares'!$C:$FB,118)</f>
        <v>0.84</v>
      </c>
      <c r="M143" s="50">
        <f>VLOOKUP($A143,'Data shares'!$C:$FB,119)</f>
        <v>0.85</v>
      </c>
      <c r="N143" s="50">
        <f>VLOOKUP($A143,'Data shares'!$C:$FB,121)*100</f>
        <v>-1.18</v>
      </c>
      <c r="O143" s="50">
        <f>VLOOKUP($A143,'Data shares'!$C:$FB,124)</f>
        <v>0.31</v>
      </c>
      <c r="P143" s="50">
        <f>VLOOKUP($A143,'Data shares'!$C:$FB,125)</f>
        <v>0.5</v>
      </c>
      <c r="Q143" s="50">
        <f>VLOOKUP($A143,'Data shares'!$C:$FB,127)*100</f>
        <v>-38</v>
      </c>
    </row>
    <row r="144" spans="1:17" x14ac:dyDescent="0.25">
      <c r="A144" s="97" t="str">
        <f>'Data Vlaue (Cr)'!C139</f>
        <v>NBCC</v>
      </c>
      <c r="B144" s="140">
        <f>VLOOKUP($A144,'Data shares'!$C:$FB,7)</f>
        <v>109.56</v>
      </c>
      <c r="C144" s="140">
        <f>VLOOKUP($A144,'Data shares'!$C:$FB,3)</f>
        <v>109.71</v>
      </c>
      <c r="D144" s="140">
        <f>VLOOKUP($A144,'Data shares'!$C:$FB,4)</f>
        <v>111.76</v>
      </c>
      <c r="E144" s="50">
        <f t="shared" si="6"/>
        <v>-1.8342877594846201</v>
      </c>
      <c r="F144" s="49">
        <f>VLOOKUP($A144,'Data shares'!$C:$FB,98)</f>
        <v>169097500</v>
      </c>
      <c r="G144" s="49">
        <f>VLOOKUP($A144,'Data shares'!$C:$FB,99)</f>
        <v>156123500</v>
      </c>
      <c r="H144" s="50">
        <f t="shared" si="7"/>
        <v>8.3100878471210304</v>
      </c>
      <c r="I144" s="49">
        <f>VLOOKUP($A144,'Data shares'!$C:$FB,66)</f>
        <v>79319500</v>
      </c>
      <c r="J144" s="49">
        <f>VLOOKUP($A144,'Data shares'!$C:$FB,67)</f>
        <v>107594500</v>
      </c>
      <c r="K144" s="50">
        <f t="shared" si="8"/>
        <v>-35.646972056051787</v>
      </c>
      <c r="L144" s="50">
        <f>VLOOKUP($A144,'Data shares'!$C:$FB,118)</f>
        <v>0.4</v>
      </c>
      <c r="M144" s="50">
        <f>VLOOKUP($A144,'Data shares'!$C:$FB,119)</f>
        <v>0.47</v>
      </c>
      <c r="N144" s="50">
        <f>VLOOKUP($A144,'Data shares'!$C:$FB,121)*100</f>
        <v>-14.89</v>
      </c>
      <c r="O144" s="50">
        <f>VLOOKUP($A144,'Data shares'!$C:$FB,124)</f>
        <v>0.28000000000000003</v>
      </c>
      <c r="P144" s="50">
        <f>VLOOKUP($A144,'Data shares'!$C:$FB,125)</f>
        <v>0.63</v>
      </c>
      <c r="Q144" s="50">
        <f>VLOOKUP($A144,'Data shares'!$C:$FB,127)*100</f>
        <v>-55.559999999999995</v>
      </c>
    </row>
    <row r="145" spans="1:17" x14ac:dyDescent="0.25">
      <c r="A145" s="97" t="str">
        <f>'Data Vlaue (Cr)'!C140</f>
        <v>NCC</v>
      </c>
      <c r="B145" s="140">
        <f>VLOOKUP($A145,'Data shares'!$C:$FB,7)</f>
        <v>155.32</v>
      </c>
      <c r="C145" s="140">
        <f>VLOOKUP($A145,'Data shares'!$C:$FB,3)</f>
        <v>155.97</v>
      </c>
      <c r="D145" s="140">
        <f>VLOOKUP($A145,'Data shares'!$C:$FB,4)</f>
        <v>157.91999999999999</v>
      </c>
      <c r="E145" s="50">
        <f t="shared" si="6"/>
        <v>-1.2348024316109352</v>
      </c>
      <c r="F145" s="49">
        <f>VLOOKUP($A145,'Data shares'!$C:$FB,98)</f>
        <v>55995300</v>
      </c>
      <c r="G145" s="49">
        <f>VLOOKUP($A145,'Data shares'!$C:$FB,99)</f>
        <v>56897100</v>
      </c>
      <c r="H145" s="50">
        <f t="shared" si="7"/>
        <v>-1.5849665448678403</v>
      </c>
      <c r="I145" s="49">
        <f>VLOOKUP($A145,'Data shares'!$C:$FB,66)</f>
        <v>20160900</v>
      </c>
      <c r="J145" s="49">
        <f>VLOOKUP($A145,'Data shares'!$C:$FB,67)</f>
        <v>19402200</v>
      </c>
      <c r="K145" s="50">
        <f t="shared" si="8"/>
        <v>3.7632248560332129</v>
      </c>
      <c r="L145" s="50">
        <f>VLOOKUP($A145,'Data shares'!$C:$FB,118)</f>
        <v>0.42</v>
      </c>
      <c r="M145" s="50">
        <f>VLOOKUP($A145,'Data shares'!$C:$FB,119)</f>
        <v>0.42</v>
      </c>
      <c r="N145" s="50">
        <f>VLOOKUP($A145,'Data shares'!$C:$FB,121)*100</f>
        <v>0</v>
      </c>
      <c r="O145" s="50">
        <f>VLOOKUP($A145,'Data shares'!$C:$FB,124)</f>
        <v>0.45</v>
      </c>
      <c r="P145" s="50">
        <f>VLOOKUP($A145,'Data shares'!$C:$FB,125)</f>
        <v>0.41</v>
      </c>
      <c r="Q145" s="50">
        <f>VLOOKUP($A145,'Data shares'!$C:$FB,127)*100</f>
        <v>9.76</v>
      </c>
    </row>
    <row r="146" spans="1:17" x14ac:dyDescent="0.25">
      <c r="A146" s="97" t="str">
        <f>'Data Vlaue (Cr)'!C141</f>
        <v>NESTLEIND</v>
      </c>
      <c r="B146" s="140">
        <f>VLOOKUP($A146,'Data shares'!$C:$FB,7)</f>
        <v>1234.5999999999999</v>
      </c>
      <c r="C146" s="140">
        <f>VLOOKUP($A146,'Data shares'!$C:$FB,3)</f>
        <v>1235.9000000000001</v>
      </c>
      <c r="D146" s="140">
        <f>VLOOKUP($A146,'Data shares'!$C:$FB,4)</f>
        <v>1244.4000000000001</v>
      </c>
      <c r="E146" s="50">
        <f t="shared" si="6"/>
        <v>-0.68306010928961747</v>
      </c>
      <c r="F146" s="49">
        <f>VLOOKUP($A146,'Data shares'!$C:$FB,98)</f>
        <v>26070000</v>
      </c>
      <c r="G146" s="49">
        <f>VLOOKUP($A146,'Data shares'!$C:$FB,99)</f>
        <v>25681500</v>
      </c>
      <c r="H146" s="50">
        <f t="shared" si="7"/>
        <v>1.5127621050172302</v>
      </c>
      <c r="I146" s="49">
        <f>VLOOKUP($A146,'Data shares'!$C:$FB,66)</f>
        <v>8468000</v>
      </c>
      <c r="J146" s="49">
        <f>VLOOKUP($A146,'Data shares'!$C:$FB,67)</f>
        <v>14764000</v>
      </c>
      <c r="K146" s="50">
        <f t="shared" si="8"/>
        <v>-74.350495984884262</v>
      </c>
      <c r="L146" s="50">
        <f>VLOOKUP($A146,'Data shares'!$C:$FB,118)</f>
        <v>0.31</v>
      </c>
      <c r="M146" s="50">
        <f>VLOOKUP($A146,'Data shares'!$C:$FB,119)</f>
        <v>0.33</v>
      </c>
      <c r="N146" s="50">
        <f>VLOOKUP($A146,'Data shares'!$C:$FB,121)*100</f>
        <v>-6.0600000000000005</v>
      </c>
      <c r="O146" s="50">
        <f>VLOOKUP($A146,'Data shares'!$C:$FB,124)</f>
        <v>0.36</v>
      </c>
      <c r="P146" s="50">
        <f>VLOOKUP($A146,'Data shares'!$C:$FB,125)</f>
        <v>0.22</v>
      </c>
      <c r="Q146" s="50">
        <f>VLOOKUP($A146,'Data shares'!$C:$FB,127)*100</f>
        <v>63.639999999999993</v>
      </c>
    </row>
    <row r="147" spans="1:17" x14ac:dyDescent="0.25">
      <c r="A147" s="97" t="str">
        <f>'Data Vlaue (Cr)'!C142</f>
        <v>NHPC</v>
      </c>
      <c r="B147" s="140">
        <f>VLOOKUP($A147,'Data shares'!$C:$FB,7)</f>
        <v>75.39</v>
      </c>
      <c r="C147" s="140">
        <f>VLOOKUP($A147,'Data shares'!$C:$FB,3)</f>
        <v>75.569999999999993</v>
      </c>
      <c r="D147" s="140">
        <f>VLOOKUP($A147,'Data shares'!$C:$FB,4)</f>
        <v>75.97</v>
      </c>
      <c r="E147" s="50">
        <f t="shared" si="6"/>
        <v>-0.5265236277478027</v>
      </c>
      <c r="F147" s="49">
        <f>VLOOKUP($A147,'Data shares'!$C:$FB,98)</f>
        <v>141932800</v>
      </c>
      <c r="G147" s="49">
        <f>VLOOKUP($A147,'Data shares'!$C:$FB,99)</f>
        <v>142201600</v>
      </c>
      <c r="H147" s="50">
        <f t="shared" si="7"/>
        <v>-0.18902740897430126</v>
      </c>
      <c r="I147" s="49">
        <f>VLOOKUP($A147,'Data shares'!$C:$FB,66)</f>
        <v>38329600</v>
      </c>
      <c r="J147" s="49">
        <f>VLOOKUP($A147,'Data shares'!$C:$FB,67)</f>
        <v>31648000</v>
      </c>
      <c r="K147" s="50">
        <f t="shared" si="8"/>
        <v>17.431958590749709</v>
      </c>
      <c r="L147" s="50">
        <f>VLOOKUP($A147,'Data shares'!$C:$FB,118)</f>
        <v>0.45</v>
      </c>
      <c r="M147" s="50">
        <f>VLOOKUP($A147,'Data shares'!$C:$FB,119)</f>
        <v>0.45</v>
      </c>
      <c r="N147" s="50">
        <f>VLOOKUP($A147,'Data shares'!$C:$FB,121)*100</f>
        <v>0</v>
      </c>
      <c r="O147" s="50">
        <f>VLOOKUP($A147,'Data shares'!$C:$FB,124)</f>
        <v>0.3</v>
      </c>
      <c r="P147" s="50">
        <f>VLOOKUP($A147,'Data shares'!$C:$FB,125)</f>
        <v>0.21</v>
      </c>
      <c r="Q147" s="50">
        <f>VLOOKUP($A147,'Data shares'!$C:$FB,127)*100</f>
        <v>42.86</v>
      </c>
    </row>
    <row r="148" spans="1:17" x14ac:dyDescent="0.25">
      <c r="A148" s="97" t="str">
        <f>'Data Vlaue (Cr)'!C143</f>
        <v>NIFTY</v>
      </c>
      <c r="B148" s="140">
        <f>VLOOKUP($A148,'Data shares'!$C:$FB,7)</f>
        <v>25818.55</v>
      </c>
      <c r="C148" s="140">
        <f>VLOOKUP($A148,'Data shares'!$C:$FB,3)</f>
        <v>25897.8</v>
      </c>
      <c r="D148" s="140">
        <f>VLOOKUP($A148,'Data shares'!$C:$FB,4)</f>
        <v>25940.7</v>
      </c>
      <c r="E148" s="50">
        <f t="shared" si="6"/>
        <v>-0.1653771872000426</v>
      </c>
      <c r="F148" s="49">
        <f>VLOOKUP($A148,'Data shares'!$C:$FB,98)</f>
        <v>453053130</v>
      </c>
      <c r="G148" s="49">
        <f>VLOOKUP($A148,'Data shares'!$C:$FB,99)</f>
        <v>645404035</v>
      </c>
      <c r="H148" s="50">
        <f t="shared" si="7"/>
        <v>-29.803176703101958</v>
      </c>
      <c r="I148" s="49">
        <f>VLOOKUP($A148,'Data shares'!$C:$FB,66)</f>
        <v>3543722625</v>
      </c>
      <c r="J148" s="49">
        <f>VLOOKUP($A148,'Data shares'!$C:$FB,67)</f>
        <v>19877074800</v>
      </c>
      <c r="K148" s="50">
        <f t="shared" si="8"/>
        <v>-460.90944194595363</v>
      </c>
      <c r="L148" s="50">
        <f>VLOOKUP($A148,'Data shares'!$C:$FB,118)</f>
        <v>0.77</v>
      </c>
      <c r="M148" s="50">
        <f>VLOOKUP($A148,'Data shares'!$C:$FB,119)</f>
        <v>0.9</v>
      </c>
      <c r="N148" s="50">
        <f>VLOOKUP($A148,'Data shares'!$C:$FB,121)*100</f>
        <v>-14.44</v>
      </c>
      <c r="O148" s="50">
        <f>VLOOKUP($A148,'Data shares'!$C:$FB,124)</f>
        <v>0.98</v>
      </c>
      <c r="P148" s="50">
        <f>VLOOKUP($A148,'Data shares'!$C:$FB,125)</f>
        <v>1.03</v>
      </c>
      <c r="Q148" s="50">
        <f>VLOOKUP($A148,'Data shares'!$C:$FB,127)*100</f>
        <v>-4.8500000000000005</v>
      </c>
    </row>
    <row r="149" spans="1:17" x14ac:dyDescent="0.25">
      <c r="A149" s="97" t="str">
        <f>'Data Vlaue (Cr)'!C144</f>
        <v>NIFTYNXT50</v>
      </c>
      <c r="B149" s="140">
        <f>VLOOKUP($A149,'Data shares'!$C:$FB,7)</f>
        <v>68076.850000000006</v>
      </c>
      <c r="C149" s="140">
        <f>VLOOKUP($A149,'Data shares'!$C:$FB,3)</f>
        <v>68220</v>
      </c>
      <c r="D149" s="140">
        <f>VLOOKUP($A149,'Data shares'!$C:$FB,4)</f>
        <v>68492</v>
      </c>
      <c r="E149" s="50">
        <f t="shared" si="6"/>
        <v>-0.39712667172808502</v>
      </c>
      <c r="F149" s="49">
        <f>VLOOKUP($A149,'Data shares'!$C:$FB,98)</f>
        <v>60700</v>
      </c>
      <c r="G149" s="49">
        <f>VLOOKUP($A149,'Data shares'!$C:$FB,99)</f>
        <v>58275</v>
      </c>
      <c r="H149" s="50">
        <f t="shared" si="7"/>
        <v>4.1613041613041615</v>
      </c>
      <c r="I149" s="49">
        <f>VLOOKUP($A149,'Data shares'!$C:$FB,66)</f>
        <v>26775</v>
      </c>
      <c r="J149" s="49">
        <f>VLOOKUP($A149,'Data shares'!$C:$FB,67)</f>
        <v>19800</v>
      </c>
      <c r="K149" s="50">
        <f t="shared" si="8"/>
        <v>26.05042016806723</v>
      </c>
      <c r="L149" s="50">
        <f>VLOOKUP($A149,'Data shares'!$C:$FB,118)</f>
        <v>0.93</v>
      </c>
      <c r="M149" s="50">
        <f>VLOOKUP($A149,'Data shares'!$C:$FB,119)</f>
        <v>0.96</v>
      </c>
      <c r="N149" s="50">
        <f>VLOOKUP($A149,'Data shares'!$C:$FB,121)*100</f>
        <v>-3.1199999999999997</v>
      </c>
      <c r="O149" s="50">
        <f>VLOOKUP($A149,'Data shares'!$C:$FB,124)</f>
        <v>1.36</v>
      </c>
      <c r="P149" s="50">
        <f>VLOOKUP($A149,'Data shares'!$C:$FB,125)</f>
        <v>0.68</v>
      </c>
      <c r="Q149" s="50">
        <f>VLOOKUP($A149,'Data shares'!$C:$FB,127)*100</f>
        <v>100</v>
      </c>
    </row>
    <row r="150" spans="1:17" x14ac:dyDescent="0.25">
      <c r="A150" s="97" t="str">
        <f>'Data Vlaue (Cr)'!C145</f>
        <v>NMDC</v>
      </c>
      <c r="B150" s="140">
        <f>VLOOKUP($A150,'Data shares'!$C:$FB,7)</f>
        <v>77.28</v>
      </c>
      <c r="C150" s="140">
        <f>VLOOKUP($A150,'Data shares'!$C:$FB,3)</f>
        <v>77.349999999999994</v>
      </c>
      <c r="D150" s="140">
        <f>VLOOKUP($A150,'Data shares'!$C:$FB,4)</f>
        <v>77.31</v>
      </c>
      <c r="E150" s="50">
        <f t="shared" si="6"/>
        <v>5.1739749062206755E-2</v>
      </c>
      <c r="F150" s="49">
        <f>VLOOKUP($A150,'Data shares'!$C:$FB,98)</f>
        <v>517880250</v>
      </c>
      <c r="G150" s="49">
        <f>VLOOKUP($A150,'Data shares'!$C:$FB,99)</f>
        <v>506297250</v>
      </c>
      <c r="H150" s="50">
        <f t="shared" si="7"/>
        <v>2.2877864732624955</v>
      </c>
      <c r="I150" s="49">
        <f>VLOOKUP($A150,'Data shares'!$C:$FB,66)</f>
        <v>122688000</v>
      </c>
      <c r="J150" s="49">
        <f>VLOOKUP($A150,'Data shares'!$C:$FB,67)</f>
        <v>137929500</v>
      </c>
      <c r="K150" s="50">
        <f t="shared" si="8"/>
        <v>-12.422975352112676</v>
      </c>
      <c r="L150" s="50">
        <f>VLOOKUP($A150,'Data shares'!$C:$FB,118)</f>
        <v>0.68</v>
      </c>
      <c r="M150" s="50">
        <f>VLOOKUP($A150,'Data shares'!$C:$FB,119)</f>
        <v>0.69</v>
      </c>
      <c r="N150" s="50">
        <f>VLOOKUP($A150,'Data shares'!$C:$FB,121)*100</f>
        <v>-1.4500000000000002</v>
      </c>
      <c r="O150" s="50">
        <f>VLOOKUP($A150,'Data shares'!$C:$FB,124)</f>
        <v>0.32</v>
      </c>
      <c r="P150" s="50">
        <f>VLOOKUP($A150,'Data shares'!$C:$FB,125)</f>
        <v>0.48</v>
      </c>
      <c r="Q150" s="50">
        <f>VLOOKUP($A150,'Data shares'!$C:$FB,127)*100</f>
        <v>-33.33</v>
      </c>
    </row>
    <row r="151" spans="1:17" x14ac:dyDescent="0.25">
      <c r="A151" s="97" t="str">
        <f>'Data Vlaue (Cr)'!C146</f>
        <v>NTPC</v>
      </c>
      <c r="B151" s="140">
        <f>VLOOKUP($A151,'Data shares'!$C:$FB,7)</f>
        <v>321.25</v>
      </c>
      <c r="C151" s="140">
        <f>VLOOKUP($A151,'Data shares'!$C:$FB,3)</f>
        <v>321.5</v>
      </c>
      <c r="D151" s="140">
        <f>VLOOKUP($A151,'Data shares'!$C:$FB,4)</f>
        <v>321.3</v>
      </c>
      <c r="E151" s="50">
        <f t="shared" si="6"/>
        <v>6.2247121070646942E-2</v>
      </c>
      <c r="F151" s="49">
        <f>VLOOKUP($A151,'Data shares'!$C:$FB,98)</f>
        <v>148477500</v>
      </c>
      <c r="G151" s="49">
        <f>VLOOKUP($A151,'Data shares'!$C:$FB,99)</f>
        <v>148848000</v>
      </c>
      <c r="H151" s="50">
        <f t="shared" si="7"/>
        <v>-0.24891164140599809</v>
      </c>
      <c r="I151" s="49">
        <f>VLOOKUP($A151,'Data shares'!$C:$FB,66)</f>
        <v>27538500</v>
      </c>
      <c r="J151" s="49">
        <f>VLOOKUP($A151,'Data shares'!$C:$FB,67)</f>
        <v>37863000</v>
      </c>
      <c r="K151" s="50">
        <f t="shared" si="8"/>
        <v>-37.491148755378831</v>
      </c>
      <c r="L151" s="50">
        <f>VLOOKUP($A151,'Data shares'!$C:$FB,118)</f>
        <v>0.62</v>
      </c>
      <c r="M151" s="50">
        <f>VLOOKUP($A151,'Data shares'!$C:$FB,119)</f>
        <v>0.6</v>
      </c>
      <c r="N151" s="50">
        <f>VLOOKUP($A151,'Data shares'!$C:$FB,121)*100</f>
        <v>3.3300000000000005</v>
      </c>
      <c r="O151" s="50">
        <f>VLOOKUP($A151,'Data shares'!$C:$FB,124)</f>
        <v>0.52</v>
      </c>
      <c r="P151" s="50">
        <f>VLOOKUP($A151,'Data shares'!$C:$FB,125)</f>
        <v>0.53</v>
      </c>
      <c r="Q151" s="50">
        <f>VLOOKUP($A151,'Data shares'!$C:$FB,127)*100</f>
        <v>-1.8900000000000001</v>
      </c>
    </row>
    <row r="152" spans="1:17" x14ac:dyDescent="0.25">
      <c r="A152" s="97" t="str">
        <f>'Data Vlaue (Cr)'!C147</f>
        <v>NUVAMA</v>
      </c>
      <c r="B152" s="140">
        <f>VLOOKUP($A152,'Data shares'!$C:$FB,7)</f>
        <v>7171</v>
      </c>
      <c r="C152" s="140">
        <f>VLOOKUP($A152,'Data shares'!$C:$FB,3)</f>
        <v>7201.5</v>
      </c>
      <c r="D152" s="140">
        <f>VLOOKUP($A152,'Data shares'!$C:$FB,4)</f>
        <v>7214</v>
      </c>
      <c r="E152" s="50">
        <f t="shared" si="6"/>
        <v>-0.17327418907679512</v>
      </c>
      <c r="F152" s="49">
        <f>VLOOKUP($A152,'Data shares'!$C:$FB,98)</f>
        <v>882575</v>
      </c>
      <c r="G152" s="49">
        <f>VLOOKUP($A152,'Data shares'!$C:$FB,99)</f>
        <v>842450</v>
      </c>
      <c r="H152" s="50">
        <f t="shared" si="7"/>
        <v>4.7628939402931927</v>
      </c>
      <c r="I152" s="49">
        <f>VLOOKUP($A152,'Data shares'!$C:$FB,66)</f>
        <v>553725</v>
      </c>
      <c r="J152" s="49">
        <f>VLOOKUP($A152,'Data shares'!$C:$FB,67)</f>
        <v>446100</v>
      </c>
      <c r="K152" s="50">
        <f t="shared" si="8"/>
        <v>19.43654341053772</v>
      </c>
      <c r="L152" s="50">
        <f>VLOOKUP($A152,'Data shares'!$C:$FB,118)</f>
        <v>0.62</v>
      </c>
      <c r="M152" s="50">
        <f>VLOOKUP($A152,'Data shares'!$C:$FB,119)</f>
        <v>0.53</v>
      </c>
      <c r="N152" s="50">
        <f>VLOOKUP($A152,'Data shares'!$C:$FB,121)*100</f>
        <v>16.98</v>
      </c>
      <c r="O152" s="50">
        <f>VLOOKUP($A152,'Data shares'!$C:$FB,124)</f>
        <v>0.93</v>
      </c>
      <c r="P152" s="50">
        <f>VLOOKUP($A152,'Data shares'!$C:$FB,125)</f>
        <v>1.08</v>
      </c>
      <c r="Q152" s="50">
        <f>VLOOKUP($A152,'Data shares'!$C:$FB,127)*100</f>
        <v>-13.889999999999999</v>
      </c>
    </row>
    <row r="153" spans="1:17" x14ac:dyDescent="0.25">
      <c r="A153" s="97" t="str">
        <f>'Data Vlaue (Cr)'!C148</f>
        <v>NYKAA</v>
      </c>
      <c r="B153" s="140">
        <f>VLOOKUP($A153,'Data shares'!$C:$FB,7)</f>
        <v>245.1</v>
      </c>
      <c r="C153" s="140">
        <f>VLOOKUP($A153,'Data shares'!$C:$FB,3)</f>
        <v>246.05</v>
      </c>
      <c r="D153" s="140">
        <f>VLOOKUP($A153,'Data shares'!$C:$FB,4)</f>
        <v>247.65</v>
      </c>
      <c r="E153" s="50">
        <f t="shared" si="6"/>
        <v>-0.64607308701796662</v>
      </c>
      <c r="F153" s="49">
        <f>VLOOKUP($A153,'Data shares'!$C:$FB,98)</f>
        <v>88103125</v>
      </c>
      <c r="G153" s="49">
        <f>VLOOKUP($A153,'Data shares'!$C:$FB,99)</f>
        <v>88065625</v>
      </c>
      <c r="H153" s="50">
        <f t="shared" si="7"/>
        <v>4.258188140946028E-2</v>
      </c>
      <c r="I153" s="49">
        <f>VLOOKUP($A153,'Data shares'!$C:$FB,66)</f>
        <v>21200000</v>
      </c>
      <c r="J153" s="49">
        <f>VLOOKUP($A153,'Data shares'!$C:$FB,67)</f>
        <v>29740625</v>
      </c>
      <c r="K153" s="50">
        <f t="shared" si="8"/>
        <v>-40.285966981132077</v>
      </c>
      <c r="L153" s="50">
        <f>VLOOKUP($A153,'Data shares'!$C:$FB,118)</f>
        <v>0.41</v>
      </c>
      <c r="M153" s="50">
        <f>VLOOKUP($A153,'Data shares'!$C:$FB,119)</f>
        <v>0.38</v>
      </c>
      <c r="N153" s="50">
        <f>VLOOKUP($A153,'Data shares'!$C:$FB,121)*100</f>
        <v>7.89</v>
      </c>
      <c r="O153" s="50">
        <f>VLOOKUP($A153,'Data shares'!$C:$FB,124)</f>
        <v>0.47</v>
      </c>
      <c r="P153" s="50">
        <f>VLOOKUP($A153,'Data shares'!$C:$FB,125)</f>
        <v>0.21</v>
      </c>
      <c r="Q153" s="50">
        <f>VLOOKUP($A153,'Data shares'!$C:$FB,127)*100</f>
        <v>123.81</v>
      </c>
    </row>
    <row r="154" spans="1:17" x14ac:dyDescent="0.25">
      <c r="A154" s="97" t="str">
        <f>'Data Vlaue (Cr)'!C149</f>
        <v>OBEROIRLTY</v>
      </c>
      <c r="B154" s="140">
        <f>VLOOKUP($A154,'Data shares'!$C:$FB,7)</f>
        <v>1609.9</v>
      </c>
      <c r="C154" s="140">
        <f>VLOOKUP($A154,'Data shares'!$C:$FB,3)</f>
        <v>1609.6</v>
      </c>
      <c r="D154" s="140">
        <f>VLOOKUP($A154,'Data shares'!$C:$FB,4)</f>
        <v>1628.3</v>
      </c>
      <c r="E154" s="50">
        <f t="shared" si="6"/>
        <v>-1.1484370202051248</v>
      </c>
      <c r="F154" s="49">
        <f>VLOOKUP($A154,'Data shares'!$C:$FB,98)</f>
        <v>8207150</v>
      </c>
      <c r="G154" s="49">
        <f>VLOOKUP($A154,'Data shares'!$C:$FB,99)</f>
        <v>8111950</v>
      </c>
      <c r="H154" s="50">
        <f t="shared" si="7"/>
        <v>1.1735772533114726</v>
      </c>
      <c r="I154" s="49">
        <f>VLOOKUP($A154,'Data shares'!$C:$FB,66)</f>
        <v>2490600</v>
      </c>
      <c r="J154" s="49">
        <f>VLOOKUP($A154,'Data shares'!$C:$FB,67)</f>
        <v>2061500</v>
      </c>
      <c r="K154" s="50">
        <f t="shared" si="8"/>
        <v>17.228780213603148</v>
      </c>
      <c r="L154" s="50">
        <f>VLOOKUP($A154,'Data shares'!$C:$FB,118)</f>
        <v>0.62</v>
      </c>
      <c r="M154" s="50">
        <f>VLOOKUP($A154,'Data shares'!$C:$FB,119)</f>
        <v>0.61</v>
      </c>
      <c r="N154" s="50">
        <f>VLOOKUP($A154,'Data shares'!$C:$FB,121)*100</f>
        <v>1.6400000000000001</v>
      </c>
      <c r="O154" s="50">
        <f>VLOOKUP($A154,'Data shares'!$C:$FB,124)</f>
        <v>0.71</v>
      </c>
      <c r="P154" s="50">
        <f>VLOOKUP($A154,'Data shares'!$C:$FB,125)</f>
        <v>0.35</v>
      </c>
      <c r="Q154" s="50">
        <f>VLOOKUP($A154,'Data shares'!$C:$FB,127)*100</f>
        <v>102.86</v>
      </c>
    </row>
    <row r="155" spans="1:17" x14ac:dyDescent="0.25">
      <c r="A155" s="97" t="str">
        <f>'Data Vlaue (Cr)'!C150</f>
        <v>OFSS</v>
      </c>
      <c r="B155" s="140">
        <f>VLOOKUP($A155,'Data shares'!$C:$FB,7)</f>
        <v>7712.5</v>
      </c>
      <c r="C155" s="140">
        <f>VLOOKUP($A155,'Data shares'!$C:$FB,3)</f>
        <v>7727.5</v>
      </c>
      <c r="D155" s="140">
        <f>VLOOKUP($A155,'Data shares'!$C:$FB,4)</f>
        <v>7842.5</v>
      </c>
      <c r="E155" s="50">
        <f t="shared" si="6"/>
        <v>-1.4663691424928276</v>
      </c>
      <c r="F155" s="49">
        <f>VLOOKUP($A155,'Data shares'!$C:$FB,98)</f>
        <v>2753925</v>
      </c>
      <c r="G155" s="49">
        <f>VLOOKUP($A155,'Data shares'!$C:$FB,99)</f>
        <v>2710650</v>
      </c>
      <c r="H155" s="50">
        <f t="shared" si="7"/>
        <v>1.5964805489458247</v>
      </c>
      <c r="I155" s="49">
        <f>VLOOKUP($A155,'Data shares'!$C:$FB,66)</f>
        <v>1397925</v>
      </c>
      <c r="J155" s="49">
        <f>VLOOKUP($A155,'Data shares'!$C:$FB,67)</f>
        <v>1529850</v>
      </c>
      <c r="K155" s="50">
        <f t="shared" si="8"/>
        <v>-9.4372015666076496</v>
      </c>
      <c r="L155" s="50">
        <f>VLOOKUP($A155,'Data shares'!$C:$FB,118)</f>
        <v>0.64</v>
      </c>
      <c r="M155" s="50">
        <f>VLOOKUP($A155,'Data shares'!$C:$FB,119)</f>
        <v>0.76</v>
      </c>
      <c r="N155" s="50">
        <f>VLOOKUP($A155,'Data shares'!$C:$FB,121)*100</f>
        <v>-15.790000000000001</v>
      </c>
      <c r="O155" s="50">
        <f>VLOOKUP($A155,'Data shares'!$C:$FB,124)</f>
        <v>0.56000000000000005</v>
      </c>
      <c r="P155" s="50">
        <f>VLOOKUP($A155,'Data shares'!$C:$FB,125)</f>
        <v>1.04</v>
      </c>
      <c r="Q155" s="50">
        <f>VLOOKUP($A155,'Data shares'!$C:$FB,127)*100</f>
        <v>-46.150000000000006</v>
      </c>
    </row>
    <row r="156" spans="1:17" x14ac:dyDescent="0.25">
      <c r="A156" s="97" t="str">
        <f>'Data Vlaue (Cr)'!C151</f>
        <v>OIL</v>
      </c>
      <c r="B156" s="140">
        <f>VLOOKUP($A156,'Data shares'!$C:$FB,7)</f>
        <v>398.15</v>
      </c>
      <c r="C156" s="140">
        <f>VLOOKUP($A156,'Data shares'!$C:$FB,3)</f>
        <v>398.25</v>
      </c>
      <c r="D156" s="140">
        <f>VLOOKUP($A156,'Data shares'!$C:$FB,4)</f>
        <v>402.05</v>
      </c>
      <c r="E156" s="50">
        <f t="shared" si="6"/>
        <v>-0.9451560751150383</v>
      </c>
      <c r="F156" s="49">
        <f>VLOOKUP($A156,'Data shares'!$C:$FB,98)</f>
        <v>22303400</v>
      </c>
      <c r="G156" s="49">
        <f>VLOOKUP($A156,'Data shares'!$C:$FB,99)</f>
        <v>21478800</v>
      </c>
      <c r="H156" s="50">
        <f t="shared" si="7"/>
        <v>3.8391344022943552</v>
      </c>
      <c r="I156" s="49">
        <f>VLOOKUP($A156,'Data shares'!$C:$FB,66)</f>
        <v>6237000</v>
      </c>
      <c r="J156" s="49">
        <f>VLOOKUP($A156,'Data shares'!$C:$FB,67)</f>
        <v>3932600</v>
      </c>
      <c r="K156" s="50">
        <f t="shared" si="8"/>
        <v>36.947250280583617</v>
      </c>
      <c r="L156" s="50">
        <f>VLOOKUP($A156,'Data shares'!$C:$FB,118)</f>
        <v>0.53</v>
      </c>
      <c r="M156" s="50">
        <f>VLOOKUP($A156,'Data shares'!$C:$FB,119)</f>
        <v>0.56000000000000005</v>
      </c>
      <c r="N156" s="50">
        <f>VLOOKUP($A156,'Data shares'!$C:$FB,121)*100</f>
        <v>-5.36</v>
      </c>
      <c r="O156" s="50">
        <f>VLOOKUP($A156,'Data shares'!$C:$FB,124)</f>
        <v>0.34</v>
      </c>
      <c r="P156" s="50">
        <f>VLOOKUP($A156,'Data shares'!$C:$FB,125)</f>
        <v>0.41</v>
      </c>
      <c r="Q156" s="50">
        <f>VLOOKUP($A156,'Data shares'!$C:$FB,127)*100</f>
        <v>-17.07</v>
      </c>
    </row>
    <row r="157" spans="1:17" x14ac:dyDescent="0.25">
      <c r="A157" s="97" t="str">
        <f>'Data Vlaue (Cr)'!C152</f>
        <v>ONGC</v>
      </c>
      <c r="B157" s="140">
        <f>VLOOKUP($A157,'Data shares'!$C:$FB,7)</f>
        <v>232.91</v>
      </c>
      <c r="C157" s="140">
        <f>VLOOKUP($A157,'Data shares'!$C:$FB,3)</f>
        <v>233.14</v>
      </c>
      <c r="D157" s="140">
        <f>VLOOKUP($A157,'Data shares'!$C:$FB,4)</f>
        <v>232.75</v>
      </c>
      <c r="E157" s="50">
        <f t="shared" si="6"/>
        <v>0.16756176154671809</v>
      </c>
      <c r="F157" s="49">
        <f>VLOOKUP($A157,'Data shares'!$C:$FB,98)</f>
        <v>191153250</v>
      </c>
      <c r="G157" s="49">
        <f>VLOOKUP($A157,'Data shares'!$C:$FB,99)</f>
        <v>187094250</v>
      </c>
      <c r="H157" s="50">
        <f t="shared" si="7"/>
        <v>2.1694947867184586</v>
      </c>
      <c r="I157" s="49">
        <f>VLOOKUP($A157,'Data shares'!$C:$FB,66)</f>
        <v>68886000</v>
      </c>
      <c r="J157" s="49">
        <f>VLOOKUP($A157,'Data shares'!$C:$FB,67)</f>
        <v>62286750</v>
      </c>
      <c r="K157" s="50">
        <f t="shared" si="8"/>
        <v>9.5799581917951411</v>
      </c>
      <c r="L157" s="50">
        <f>VLOOKUP($A157,'Data shares'!$C:$FB,118)</f>
        <v>0.41</v>
      </c>
      <c r="M157" s="50">
        <f>VLOOKUP($A157,'Data shares'!$C:$FB,119)</f>
        <v>0.42</v>
      </c>
      <c r="N157" s="50">
        <f>VLOOKUP($A157,'Data shares'!$C:$FB,121)*100</f>
        <v>-2.3800000000000003</v>
      </c>
      <c r="O157" s="50">
        <f>VLOOKUP($A157,'Data shares'!$C:$FB,124)</f>
        <v>0.67</v>
      </c>
      <c r="P157" s="50">
        <f>VLOOKUP($A157,'Data shares'!$C:$FB,125)</f>
        <v>0.63</v>
      </c>
      <c r="Q157" s="50">
        <f>VLOOKUP($A157,'Data shares'!$C:$FB,127)*100</f>
        <v>6.35</v>
      </c>
    </row>
    <row r="158" spans="1:17" x14ac:dyDescent="0.25">
      <c r="A158" s="97" t="str">
        <f>'Data Vlaue (Cr)'!C153</f>
        <v>PAGEIND</v>
      </c>
      <c r="B158" s="140">
        <f>VLOOKUP($A158,'Data shares'!$C:$FB,7)</f>
        <v>36055</v>
      </c>
      <c r="C158" s="140">
        <f>VLOOKUP($A158,'Data shares'!$C:$FB,3)</f>
        <v>36085</v>
      </c>
      <c r="D158" s="140">
        <f>VLOOKUP($A158,'Data shares'!$C:$FB,4)</f>
        <v>36495</v>
      </c>
      <c r="E158" s="50">
        <f t="shared" si="6"/>
        <v>-1.1234415673379916</v>
      </c>
      <c r="F158" s="49">
        <f>VLOOKUP($A158,'Data shares'!$C:$FB,98)</f>
        <v>455415</v>
      </c>
      <c r="G158" s="49">
        <f>VLOOKUP($A158,'Data shares'!$C:$FB,99)</f>
        <v>436785</v>
      </c>
      <c r="H158" s="50">
        <f t="shared" si="7"/>
        <v>4.2652563618256121</v>
      </c>
      <c r="I158" s="49">
        <f>VLOOKUP($A158,'Data shares'!$C:$FB,66)</f>
        <v>216180</v>
      </c>
      <c r="J158" s="49">
        <f>VLOOKUP($A158,'Data shares'!$C:$FB,67)</f>
        <v>148770</v>
      </c>
      <c r="K158" s="50">
        <f t="shared" si="8"/>
        <v>31.182348043297253</v>
      </c>
      <c r="L158" s="50">
        <f>VLOOKUP($A158,'Data shares'!$C:$FB,118)</f>
        <v>0.41</v>
      </c>
      <c r="M158" s="50">
        <f>VLOOKUP($A158,'Data shares'!$C:$FB,119)</f>
        <v>0.43</v>
      </c>
      <c r="N158" s="50">
        <f>VLOOKUP($A158,'Data shares'!$C:$FB,121)*100</f>
        <v>-4.6500000000000004</v>
      </c>
      <c r="O158" s="50">
        <f>VLOOKUP($A158,'Data shares'!$C:$FB,124)</f>
        <v>0.24</v>
      </c>
      <c r="P158" s="50">
        <f>VLOOKUP($A158,'Data shares'!$C:$FB,125)</f>
        <v>0.25</v>
      </c>
      <c r="Q158" s="50">
        <f>VLOOKUP($A158,'Data shares'!$C:$FB,127)*100</f>
        <v>-4</v>
      </c>
    </row>
    <row r="159" spans="1:17" x14ac:dyDescent="0.25">
      <c r="A159" s="97" t="str">
        <f>'Data Vlaue (Cr)'!C154</f>
        <v>PATANJALI</v>
      </c>
      <c r="B159" s="140">
        <f>VLOOKUP($A159,'Data shares'!$C:$FB,7)</f>
        <v>543.9</v>
      </c>
      <c r="C159" s="140">
        <f>VLOOKUP($A159,'Data shares'!$C:$FB,3)</f>
        <v>544.6</v>
      </c>
      <c r="D159" s="140">
        <f>VLOOKUP($A159,'Data shares'!$C:$FB,4)</f>
        <v>539.5</v>
      </c>
      <c r="E159" s="50">
        <f t="shared" si="6"/>
        <v>0.94531974050046752</v>
      </c>
      <c r="F159" s="49">
        <f>VLOOKUP($A159,'Data shares'!$C:$FB,98)</f>
        <v>49038300</v>
      </c>
      <c r="G159" s="49">
        <f>VLOOKUP($A159,'Data shares'!$C:$FB,99)</f>
        <v>47429100</v>
      </c>
      <c r="H159" s="50">
        <f t="shared" si="7"/>
        <v>3.3928537543406896</v>
      </c>
      <c r="I159" s="49">
        <f>VLOOKUP($A159,'Data shares'!$C:$FB,66)</f>
        <v>24479100</v>
      </c>
      <c r="J159" s="49">
        <f>VLOOKUP($A159,'Data shares'!$C:$FB,67)</f>
        <v>16521300</v>
      </c>
      <c r="K159" s="50">
        <f t="shared" si="8"/>
        <v>32.508548108386336</v>
      </c>
      <c r="L159" s="50">
        <f>VLOOKUP($A159,'Data shares'!$C:$FB,118)</f>
        <v>0.48</v>
      </c>
      <c r="M159" s="50">
        <f>VLOOKUP($A159,'Data shares'!$C:$FB,119)</f>
        <v>0.45</v>
      </c>
      <c r="N159" s="50">
        <f>VLOOKUP($A159,'Data shares'!$C:$FB,121)*100</f>
        <v>6.67</v>
      </c>
      <c r="O159" s="50">
        <f>VLOOKUP($A159,'Data shares'!$C:$FB,124)</f>
        <v>0.32</v>
      </c>
      <c r="P159" s="50">
        <f>VLOOKUP($A159,'Data shares'!$C:$FB,125)</f>
        <v>0.33</v>
      </c>
      <c r="Q159" s="50">
        <f>VLOOKUP($A159,'Data shares'!$C:$FB,127)*100</f>
        <v>-3.0300000000000002</v>
      </c>
    </row>
    <row r="160" spans="1:17" x14ac:dyDescent="0.25">
      <c r="A160" s="97" t="str">
        <f>'Data Vlaue (Cr)'!C155</f>
        <v>PAYTM</v>
      </c>
      <c r="B160" s="140">
        <f>VLOOKUP($A160,'Data shares'!$C:$FB,7)</f>
        <v>1268.5999999999999</v>
      </c>
      <c r="C160" s="140">
        <f>VLOOKUP($A160,'Data shares'!$C:$FB,3)</f>
        <v>1272.7</v>
      </c>
      <c r="D160" s="140">
        <f>VLOOKUP($A160,'Data shares'!$C:$FB,4)</f>
        <v>1282.0999999999999</v>
      </c>
      <c r="E160" s="50">
        <f t="shared" si="6"/>
        <v>-0.73317213945868998</v>
      </c>
      <c r="F160" s="49">
        <f>VLOOKUP($A160,'Data shares'!$C:$FB,98)</f>
        <v>35577200</v>
      </c>
      <c r="G160" s="49">
        <f>VLOOKUP($A160,'Data shares'!$C:$FB,99)</f>
        <v>34075725</v>
      </c>
      <c r="H160" s="50">
        <f t="shared" si="7"/>
        <v>4.4062892278887684</v>
      </c>
      <c r="I160" s="49">
        <f>VLOOKUP($A160,'Data shares'!$C:$FB,66)</f>
        <v>15566475</v>
      </c>
      <c r="J160" s="49">
        <f>VLOOKUP($A160,'Data shares'!$C:$FB,67)</f>
        <v>17048375</v>
      </c>
      <c r="K160" s="50">
        <f t="shared" si="8"/>
        <v>-9.5198174281589125</v>
      </c>
      <c r="L160" s="50">
        <f>VLOOKUP($A160,'Data shares'!$C:$FB,118)</f>
        <v>0.54</v>
      </c>
      <c r="M160" s="50">
        <f>VLOOKUP($A160,'Data shares'!$C:$FB,119)</f>
        <v>0.59</v>
      </c>
      <c r="N160" s="50">
        <f>VLOOKUP($A160,'Data shares'!$C:$FB,121)*100</f>
        <v>-8.4699999999999989</v>
      </c>
      <c r="O160" s="50">
        <f>VLOOKUP($A160,'Data shares'!$C:$FB,124)</f>
        <v>0.44</v>
      </c>
      <c r="P160" s="50">
        <f>VLOOKUP($A160,'Data shares'!$C:$FB,125)</f>
        <v>0.52</v>
      </c>
      <c r="Q160" s="50">
        <f>VLOOKUP($A160,'Data shares'!$C:$FB,127)*100</f>
        <v>-15.379999999999999</v>
      </c>
    </row>
    <row r="161" spans="1:17" x14ac:dyDescent="0.25">
      <c r="A161" s="97" t="str">
        <f>'Data Vlaue (Cr)'!C156</f>
        <v>PERSISTENT</v>
      </c>
      <c r="B161" s="140">
        <f>VLOOKUP($A161,'Data shares'!$C:$FB,7)</f>
        <v>6282.5</v>
      </c>
      <c r="C161" s="140">
        <f>VLOOKUP($A161,'Data shares'!$C:$FB,3)</f>
        <v>6289</v>
      </c>
      <c r="D161" s="140">
        <f>VLOOKUP($A161,'Data shares'!$C:$FB,4)</f>
        <v>6266.5</v>
      </c>
      <c r="E161" s="50">
        <f t="shared" si="6"/>
        <v>0.35905210244953323</v>
      </c>
      <c r="F161" s="49">
        <f>VLOOKUP($A161,'Data shares'!$C:$FB,98)</f>
        <v>4053400</v>
      </c>
      <c r="G161" s="49">
        <f>VLOOKUP($A161,'Data shares'!$C:$FB,99)</f>
        <v>3934300</v>
      </c>
      <c r="H161" s="50">
        <f t="shared" si="7"/>
        <v>3.0272221233764585</v>
      </c>
      <c r="I161" s="49">
        <f>VLOOKUP($A161,'Data shares'!$C:$FB,66)</f>
        <v>2317100</v>
      </c>
      <c r="J161" s="49">
        <f>VLOOKUP($A161,'Data shares'!$C:$FB,67)</f>
        <v>2388300</v>
      </c>
      <c r="K161" s="50">
        <f t="shared" si="8"/>
        <v>-3.0728065253981267</v>
      </c>
      <c r="L161" s="50">
        <f>VLOOKUP($A161,'Data shares'!$C:$FB,118)</f>
        <v>0.57999999999999996</v>
      </c>
      <c r="M161" s="50">
        <f>VLOOKUP($A161,'Data shares'!$C:$FB,119)</f>
        <v>0.6</v>
      </c>
      <c r="N161" s="50">
        <f>VLOOKUP($A161,'Data shares'!$C:$FB,121)*100</f>
        <v>-3.3300000000000005</v>
      </c>
      <c r="O161" s="50">
        <f>VLOOKUP($A161,'Data shares'!$C:$FB,124)</f>
        <v>0.47</v>
      </c>
      <c r="P161" s="50">
        <f>VLOOKUP($A161,'Data shares'!$C:$FB,125)</f>
        <v>0.73</v>
      </c>
      <c r="Q161" s="50">
        <f>VLOOKUP($A161,'Data shares'!$C:$FB,127)*100</f>
        <v>-35.620000000000005</v>
      </c>
    </row>
    <row r="162" spans="1:17" x14ac:dyDescent="0.25">
      <c r="A162" s="97" t="str">
        <f>'Data Vlaue (Cr)'!C157</f>
        <v>PETRONET</v>
      </c>
      <c r="B162" s="140">
        <f>VLOOKUP($A162,'Data shares'!$C:$FB,7)</f>
        <v>268.64999999999998</v>
      </c>
      <c r="C162" s="140">
        <f>VLOOKUP($A162,'Data shares'!$C:$FB,3)</f>
        <v>269.45</v>
      </c>
      <c r="D162" s="140">
        <f>VLOOKUP($A162,'Data shares'!$C:$FB,4)</f>
        <v>265.39999999999998</v>
      </c>
      <c r="E162" s="50">
        <f t="shared" si="6"/>
        <v>1.5259984928409991</v>
      </c>
      <c r="F162" s="49">
        <f>VLOOKUP($A162,'Data shares'!$C:$FB,98)</f>
        <v>81948200</v>
      </c>
      <c r="G162" s="49">
        <f>VLOOKUP($A162,'Data shares'!$C:$FB,99)</f>
        <v>82902000</v>
      </c>
      <c r="H162" s="50">
        <f t="shared" si="7"/>
        <v>-1.1505150659815202</v>
      </c>
      <c r="I162" s="49">
        <f>VLOOKUP($A162,'Data shares'!$C:$FB,66)</f>
        <v>13039200</v>
      </c>
      <c r="J162" s="49">
        <f>VLOOKUP($A162,'Data shares'!$C:$FB,67)</f>
        <v>16588800</v>
      </c>
      <c r="K162" s="50">
        <f t="shared" si="8"/>
        <v>-27.222528989508561</v>
      </c>
      <c r="L162" s="50">
        <f>VLOOKUP($A162,'Data shares'!$C:$FB,118)</f>
        <v>1.01</v>
      </c>
      <c r="M162" s="50">
        <f>VLOOKUP($A162,'Data shares'!$C:$FB,119)</f>
        <v>0.99</v>
      </c>
      <c r="N162" s="50">
        <f>VLOOKUP($A162,'Data shares'!$C:$FB,121)*100</f>
        <v>2.02</v>
      </c>
      <c r="O162" s="50">
        <f>VLOOKUP($A162,'Data shares'!$C:$FB,124)</f>
        <v>0.7</v>
      </c>
      <c r="P162" s="50">
        <f>VLOOKUP($A162,'Data shares'!$C:$FB,125)</f>
        <v>0.65</v>
      </c>
      <c r="Q162" s="50">
        <f>VLOOKUP($A162,'Data shares'!$C:$FB,127)*100</f>
        <v>7.6899999999999995</v>
      </c>
    </row>
    <row r="163" spans="1:17" x14ac:dyDescent="0.25">
      <c r="A163" s="97" t="str">
        <f>'Data Vlaue (Cr)'!C158</f>
        <v>PFC</v>
      </c>
      <c r="B163" s="140">
        <f>VLOOKUP($A163,'Data shares'!$C:$FB,7)</f>
        <v>335.65</v>
      </c>
      <c r="C163" s="140">
        <f>VLOOKUP($A163,'Data shares'!$C:$FB,3)</f>
        <v>336.75</v>
      </c>
      <c r="D163" s="140">
        <f>VLOOKUP($A163,'Data shares'!$C:$FB,4)</f>
        <v>337.15</v>
      </c>
      <c r="E163" s="50">
        <f t="shared" si="6"/>
        <v>-0.11864155420435335</v>
      </c>
      <c r="F163" s="49">
        <f>VLOOKUP($A163,'Data shares'!$C:$FB,98)</f>
        <v>165958000</v>
      </c>
      <c r="G163" s="49">
        <f>VLOOKUP($A163,'Data shares'!$C:$FB,99)</f>
        <v>167108500</v>
      </c>
      <c r="H163" s="50">
        <f t="shared" si="7"/>
        <v>-0.6884748531642616</v>
      </c>
      <c r="I163" s="49">
        <f>VLOOKUP($A163,'Data shares'!$C:$FB,66)</f>
        <v>41528500</v>
      </c>
      <c r="J163" s="49">
        <f>VLOOKUP($A163,'Data shares'!$C:$FB,67)</f>
        <v>47490300</v>
      </c>
      <c r="K163" s="50">
        <f t="shared" si="8"/>
        <v>-14.355924244795743</v>
      </c>
      <c r="L163" s="50">
        <f>VLOOKUP($A163,'Data shares'!$C:$FB,118)</f>
        <v>0.59</v>
      </c>
      <c r="M163" s="50">
        <f>VLOOKUP($A163,'Data shares'!$C:$FB,119)</f>
        <v>0.56000000000000005</v>
      </c>
      <c r="N163" s="50">
        <f>VLOOKUP($A163,'Data shares'!$C:$FB,121)*100</f>
        <v>5.36</v>
      </c>
      <c r="O163" s="50">
        <f>VLOOKUP($A163,'Data shares'!$C:$FB,124)</f>
        <v>0.38</v>
      </c>
      <c r="P163" s="50">
        <f>VLOOKUP($A163,'Data shares'!$C:$FB,125)</f>
        <v>0.36</v>
      </c>
      <c r="Q163" s="50">
        <f>VLOOKUP($A163,'Data shares'!$C:$FB,127)*100</f>
        <v>5.56</v>
      </c>
    </row>
    <row r="164" spans="1:17" x14ac:dyDescent="0.25">
      <c r="A164" s="97" t="str">
        <f>'Data Vlaue (Cr)'!C159</f>
        <v>PGEL</v>
      </c>
      <c r="B164" s="140">
        <f>VLOOKUP($A164,'Data shares'!$C:$FB,7)</f>
        <v>563.75</v>
      </c>
      <c r="C164" s="140">
        <f>VLOOKUP($A164,'Data shares'!$C:$FB,3)</f>
        <v>563.65</v>
      </c>
      <c r="D164" s="140">
        <f>VLOOKUP($A164,'Data shares'!$C:$FB,4)</f>
        <v>570.54999999999995</v>
      </c>
      <c r="E164" s="50">
        <f t="shared" si="6"/>
        <v>-1.2093593900622168</v>
      </c>
      <c r="F164" s="49">
        <f>VLOOKUP($A164,'Data shares'!$C:$FB,98)</f>
        <v>24563650</v>
      </c>
      <c r="G164" s="49">
        <f>VLOOKUP($A164,'Data shares'!$C:$FB,99)</f>
        <v>24331000</v>
      </c>
      <c r="H164" s="50">
        <f t="shared" si="7"/>
        <v>0.95618757963092349</v>
      </c>
      <c r="I164" s="49">
        <f>VLOOKUP($A164,'Data shares'!$C:$FB,66)</f>
        <v>11981200</v>
      </c>
      <c r="J164" s="49">
        <f>VLOOKUP($A164,'Data shares'!$C:$FB,67)</f>
        <v>17891300</v>
      </c>
      <c r="K164" s="50">
        <f t="shared" si="8"/>
        <v>-49.328114045337692</v>
      </c>
      <c r="L164" s="50">
        <f>VLOOKUP($A164,'Data shares'!$C:$FB,118)</f>
        <v>0.63</v>
      </c>
      <c r="M164" s="50">
        <f>VLOOKUP($A164,'Data shares'!$C:$FB,119)</f>
        <v>0.64</v>
      </c>
      <c r="N164" s="50">
        <f>VLOOKUP($A164,'Data shares'!$C:$FB,121)*100</f>
        <v>-1.5599999999999998</v>
      </c>
      <c r="O164" s="50">
        <f>VLOOKUP($A164,'Data shares'!$C:$FB,124)</f>
        <v>0.41</v>
      </c>
      <c r="P164" s="50">
        <f>VLOOKUP($A164,'Data shares'!$C:$FB,125)</f>
        <v>0.37</v>
      </c>
      <c r="Q164" s="50">
        <f>VLOOKUP($A164,'Data shares'!$C:$FB,127)*100</f>
        <v>10.81</v>
      </c>
    </row>
    <row r="165" spans="1:17" x14ac:dyDescent="0.25">
      <c r="A165" s="97" t="str">
        <f>'Data Vlaue (Cr)'!C160</f>
        <v>PHOENIXLTD</v>
      </c>
      <c r="B165" s="140">
        <f>VLOOKUP($A165,'Data shares'!$C:$FB,7)</f>
        <v>1781.5</v>
      </c>
      <c r="C165" s="140">
        <f>VLOOKUP($A165,'Data shares'!$C:$FB,3)</f>
        <v>1782.5</v>
      </c>
      <c r="D165" s="140">
        <f>VLOOKUP($A165,'Data shares'!$C:$FB,4)</f>
        <v>1782.8</v>
      </c>
      <c r="E165" s="50">
        <f t="shared" si="6"/>
        <v>-1.6827462418664712E-2</v>
      </c>
      <c r="F165" s="49">
        <f>VLOOKUP($A165,'Data shares'!$C:$FB,98)</f>
        <v>5355000</v>
      </c>
      <c r="G165" s="49">
        <f>VLOOKUP($A165,'Data shares'!$C:$FB,99)</f>
        <v>5286050</v>
      </c>
      <c r="H165" s="50">
        <f t="shared" si="7"/>
        <v>1.3043766139177646</v>
      </c>
      <c r="I165" s="49">
        <f>VLOOKUP($A165,'Data shares'!$C:$FB,66)</f>
        <v>1239350</v>
      </c>
      <c r="J165" s="49">
        <f>VLOOKUP($A165,'Data shares'!$C:$FB,67)</f>
        <v>1475250</v>
      </c>
      <c r="K165" s="50">
        <f t="shared" si="8"/>
        <v>-19.034171138096585</v>
      </c>
      <c r="L165" s="50">
        <f>VLOOKUP($A165,'Data shares'!$C:$FB,118)</f>
        <v>0.51</v>
      </c>
      <c r="M165" s="50">
        <f>VLOOKUP($A165,'Data shares'!$C:$FB,119)</f>
        <v>0.51</v>
      </c>
      <c r="N165" s="50">
        <f>VLOOKUP($A165,'Data shares'!$C:$FB,121)*100</f>
        <v>0</v>
      </c>
      <c r="O165" s="50">
        <f>VLOOKUP($A165,'Data shares'!$C:$FB,124)</f>
        <v>0.42</v>
      </c>
      <c r="P165" s="50">
        <f>VLOOKUP($A165,'Data shares'!$C:$FB,125)</f>
        <v>0.47</v>
      </c>
      <c r="Q165" s="50">
        <f>VLOOKUP($A165,'Data shares'!$C:$FB,127)*100</f>
        <v>-10.639999999999999</v>
      </c>
    </row>
    <row r="166" spans="1:17" x14ac:dyDescent="0.25">
      <c r="A166" s="97" t="str">
        <f>'Data Vlaue (Cr)'!C161</f>
        <v>PIDILITIND</v>
      </c>
      <c r="B166" s="140">
        <f>VLOOKUP($A166,'Data shares'!$C:$FB,7)</f>
        <v>1450.7</v>
      </c>
      <c r="C166" s="140">
        <f>VLOOKUP($A166,'Data shares'!$C:$FB,3)</f>
        <v>1452.6</v>
      </c>
      <c r="D166" s="140">
        <f>VLOOKUP($A166,'Data shares'!$C:$FB,4)</f>
        <v>1473.8</v>
      </c>
      <c r="E166" s="50">
        <f t="shared" si="6"/>
        <v>-1.4384584068394657</v>
      </c>
      <c r="F166" s="49">
        <f>VLOOKUP($A166,'Data shares'!$C:$FB,98)</f>
        <v>9684000</v>
      </c>
      <c r="G166" s="49">
        <f>VLOOKUP($A166,'Data shares'!$C:$FB,99)</f>
        <v>9452500</v>
      </c>
      <c r="H166" s="50">
        <f t="shared" si="7"/>
        <v>2.4490875429780479</v>
      </c>
      <c r="I166" s="49">
        <f>VLOOKUP($A166,'Data shares'!$C:$FB,66)</f>
        <v>3561500</v>
      </c>
      <c r="J166" s="49">
        <f>VLOOKUP($A166,'Data shares'!$C:$FB,67)</f>
        <v>3154000</v>
      </c>
      <c r="K166" s="50">
        <f t="shared" si="8"/>
        <v>11.4418082268707</v>
      </c>
      <c r="L166" s="50">
        <f>VLOOKUP($A166,'Data shares'!$C:$FB,118)</f>
        <v>0.74</v>
      </c>
      <c r="M166" s="50">
        <f>VLOOKUP($A166,'Data shares'!$C:$FB,119)</f>
        <v>0.79</v>
      </c>
      <c r="N166" s="50">
        <f>VLOOKUP($A166,'Data shares'!$C:$FB,121)*100</f>
        <v>-6.3299999999999992</v>
      </c>
      <c r="O166" s="50">
        <f>VLOOKUP($A166,'Data shares'!$C:$FB,124)</f>
        <v>0.75</v>
      </c>
      <c r="P166" s="50">
        <f>VLOOKUP($A166,'Data shares'!$C:$FB,125)</f>
        <v>0.35</v>
      </c>
      <c r="Q166" s="50">
        <f>VLOOKUP($A166,'Data shares'!$C:$FB,127)*100</f>
        <v>114.29</v>
      </c>
    </row>
    <row r="167" spans="1:17" x14ac:dyDescent="0.25">
      <c r="A167" s="97" t="str">
        <f>'Data Vlaue (Cr)'!C162</f>
        <v>PIIND</v>
      </c>
      <c r="B167" s="140">
        <f>VLOOKUP($A167,'Data shares'!$C:$FB,7)</f>
        <v>3206.2</v>
      </c>
      <c r="C167" s="140">
        <f>VLOOKUP($A167,'Data shares'!$C:$FB,3)</f>
        <v>3216.6</v>
      </c>
      <c r="D167" s="140">
        <f>VLOOKUP($A167,'Data shares'!$C:$FB,4)</f>
        <v>3270</v>
      </c>
      <c r="E167" s="50">
        <f t="shared" si="6"/>
        <v>-1.6330275229357827</v>
      </c>
      <c r="F167" s="49">
        <f>VLOOKUP($A167,'Data shares'!$C:$FB,98)</f>
        <v>4482800</v>
      </c>
      <c r="G167" s="49">
        <f>VLOOKUP($A167,'Data shares'!$C:$FB,99)</f>
        <v>4473350</v>
      </c>
      <c r="H167" s="50">
        <f t="shared" si="7"/>
        <v>0.21125107581566388</v>
      </c>
      <c r="I167" s="49">
        <f>VLOOKUP($A167,'Data shares'!$C:$FB,66)</f>
        <v>1778350</v>
      </c>
      <c r="J167" s="49">
        <f>VLOOKUP($A167,'Data shares'!$C:$FB,67)</f>
        <v>1800575</v>
      </c>
      <c r="K167" s="50">
        <f t="shared" si="8"/>
        <v>-1.2497539854359379</v>
      </c>
      <c r="L167" s="50">
        <f>VLOOKUP($A167,'Data shares'!$C:$FB,118)</f>
        <v>0.63</v>
      </c>
      <c r="M167" s="50">
        <f>VLOOKUP($A167,'Data shares'!$C:$FB,119)</f>
        <v>0.66</v>
      </c>
      <c r="N167" s="50">
        <f>VLOOKUP($A167,'Data shares'!$C:$FB,121)*100</f>
        <v>-4.55</v>
      </c>
      <c r="O167" s="50">
        <f>VLOOKUP($A167,'Data shares'!$C:$FB,124)</f>
        <v>0.66</v>
      </c>
      <c r="P167" s="50">
        <f>VLOOKUP($A167,'Data shares'!$C:$FB,125)</f>
        <v>0.5</v>
      </c>
      <c r="Q167" s="50">
        <f>VLOOKUP($A167,'Data shares'!$C:$FB,127)*100</f>
        <v>32</v>
      </c>
    </row>
    <row r="168" spans="1:17" x14ac:dyDescent="0.25">
      <c r="A168" s="97" t="str">
        <f>'Data Vlaue (Cr)'!C163</f>
        <v>PNB</v>
      </c>
      <c r="B168" s="140">
        <f>VLOOKUP($A168,'Data shares'!$C:$FB,7)</f>
        <v>119.33</v>
      </c>
      <c r="C168" s="140">
        <f>VLOOKUP($A168,'Data shares'!$C:$FB,3)</f>
        <v>119.75</v>
      </c>
      <c r="D168" s="140">
        <f>VLOOKUP($A168,'Data shares'!$C:$FB,4)</f>
        <v>117.4</v>
      </c>
      <c r="E168" s="50">
        <f t="shared" si="6"/>
        <v>2.0017035775127718</v>
      </c>
      <c r="F168" s="49">
        <f>VLOOKUP($A168,'Data shares'!$C:$FB,98)</f>
        <v>529536000</v>
      </c>
      <c r="G168" s="49">
        <f>VLOOKUP($A168,'Data shares'!$C:$FB,99)</f>
        <v>533872000</v>
      </c>
      <c r="H168" s="50">
        <f t="shared" si="7"/>
        <v>-0.81217969850451055</v>
      </c>
      <c r="I168" s="49">
        <f>VLOOKUP($A168,'Data shares'!$C:$FB,66)</f>
        <v>337376000</v>
      </c>
      <c r="J168" s="49">
        <f>VLOOKUP($A168,'Data shares'!$C:$FB,67)</f>
        <v>161288000</v>
      </c>
      <c r="K168" s="50">
        <f t="shared" si="8"/>
        <v>52.193398463435457</v>
      </c>
      <c r="L168" s="50">
        <f>VLOOKUP($A168,'Data shares'!$C:$FB,118)</f>
        <v>0.55000000000000004</v>
      </c>
      <c r="M168" s="50">
        <f>VLOOKUP($A168,'Data shares'!$C:$FB,119)</f>
        <v>0.52</v>
      </c>
      <c r="N168" s="50">
        <f>VLOOKUP($A168,'Data shares'!$C:$FB,121)*100</f>
        <v>5.7700000000000005</v>
      </c>
      <c r="O168" s="50">
        <f>VLOOKUP($A168,'Data shares'!$C:$FB,124)</f>
        <v>0.42</v>
      </c>
      <c r="P168" s="50">
        <f>VLOOKUP($A168,'Data shares'!$C:$FB,125)</f>
        <v>0.51</v>
      </c>
      <c r="Q168" s="50">
        <f>VLOOKUP($A168,'Data shares'!$C:$FB,127)*100</f>
        <v>-17.649999999999999</v>
      </c>
    </row>
    <row r="169" spans="1:17" x14ac:dyDescent="0.25">
      <c r="A169" s="97" t="str">
        <f>'Data Vlaue (Cr)'!C164</f>
        <v>PNBHOUSING</v>
      </c>
      <c r="B169" s="140">
        <f>VLOOKUP($A169,'Data shares'!$C:$FB,7)</f>
        <v>894.85</v>
      </c>
      <c r="C169" s="140">
        <f>VLOOKUP($A169,'Data shares'!$C:$FB,3)</f>
        <v>897.8</v>
      </c>
      <c r="D169" s="140">
        <f>VLOOKUP($A169,'Data shares'!$C:$FB,4)</f>
        <v>913.5</v>
      </c>
      <c r="E169" s="50">
        <f t="shared" si="6"/>
        <v>-1.7186644772851718</v>
      </c>
      <c r="F169" s="49">
        <f>VLOOKUP($A169,'Data shares'!$C:$FB,98)</f>
        <v>28679950</v>
      </c>
      <c r="G169" s="49">
        <f>VLOOKUP($A169,'Data shares'!$C:$FB,99)</f>
        <v>29071250</v>
      </c>
      <c r="H169" s="50">
        <f t="shared" si="7"/>
        <v>-1.3460033538289549</v>
      </c>
      <c r="I169" s="49">
        <f>VLOOKUP($A169,'Data shares'!$C:$FB,66)</f>
        <v>10686650</v>
      </c>
      <c r="J169" s="49">
        <f>VLOOKUP($A169,'Data shares'!$C:$FB,67)</f>
        <v>7270250</v>
      </c>
      <c r="K169" s="50">
        <f t="shared" si="8"/>
        <v>31.968858341950003</v>
      </c>
      <c r="L169" s="50">
        <f>VLOOKUP($A169,'Data shares'!$C:$FB,118)</f>
        <v>0.62</v>
      </c>
      <c r="M169" s="50">
        <f>VLOOKUP($A169,'Data shares'!$C:$FB,119)</f>
        <v>0.61</v>
      </c>
      <c r="N169" s="50">
        <f>VLOOKUP($A169,'Data shares'!$C:$FB,121)*100</f>
        <v>1.6400000000000001</v>
      </c>
      <c r="O169" s="50">
        <f>VLOOKUP($A169,'Data shares'!$C:$FB,124)</f>
        <v>0.49</v>
      </c>
      <c r="P169" s="50">
        <f>VLOOKUP($A169,'Data shares'!$C:$FB,125)</f>
        <v>0.52</v>
      </c>
      <c r="Q169" s="50">
        <f>VLOOKUP($A169,'Data shares'!$C:$FB,127)*100</f>
        <v>-5.7700000000000005</v>
      </c>
    </row>
    <row r="170" spans="1:17" x14ac:dyDescent="0.25">
      <c r="A170" s="97" t="str">
        <f>'Data Vlaue (Cr)'!C165</f>
        <v>POLICYBZR</v>
      </c>
      <c r="B170" s="140">
        <f>VLOOKUP($A170,'Data shares'!$C:$FB,7)</f>
        <v>1765</v>
      </c>
      <c r="C170" s="140">
        <f>VLOOKUP($A170,'Data shares'!$C:$FB,3)</f>
        <v>1770.4</v>
      </c>
      <c r="D170" s="140">
        <f>VLOOKUP($A170,'Data shares'!$C:$FB,4)</f>
        <v>1823.3</v>
      </c>
      <c r="E170" s="50">
        <f t="shared" si="6"/>
        <v>-2.9013327483134903</v>
      </c>
      <c r="F170" s="49">
        <f>VLOOKUP($A170,'Data shares'!$C:$FB,98)</f>
        <v>12266800</v>
      </c>
      <c r="G170" s="49">
        <f>VLOOKUP($A170,'Data shares'!$C:$FB,99)</f>
        <v>12281850</v>
      </c>
      <c r="H170" s="50">
        <f t="shared" si="7"/>
        <v>-0.12253854264626257</v>
      </c>
      <c r="I170" s="49">
        <f>VLOOKUP($A170,'Data shares'!$C:$FB,66)</f>
        <v>24197250</v>
      </c>
      <c r="J170" s="49">
        <f>VLOOKUP($A170,'Data shares'!$C:$FB,67)</f>
        <v>36171800</v>
      </c>
      <c r="K170" s="50">
        <f t="shared" si="8"/>
        <v>-49.487235119693352</v>
      </c>
      <c r="L170" s="50">
        <f>VLOOKUP($A170,'Data shares'!$C:$FB,118)</f>
        <v>0.62</v>
      </c>
      <c r="M170" s="50">
        <f>VLOOKUP($A170,'Data shares'!$C:$FB,119)</f>
        <v>0.72</v>
      </c>
      <c r="N170" s="50">
        <f>VLOOKUP($A170,'Data shares'!$C:$FB,121)*100</f>
        <v>-13.889999999999999</v>
      </c>
      <c r="O170" s="50">
        <f>VLOOKUP($A170,'Data shares'!$C:$FB,124)</f>
        <v>1.1100000000000001</v>
      </c>
      <c r="P170" s="50">
        <f>VLOOKUP($A170,'Data shares'!$C:$FB,125)</f>
        <v>1.34</v>
      </c>
      <c r="Q170" s="50">
        <f>VLOOKUP($A170,'Data shares'!$C:$FB,127)*100</f>
        <v>-17.16</v>
      </c>
    </row>
    <row r="171" spans="1:17" x14ac:dyDescent="0.25">
      <c r="A171" s="97" t="str">
        <f>'Data Vlaue (Cr)'!C166</f>
        <v>POLYCAB</v>
      </c>
      <c r="B171" s="140">
        <f>VLOOKUP($A171,'Data shares'!$C:$FB,7)</f>
        <v>7079.5</v>
      </c>
      <c r="C171" s="140">
        <f>VLOOKUP($A171,'Data shares'!$C:$FB,3)</f>
        <v>7103</v>
      </c>
      <c r="D171" s="140">
        <f>VLOOKUP($A171,'Data shares'!$C:$FB,4)</f>
        <v>7367</v>
      </c>
      <c r="E171" s="50">
        <f t="shared" si="6"/>
        <v>-3.5835482557350349</v>
      </c>
      <c r="F171" s="49">
        <f>VLOOKUP($A171,'Data shares'!$C:$FB,98)</f>
        <v>4015750</v>
      </c>
      <c r="G171" s="49">
        <f>VLOOKUP($A171,'Data shares'!$C:$FB,99)</f>
        <v>3184375</v>
      </c>
      <c r="H171" s="50">
        <f t="shared" si="7"/>
        <v>26.107948969578015</v>
      </c>
      <c r="I171" s="49">
        <f>VLOOKUP($A171,'Data shares'!$C:$FB,66)</f>
        <v>11192750</v>
      </c>
      <c r="J171" s="49">
        <f>VLOOKUP($A171,'Data shares'!$C:$FB,67)</f>
        <v>1600375</v>
      </c>
      <c r="K171" s="50">
        <f t="shared" si="8"/>
        <v>85.701681892296349</v>
      </c>
      <c r="L171" s="50">
        <f>VLOOKUP($A171,'Data shares'!$C:$FB,118)</f>
        <v>0.66</v>
      </c>
      <c r="M171" s="50">
        <f>VLOOKUP($A171,'Data shares'!$C:$FB,119)</f>
        <v>0.67</v>
      </c>
      <c r="N171" s="50">
        <f>VLOOKUP($A171,'Data shares'!$C:$FB,121)*100</f>
        <v>-1.49</v>
      </c>
      <c r="O171" s="50">
        <f>VLOOKUP($A171,'Data shares'!$C:$FB,124)</f>
        <v>1.21</v>
      </c>
      <c r="P171" s="50">
        <f>VLOOKUP($A171,'Data shares'!$C:$FB,125)</f>
        <v>0.44</v>
      </c>
      <c r="Q171" s="50">
        <f>VLOOKUP($A171,'Data shares'!$C:$FB,127)*100</f>
        <v>175</v>
      </c>
    </row>
    <row r="172" spans="1:17" x14ac:dyDescent="0.25">
      <c r="A172" s="97" t="str">
        <f>'Data Vlaue (Cr)'!C167</f>
        <v>POWERGRID</v>
      </c>
      <c r="B172" s="140">
        <f>VLOOKUP($A172,'Data shares'!$C:$FB,7)</f>
        <v>261.10000000000002</v>
      </c>
      <c r="C172" s="140">
        <f>VLOOKUP($A172,'Data shares'!$C:$FB,3)</f>
        <v>261.89999999999998</v>
      </c>
      <c r="D172" s="140">
        <f>VLOOKUP($A172,'Data shares'!$C:$FB,4)</f>
        <v>261.39999999999998</v>
      </c>
      <c r="E172" s="50">
        <f t="shared" si="6"/>
        <v>0.1912777352716144</v>
      </c>
      <c r="F172" s="49">
        <f>VLOOKUP($A172,'Data shares'!$C:$FB,98)</f>
        <v>138684800</v>
      </c>
      <c r="G172" s="49">
        <f>VLOOKUP($A172,'Data shares'!$C:$FB,99)</f>
        <v>137742400</v>
      </c>
      <c r="H172" s="50">
        <f t="shared" si="7"/>
        <v>0.68417567865813289</v>
      </c>
      <c r="I172" s="49">
        <f>VLOOKUP($A172,'Data shares'!$C:$FB,66)</f>
        <v>28842000</v>
      </c>
      <c r="J172" s="49">
        <f>VLOOKUP($A172,'Data shares'!$C:$FB,67)</f>
        <v>31722400</v>
      </c>
      <c r="K172" s="50">
        <f t="shared" si="8"/>
        <v>-9.9868247694334649</v>
      </c>
      <c r="L172" s="50">
        <f>VLOOKUP($A172,'Data shares'!$C:$FB,118)</f>
        <v>0.61</v>
      </c>
      <c r="M172" s="50">
        <f>VLOOKUP($A172,'Data shares'!$C:$FB,119)</f>
        <v>0.6</v>
      </c>
      <c r="N172" s="50">
        <f>VLOOKUP($A172,'Data shares'!$C:$FB,121)*100</f>
        <v>1.67</v>
      </c>
      <c r="O172" s="50">
        <f>VLOOKUP($A172,'Data shares'!$C:$FB,124)</f>
        <v>0.35</v>
      </c>
      <c r="P172" s="50">
        <f>VLOOKUP($A172,'Data shares'!$C:$FB,125)</f>
        <v>0.3</v>
      </c>
      <c r="Q172" s="50">
        <f>VLOOKUP($A172,'Data shares'!$C:$FB,127)*100</f>
        <v>16.669999999999998</v>
      </c>
    </row>
    <row r="173" spans="1:17" x14ac:dyDescent="0.25">
      <c r="A173" s="97" t="str">
        <f>'Data Vlaue (Cr)'!C168</f>
        <v>POWERINDIA</v>
      </c>
      <c r="B173" s="140">
        <f>VLOOKUP($A173,'Data shares'!$C:$FB,7)</f>
        <v>19150</v>
      </c>
      <c r="C173" s="140">
        <f>VLOOKUP($A173,'Data shares'!$C:$FB,3)</f>
        <v>19215</v>
      </c>
      <c r="D173" s="140">
        <f>VLOOKUP($A173,'Data shares'!$C:$FB,4)</f>
        <v>19340</v>
      </c>
      <c r="E173" s="50">
        <f t="shared" ref="E173:E182" si="9">(C173-D173)/D173*100</f>
        <v>-0.64632885211995861</v>
      </c>
      <c r="F173" s="49">
        <f>VLOOKUP($A173,'Data shares'!$C:$FB,98)</f>
        <v>988750</v>
      </c>
      <c r="G173" s="49">
        <f>VLOOKUP($A173,'Data shares'!$C:$FB,99)</f>
        <v>1035400</v>
      </c>
      <c r="H173" s="50">
        <f t="shared" ref="H173:H182" si="10">(F173-G173)/G173*100</f>
        <v>-4.5055051187946686</v>
      </c>
      <c r="I173" s="49">
        <f>VLOOKUP($A173,'Data shares'!$C:$FB,66)</f>
        <v>613200</v>
      </c>
      <c r="J173" s="49">
        <f>VLOOKUP($A173,'Data shares'!$C:$FB,67)</f>
        <v>358500</v>
      </c>
      <c r="K173" s="50">
        <f t="shared" ref="K173:K182" si="11">(I173-J173)/I173*100</f>
        <v>41.536203522504891</v>
      </c>
      <c r="L173" s="50">
        <f>VLOOKUP($A173,'Data shares'!$C:$FB,118)</f>
        <v>0.38</v>
      </c>
      <c r="M173" s="50">
        <f>VLOOKUP($A173,'Data shares'!$C:$FB,119)</f>
        <v>0.37</v>
      </c>
      <c r="N173" s="50">
        <f>VLOOKUP($A173,'Data shares'!$C:$FB,121)*100</f>
        <v>2.7</v>
      </c>
      <c r="O173" s="50">
        <f>VLOOKUP($A173,'Data shares'!$C:$FB,124)</f>
        <v>0.28000000000000003</v>
      </c>
      <c r="P173" s="50">
        <f>VLOOKUP($A173,'Data shares'!$C:$FB,125)</f>
        <v>0.37</v>
      </c>
      <c r="Q173" s="50">
        <f>VLOOKUP($A173,'Data shares'!$C:$FB,127)*100</f>
        <v>-24.32</v>
      </c>
    </row>
    <row r="174" spans="1:17" x14ac:dyDescent="0.25">
      <c r="A174" s="97" t="str">
        <f>'Data Vlaue (Cr)'!C169</f>
        <v>PPLPHARMA</v>
      </c>
      <c r="B174" s="140">
        <f>VLOOKUP($A174,'Data shares'!$C:$FB,7)</f>
        <v>167.9</v>
      </c>
      <c r="C174" s="140">
        <f>VLOOKUP($A174,'Data shares'!$C:$FB,3)</f>
        <v>168.2</v>
      </c>
      <c r="D174" s="140">
        <f>VLOOKUP($A174,'Data shares'!$C:$FB,4)</f>
        <v>168.86</v>
      </c>
      <c r="E174" s="50">
        <f t="shared" si="9"/>
        <v>-0.39085633068815884</v>
      </c>
      <c r="F174" s="49">
        <f>VLOOKUP($A174,'Data shares'!$C:$FB,98)</f>
        <v>54202875</v>
      </c>
      <c r="G174" s="49">
        <f>VLOOKUP($A174,'Data shares'!$C:$FB,99)</f>
        <v>54258875</v>
      </c>
      <c r="H174" s="50">
        <f t="shared" si="10"/>
        <v>-0.1032089220427073</v>
      </c>
      <c r="I174" s="49">
        <f>VLOOKUP($A174,'Data shares'!$C:$FB,66)</f>
        <v>15385000</v>
      </c>
      <c r="J174" s="49">
        <f>VLOOKUP($A174,'Data shares'!$C:$FB,67)</f>
        <v>21690000</v>
      </c>
      <c r="K174" s="50">
        <f t="shared" si="11"/>
        <v>-40.981475463113419</v>
      </c>
      <c r="L174" s="50">
        <f>VLOOKUP($A174,'Data shares'!$C:$FB,118)</f>
        <v>0.43</v>
      </c>
      <c r="M174" s="50">
        <f>VLOOKUP($A174,'Data shares'!$C:$FB,119)</f>
        <v>0.4</v>
      </c>
      <c r="N174" s="50">
        <f>VLOOKUP($A174,'Data shares'!$C:$FB,121)*100</f>
        <v>7.5</v>
      </c>
      <c r="O174" s="50">
        <f>VLOOKUP($A174,'Data shares'!$C:$FB,124)</f>
        <v>0.4</v>
      </c>
      <c r="P174" s="50">
        <f>VLOOKUP($A174,'Data shares'!$C:$FB,125)</f>
        <v>0.37</v>
      </c>
      <c r="Q174" s="50">
        <f>VLOOKUP($A174,'Data shares'!$C:$FB,127)*100</f>
        <v>8.1100000000000012</v>
      </c>
    </row>
    <row r="175" spans="1:17" x14ac:dyDescent="0.25">
      <c r="A175" s="97" t="str">
        <f>'Data Vlaue (Cr)'!C170</f>
        <v>PRESTIGE</v>
      </c>
      <c r="B175" s="140">
        <f>VLOOKUP($A175,'Data shares'!$C:$FB,7)</f>
        <v>1607.4</v>
      </c>
      <c r="C175" s="140">
        <f>VLOOKUP($A175,'Data shares'!$C:$FB,3)</f>
        <v>1613.2</v>
      </c>
      <c r="D175" s="140">
        <f>VLOOKUP($A175,'Data shares'!$C:$FB,4)</f>
        <v>1628</v>
      </c>
      <c r="E175" s="50">
        <f t="shared" si="9"/>
        <v>-0.90909090909090629</v>
      </c>
      <c r="F175" s="49">
        <f>VLOOKUP($A175,'Data shares'!$C:$FB,98)</f>
        <v>7461000</v>
      </c>
      <c r="G175" s="49">
        <f>VLOOKUP($A175,'Data shares'!$C:$FB,99)</f>
        <v>7362000</v>
      </c>
      <c r="H175" s="50">
        <f t="shared" si="10"/>
        <v>1.3447432762836184</v>
      </c>
      <c r="I175" s="49">
        <f>VLOOKUP($A175,'Data shares'!$C:$FB,66)</f>
        <v>1768050</v>
      </c>
      <c r="J175" s="49">
        <f>VLOOKUP($A175,'Data shares'!$C:$FB,67)</f>
        <v>2962800</v>
      </c>
      <c r="K175" s="50">
        <f t="shared" si="11"/>
        <v>-67.574446424026462</v>
      </c>
      <c r="L175" s="50">
        <f>VLOOKUP($A175,'Data shares'!$C:$FB,118)</f>
        <v>0.65</v>
      </c>
      <c r="M175" s="50">
        <f>VLOOKUP($A175,'Data shares'!$C:$FB,119)</f>
        <v>0.67</v>
      </c>
      <c r="N175" s="50">
        <f>VLOOKUP($A175,'Data shares'!$C:$FB,121)*100</f>
        <v>-2.9899999999999998</v>
      </c>
      <c r="O175" s="50">
        <f>VLOOKUP($A175,'Data shares'!$C:$FB,124)</f>
        <v>0.51</v>
      </c>
      <c r="P175" s="50">
        <f>VLOOKUP($A175,'Data shares'!$C:$FB,125)</f>
        <v>0.53</v>
      </c>
      <c r="Q175" s="50">
        <f>VLOOKUP($A175,'Data shares'!$C:$FB,127)*100</f>
        <v>-3.7699999999999996</v>
      </c>
    </row>
    <row r="176" spans="1:17" x14ac:dyDescent="0.25">
      <c r="A176" s="97" t="str">
        <f>'Data Vlaue (Cr)'!C171</f>
        <v>RBLBANK</v>
      </c>
      <c r="B176" s="140">
        <f>VLOOKUP($A176,'Data shares'!$C:$FB,7)</f>
        <v>296.95</v>
      </c>
      <c r="C176" s="140">
        <f>VLOOKUP($A176,'Data shares'!$C:$FB,3)</f>
        <v>298</v>
      </c>
      <c r="D176" s="140">
        <f>VLOOKUP($A176,'Data shares'!$C:$FB,4)</f>
        <v>301.75</v>
      </c>
      <c r="E176" s="50">
        <f t="shared" si="9"/>
        <v>-1.2427506213753108</v>
      </c>
      <c r="F176" s="49">
        <f>VLOOKUP($A176,'Data shares'!$C:$FB,98)</f>
        <v>122097800</v>
      </c>
      <c r="G176" s="49">
        <f>VLOOKUP($A176,'Data shares'!$C:$FB,99)</f>
        <v>116582825</v>
      </c>
      <c r="H176" s="50">
        <f t="shared" si="10"/>
        <v>4.7305209836869189</v>
      </c>
      <c r="I176" s="49">
        <f>VLOOKUP($A176,'Data shares'!$C:$FB,66)</f>
        <v>45519975</v>
      </c>
      <c r="J176" s="49">
        <f>VLOOKUP($A176,'Data shares'!$C:$FB,67)</f>
        <v>38519100</v>
      </c>
      <c r="K176" s="50">
        <f t="shared" si="11"/>
        <v>15.379786566227244</v>
      </c>
      <c r="L176" s="50">
        <f>VLOOKUP($A176,'Data shares'!$C:$FB,118)</f>
        <v>0.63</v>
      </c>
      <c r="M176" s="50">
        <f>VLOOKUP($A176,'Data shares'!$C:$FB,119)</f>
        <v>0.63</v>
      </c>
      <c r="N176" s="50">
        <f>VLOOKUP($A176,'Data shares'!$C:$FB,121)*100</f>
        <v>0</v>
      </c>
      <c r="O176" s="50">
        <f>VLOOKUP($A176,'Data shares'!$C:$FB,124)</f>
        <v>0.97</v>
      </c>
      <c r="P176" s="50">
        <f>VLOOKUP($A176,'Data shares'!$C:$FB,125)</f>
        <v>0.72</v>
      </c>
      <c r="Q176" s="50">
        <f>VLOOKUP($A176,'Data shares'!$C:$FB,127)*100</f>
        <v>34.72</v>
      </c>
    </row>
    <row r="177" spans="1:17" x14ac:dyDescent="0.25">
      <c r="A177" s="97" t="str">
        <f>'Data Vlaue (Cr)'!C172</f>
        <v>RECLTD</v>
      </c>
      <c r="B177" s="140">
        <f>VLOOKUP($A177,'Data shares'!$C:$FB,7)</f>
        <v>333.95</v>
      </c>
      <c r="C177" s="140">
        <f>VLOOKUP($A177,'Data shares'!$C:$FB,3)</f>
        <v>334.5</v>
      </c>
      <c r="D177" s="140">
        <f>VLOOKUP($A177,'Data shares'!$C:$FB,4)</f>
        <v>335.95</v>
      </c>
      <c r="E177" s="50">
        <f t="shared" si="9"/>
        <v>-0.43161184700103844</v>
      </c>
      <c r="F177" s="49">
        <f>VLOOKUP($A177,'Data shares'!$C:$FB,98)</f>
        <v>185029475</v>
      </c>
      <c r="G177" s="49">
        <f>VLOOKUP($A177,'Data shares'!$C:$FB,99)</f>
        <v>182164100</v>
      </c>
      <c r="H177" s="50">
        <f t="shared" si="10"/>
        <v>1.5729636080874334</v>
      </c>
      <c r="I177" s="49">
        <f>VLOOKUP($A177,'Data shares'!$C:$FB,66)</f>
        <v>52401225</v>
      </c>
      <c r="J177" s="49">
        <f>VLOOKUP($A177,'Data shares'!$C:$FB,67)</f>
        <v>53853450</v>
      </c>
      <c r="K177" s="50">
        <f t="shared" si="11"/>
        <v>-2.7713569673228062</v>
      </c>
      <c r="L177" s="50">
        <f>VLOOKUP($A177,'Data shares'!$C:$FB,118)</f>
        <v>0.61</v>
      </c>
      <c r="M177" s="50">
        <f>VLOOKUP($A177,'Data shares'!$C:$FB,119)</f>
        <v>0.61</v>
      </c>
      <c r="N177" s="50">
        <f>VLOOKUP($A177,'Data shares'!$C:$FB,121)*100</f>
        <v>0</v>
      </c>
      <c r="O177" s="50">
        <f>VLOOKUP($A177,'Data shares'!$C:$FB,124)</f>
        <v>0.45</v>
      </c>
      <c r="P177" s="50">
        <f>VLOOKUP($A177,'Data shares'!$C:$FB,125)</f>
        <v>0.44</v>
      </c>
      <c r="Q177" s="50">
        <f>VLOOKUP($A177,'Data shares'!$C:$FB,127)*100</f>
        <v>2.27</v>
      </c>
    </row>
    <row r="178" spans="1:17" x14ac:dyDescent="0.25">
      <c r="A178" s="97" t="str">
        <f>'Data Vlaue (Cr)'!C173</f>
        <v>RELIANCE</v>
      </c>
      <c r="B178" s="140">
        <f>VLOOKUP($A178,'Data shares'!$C:$FB,7)</f>
        <v>1544.4</v>
      </c>
      <c r="C178" s="140">
        <f>VLOOKUP($A178,'Data shares'!$C:$FB,3)</f>
        <v>1548.8</v>
      </c>
      <c r="D178" s="140">
        <f>VLOOKUP($A178,'Data shares'!$C:$FB,4)</f>
        <v>1546.5</v>
      </c>
      <c r="E178" s="50">
        <f t="shared" si="9"/>
        <v>0.14872292272873938</v>
      </c>
      <c r="F178" s="49">
        <f>VLOOKUP($A178,'Data shares'!$C:$FB,98)</f>
        <v>178590500</v>
      </c>
      <c r="G178" s="49">
        <f>VLOOKUP($A178,'Data shares'!$C:$FB,99)</f>
        <v>178029000</v>
      </c>
      <c r="H178" s="50">
        <f t="shared" si="10"/>
        <v>0.31539805312617603</v>
      </c>
      <c r="I178" s="49">
        <f>VLOOKUP($A178,'Data shares'!$C:$FB,66)</f>
        <v>61101500</v>
      </c>
      <c r="J178" s="49">
        <f>VLOOKUP($A178,'Data shares'!$C:$FB,67)</f>
        <v>74204000</v>
      </c>
      <c r="K178" s="50">
        <f t="shared" si="11"/>
        <v>-21.443827074621737</v>
      </c>
      <c r="L178" s="50">
        <f>VLOOKUP($A178,'Data shares'!$C:$FB,118)</f>
        <v>0.53</v>
      </c>
      <c r="M178" s="50">
        <f>VLOOKUP($A178,'Data shares'!$C:$FB,119)</f>
        <v>0.52</v>
      </c>
      <c r="N178" s="50">
        <f>VLOOKUP($A178,'Data shares'!$C:$FB,121)*100</f>
        <v>1.92</v>
      </c>
      <c r="O178" s="50">
        <f>VLOOKUP($A178,'Data shares'!$C:$FB,124)</f>
        <v>0.61</v>
      </c>
      <c r="P178" s="50">
        <f>VLOOKUP($A178,'Data shares'!$C:$FB,125)</f>
        <v>0.68</v>
      </c>
      <c r="Q178" s="50">
        <f>VLOOKUP($A178,'Data shares'!$C:$FB,127)*100</f>
        <v>-10.290000000000001</v>
      </c>
    </row>
    <row r="179" spans="1:17" x14ac:dyDescent="0.25">
      <c r="A179" s="97" t="str">
        <f>'Data Vlaue (Cr)'!C174</f>
        <v>RVNL</v>
      </c>
      <c r="B179" s="140">
        <f>VLOOKUP($A179,'Data shares'!$C:$FB,7)</f>
        <v>307.25</v>
      </c>
      <c r="C179" s="140">
        <f>VLOOKUP($A179,'Data shares'!$C:$FB,3)</f>
        <v>305.39999999999998</v>
      </c>
      <c r="D179" s="140">
        <f>VLOOKUP($A179,'Data shares'!$C:$FB,4)</f>
        <v>308.05</v>
      </c>
      <c r="E179" s="50">
        <f t="shared" si="9"/>
        <v>-0.86024995942218274</v>
      </c>
      <c r="F179" s="49">
        <f>VLOOKUP($A179,'Data shares'!$C:$FB,98)</f>
        <v>79450200</v>
      </c>
      <c r="G179" s="49">
        <f>VLOOKUP($A179,'Data shares'!$C:$FB,99)</f>
        <v>77423775</v>
      </c>
      <c r="H179" s="50">
        <f t="shared" si="10"/>
        <v>2.6173161926036288</v>
      </c>
      <c r="I179" s="49">
        <f>VLOOKUP($A179,'Data shares'!$C:$FB,66)</f>
        <v>15522375</v>
      </c>
      <c r="J179" s="49">
        <f>VLOOKUP($A179,'Data shares'!$C:$FB,67)</f>
        <v>13882000</v>
      </c>
      <c r="K179" s="50">
        <f t="shared" si="11"/>
        <v>10.567809371955001</v>
      </c>
      <c r="L179" s="50">
        <f>VLOOKUP($A179,'Data shares'!$C:$FB,118)</f>
        <v>0.46</v>
      </c>
      <c r="M179" s="50">
        <f>VLOOKUP($A179,'Data shares'!$C:$FB,119)</f>
        <v>0.49</v>
      </c>
      <c r="N179" s="50">
        <f>VLOOKUP($A179,'Data shares'!$C:$FB,121)*100</f>
        <v>-6.12</v>
      </c>
      <c r="O179" s="50">
        <f>VLOOKUP($A179,'Data shares'!$C:$FB,124)</f>
        <v>0.22</v>
      </c>
      <c r="P179" s="50">
        <f>VLOOKUP($A179,'Data shares'!$C:$FB,125)</f>
        <v>0.39</v>
      </c>
      <c r="Q179" s="50">
        <f>VLOOKUP($A179,'Data shares'!$C:$FB,127)*100</f>
        <v>-43.59</v>
      </c>
    </row>
    <row r="180" spans="1:17" x14ac:dyDescent="0.25">
      <c r="A180" s="97" t="str">
        <f>'Data Vlaue (Cr)'!C175</f>
        <v>SAIL</v>
      </c>
      <c r="B180" s="140">
        <f>VLOOKUP($A180,'Data shares'!$C:$FB,7)</f>
        <v>130.19999999999999</v>
      </c>
      <c r="C180" s="140">
        <f>VLOOKUP($A180,'Data shares'!$C:$FB,3)</f>
        <v>130.31</v>
      </c>
      <c r="D180" s="140">
        <f>VLOOKUP($A180,'Data shares'!$C:$FB,4)</f>
        <v>129.81</v>
      </c>
      <c r="E180" s="50">
        <f t="shared" si="9"/>
        <v>0.38517833757029502</v>
      </c>
      <c r="F180" s="49">
        <f>VLOOKUP($A180,'Data shares'!$C:$FB,98)</f>
        <v>258481200</v>
      </c>
      <c r="G180" s="49">
        <f>VLOOKUP($A180,'Data shares'!$C:$FB,99)</f>
        <v>260657300</v>
      </c>
      <c r="H180" s="50">
        <f t="shared" si="10"/>
        <v>-0.83485097098757644</v>
      </c>
      <c r="I180" s="49">
        <f>VLOOKUP($A180,'Data shares'!$C:$FB,66)</f>
        <v>42629000</v>
      </c>
      <c r="J180" s="49">
        <f>VLOOKUP($A180,'Data shares'!$C:$FB,67)</f>
        <v>70697400</v>
      </c>
      <c r="K180" s="50">
        <f t="shared" si="11"/>
        <v>-65.843439911797134</v>
      </c>
      <c r="L180" s="50">
        <f>VLOOKUP($A180,'Data shares'!$C:$FB,118)</f>
        <v>0.56000000000000005</v>
      </c>
      <c r="M180" s="50">
        <f>VLOOKUP($A180,'Data shares'!$C:$FB,119)</f>
        <v>0.56000000000000005</v>
      </c>
      <c r="N180" s="50">
        <f>VLOOKUP($A180,'Data shares'!$C:$FB,121)*100</f>
        <v>0</v>
      </c>
      <c r="O180" s="50">
        <f>VLOOKUP($A180,'Data shares'!$C:$FB,124)</f>
        <v>0.31</v>
      </c>
      <c r="P180" s="50">
        <f>VLOOKUP($A180,'Data shares'!$C:$FB,125)</f>
        <v>0.4</v>
      </c>
      <c r="Q180" s="50">
        <f>VLOOKUP($A180,'Data shares'!$C:$FB,127)*100</f>
        <v>-22.5</v>
      </c>
    </row>
    <row r="181" spans="1:17" x14ac:dyDescent="0.25">
      <c r="A181" s="97" t="str">
        <f>'Data Vlaue (Cr)'!C176</f>
        <v>SAMMAANCAP</v>
      </c>
      <c r="B181" s="140">
        <f>VLOOKUP($A181,'Data shares'!$C:$FB,7)</f>
        <v>145.78</v>
      </c>
      <c r="C181" s="140">
        <f>VLOOKUP($A181,'Data shares'!$C:$FB,3)</f>
        <v>146.19</v>
      </c>
      <c r="D181" s="140">
        <f>VLOOKUP($A181,'Data shares'!$C:$FB,4)</f>
        <v>147.51</v>
      </c>
      <c r="E181" s="50">
        <f t="shared" si="9"/>
        <v>-0.89485458612974944</v>
      </c>
      <c r="F181" s="49">
        <f>VLOOKUP($A181,'Data shares'!$C:$FB,98)</f>
        <v>220564200</v>
      </c>
      <c r="G181" s="49">
        <f>VLOOKUP($A181,'Data shares'!$C:$FB,99)</f>
        <v>189049500</v>
      </c>
      <c r="H181" s="50">
        <f t="shared" si="10"/>
        <v>16.670078471511431</v>
      </c>
      <c r="I181" s="49">
        <f>VLOOKUP($A181,'Data shares'!$C:$FB,66)</f>
        <v>419095200</v>
      </c>
      <c r="J181" s="49">
        <f>VLOOKUP($A181,'Data shares'!$C:$FB,67)</f>
        <v>63747500</v>
      </c>
      <c r="K181" s="50">
        <f t="shared" si="11"/>
        <v>84.789255519986867</v>
      </c>
      <c r="L181" s="50">
        <f>VLOOKUP($A181,'Data shares'!$C:$FB,118)</f>
        <v>0.63</v>
      </c>
      <c r="M181" s="50">
        <f>VLOOKUP($A181,'Data shares'!$C:$FB,119)</f>
        <v>0.54</v>
      </c>
      <c r="N181" s="50">
        <f>VLOOKUP($A181,'Data shares'!$C:$FB,121)*100</f>
        <v>16.669999999999998</v>
      </c>
      <c r="O181" s="50">
        <f>VLOOKUP($A181,'Data shares'!$C:$FB,124)</f>
        <v>0.56999999999999995</v>
      </c>
      <c r="P181" s="50">
        <f>VLOOKUP($A181,'Data shares'!$C:$FB,125)</f>
        <v>0.32</v>
      </c>
      <c r="Q181" s="50">
        <f>VLOOKUP($A181,'Data shares'!$C:$FB,127)*100</f>
        <v>78.12</v>
      </c>
    </row>
    <row r="182" spans="1:17" x14ac:dyDescent="0.25">
      <c r="A182" s="97" t="str">
        <f>'Data Vlaue (Cr)'!C177</f>
        <v>SBICARD</v>
      </c>
      <c r="B182" s="140">
        <f>VLOOKUP($A182,'Data shares'!$C:$FB,7)</f>
        <v>834.4</v>
      </c>
      <c r="C182" s="140">
        <f>VLOOKUP($A182,'Data shares'!$C:$FB,3)</f>
        <v>836.55</v>
      </c>
      <c r="D182" s="140">
        <f>VLOOKUP($A182,'Data shares'!$C:$FB,4)</f>
        <v>847.6</v>
      </c>
      <c r="E182" s="50">
        <f t="shared" si="9"/>
        <v>-1.3036809815951</v>
      </c>
      <c r="F182" s="49">
        <f>VLOOKUP($A182,'Data shares'!$C:$FB,98)</f>
        <v>27844000</v>
      </c>
      <c r="G182" s="49">
        <f>VLOOKUP($A182,'Data shares'!$C:$FB,99)</f>
        <v>27088000</v>
      </c>
      <c r="H182" s="50">
        <f t="shared" si="10"/>
        <v>2.7909037212049617</v>
      </c>
      <c r="I182" s="49">
        <f>VLOOKUP($A182,'Data shares'!$C:$FB,66)</f>
        <v>16168000</v>
      </c>
      <c r="J182" s="49">
        <f>VLOOKUP($A182,'Data shares'!$C:$FB,67)</f>
        <v>12827200</v>
      </c>
      <c r="K182" s="50">
        <f t="shared" si="11"/>
        <v>20.663038099950519</v>
      </c>
      <c r="L182" s="50">
        <f>VLOOKUP($A182,'Data shares'!$C:$FB,118)</f>
        <v>0.66</v>
      </c>
      <c r="M182" s="50">
        <f>VLOOKUP($A182,'Data shares'!$C:$FB,119)</f>
        <v>0.7</v>
      </c>
      <c r="N182" s="50">
        <f>VLOOKUP($A182,'Data shares'!$C:$FB,121)*100</f>
        <v>-5.71</v>
      </c>
      <c r="O182" s="50">
        <f>VLOOKUP($A182,'Data shares'!$C:$FB,124)</f>
        <v>0.89</v>
      </c>
      <c r="P182" s="50">
        <f>VLOOKUP($A182,'Data shares'!$C:$FB,125)</f>
        <v>0.55000000000000004</v>
      </c>
      <c r="Q182" s="50">
        <f>VLOOKUP($A182,'Data shares'!$C:$FB,127)*100</f>
        <v>61.82</v>
      </c>
    </row>
    <row r="183" spans="1:17" x14ac:dyDescent="0.25">
      <c r="A183" s="97" t="str">
        <f>'Data Vlaue (Cr)'!C178</f>
        <v>SBILIFE</v>
      </c>
      <c r="B183" s="140">
        <f>VLOOKUP($A183,'Data shares'!$C:$FB,7)</f>
        <v>2010.2</v>
      </c>
      <c r="C183" s="140">
        <f>VLOOKUP($A183,'Data shares'!$C:$FB,3)</f>
        <v>2016.3</v>
      </c>
      <c r="D183" s="140">
        <f>VLOOKUP($A183,'Data shares'!$C:$FB,4)</f>
        <v>2035.8</v>
      </c>
      <c r="E183" s="50">
        <f>(C183-D183)/D183*100</f>
        <v>-0.95785440613026829</v>
      </c>
      <c r="F183" s="49">
        <f>VLOOKUP($A183,'Data shares'!$C:$FB,98)</f>
        <v>14445375</v>
      </c>
      <c r="G183" s="49">
        <f>VLOOKUP($A183,'Data shares'!$C:$FB,99)</f>
        <v>15084375</v>
      </c>
      <c r="H183" s="50">
        <f>(F183-G183)/G183*100</f>
        <v>-4.2361715351149787</v>
      </c>
      <c r="I183" s="49">
        <f>VLOOKUP($A183,'Data shares'!$C:$FB,66)</f>
        <v>13345125</v>
      </c>
      <c r="J183" s="49">
        <f>VLOOKUP($A183,'Data shares'!$C:$FB,67)</f>
        <v>10862625</v>
      </c>
      <c r="K183" s="50">
        <f>(I183-J183)/I183*100</f>
        <v>18.602298592182539</v>
      </c>
      <c r="L183" s="50">
        <f>VLOOKUP($A183,'Data shares'!$C:$FB,118)</f>
        <v>0.48</v>
      </c>
      <c r="M183" s="50">
        <f>VLOOKUP($A183,'Data shares'!$C:$FB,119)</f>
        <v>0.53</v>
      </c>
      <c r="N183" s="50">
        <f>VLOOKUP($A183,'Data shares'!$C:$FB,121)*100</f>
        <v>-9.43</v>
      </c>
      <c r="O183" s="50">
        <f>VLOOKUP($A183,'Data shares'!$C:$FB,124)</f>
        <v>1.02</v>
      </c>
      <c r="P183" s="50">
        <f>VLOOKUP($A183,'Data shares'!$C:$FB,125)</f>
        <v>0.33</v>
      </c>
      <c r="Q183" s="50">
        <f>VLOOKUP($A183,'Data shares'!$C:$FB,127)*100</f>
        <v>209.09</v>
      </c>
    </row>
    <row r="184" spans="1:17" x14ac:dyDescent="0.25">
      <c r="A184" s="97" t="str">
        <f>'Data Vlaue (Cr)'!C179</f>
        <v>SBIN</v>
      </c>
      <c r="B184" s="140">
        <f>VLOOKUP($A184,'Data shares'!$C:$FB,7)</f>
        <v>975.85</v>
      </c>
      <c r="C184" s="140">
        <f>VLOOKUP($A184,'Data shares'!$C:$FB,3)</f>
        <v>977.5</v>
      </c>
      <c r="D184" s="140">
        <f>VLOOKUP($A184,'Data shares'!$C:$FB,4)</f>
        <v>962.9</v>
      </c>
      <c r="E184" s="50">
        <f t="shared" ref="E184:E189" si="12">(C184-D184)/D184*100</f>
        <v>1.516252985772149</v>
      </c>
      <c r="F184" s="49">
        <f>VLOOKUP($A184,'Data shares'!$C:$FB,98)</f>
        <v>156260250</v>
      </c>
      <c r="G184" s="49">
        <f>VLOOKUP($A184,'Data shares'!$C:$FB,99)</f>
        <v>161267250</v>
      </c>
      <c r="H184" s="50">
        <f t="shared" ref="H184:H189" si="13">(F184-G184)/G184*100</f>
        <v>-3.1047841393711368</v>
      </c>
      <c r="I184" s="49">
        <f>VLOOKUP($A184,'Data shares'!$C:$FB,66)</f>
        <v>183738750</v>
      </c>
      <c r="J184" s="49">
        <f>VLOOKUP($A184,'Data shares'!$C:$FB,67)</f>
        <v>74407500</v>
      </c>
      <c r="K184" s="50">
        <f t="shared" ref="K184:K189" si="14">(I184-J184)/I184*100</f>
        <v>59.503643080188581</v>
      </c>
      <c r="L184" s="50">
        <f>VLOOKUP($A184,'Data shares'!$C:$FB,118)</f>
        <v>0.71</v>
      </c>
      <c r="M184" s="50">
        <f>VLOOKUP($A184,'Data shares'!$C:$FB,119)</f>
        <v>0.61</v>
      </c>
      <c r="N184" s="50">
        <f>VLOOKUP($A184,'Data shares'!$C:$FB,121)*100</f>
        <v>16.39</v>
      </c>
      <c r="O184" s="50">
        <f>VLOOKUP($A184,'Data shares'!$C:$FB,124)</f>
        <v>0.59</v>
      </c>
      <c r="P184" s="50">
        <f>VLOOKUP($A184,'Data shares'!$C:$FB,125)</f>
        <v>0.65</v>
      </c>
      <c r="Q184" s="50">
        <f>VLOOKUP($A184,'Data shares'!$C:$FB,127)*100</f>
        <v>-9.2299999999999986</v>
      </c>
    </row>
    <row r="185" spans="1:17" x14ac:dyDescent="0.25">
      <c r="A185" s="97" t="str">
        <f>'Data Vlaue (Cr)'!C180</f>
        <v>SHREECEM</v>
      </c>
      <c r="B185" s="140">
        <f>VLOOKUP($A185,'Data shares'!$C:$FB,7)</f>
        <v>26045</v>
      </c>
      <c r="C185" s="140">
        <f>VLOOKUP($A185,'Data shares'!$C:$FB,3)</f>
        <v>26080</v>
      </c>
      <c r="D185" s="140">
        <f>VLOOKUP($A185,'Data shares'!$C:$FB,4)</f>
        <v>26110</v>
      </c>
      <c r="E185" s="50">
        <f t="shared" si="12"/>
        <v>-0.11489850631941785</v>
      </c>
      <c r="F185" s="49">
        <f>VLOOKUP($A185,'Data shares'!$C:$FB,98)</f>
        <v>525200</v>
      </c>
      <c r="G185" s="49">
        <f>VLOOKUP($A185,'Data shares'!$C:$FB,99)</f>
        <v>532150</v>
      </c>
      <c r="H185" s="50">
        <f t="shared" si="13"/>
        <v>-1.3060227379498262</v>
      </c>
      <c r="I185" s="49">
        <f>VLOOKUP($A185,'Data shares'!$C:$FB,66)</f>
        <v>168800</v>
      </c>
      <c r="J185" s="49">
        <f>VLOOKUP($A185,'Data shares'!$C:$FB,67)</f>
        <v>533350</v>
      </c>
      <c r="K185" s="50">
        <f t="shared" si="14"/>
        <v>-215.96563981042655</v>
      </c>
      <c r="L185" s="50">
        <f>VLOOKUP($A185,'Data shares'!$C:$FB,118)</f>
        <v>0.44</v>
      </c>
      <c r="M185" s="50">
        <f>VLOOKUP($A185,'Data shares'!$C:$FB,119)</f>
        <v>0.41</v>
      </c>
      <c r="N185" s="50">
        <f>VLOOKUP($A185,'Data shares'!$C:$FB,121)*100</f>
        <v>7.32</v>
      </c>
      <c r="O185" s="50">
        <f>VLOOKUP($A185,'Data shares'!$C:$FB,124)</f>
        <v>0.18</v>
      </c>
      <c r="P185" s="50">
        <f>VLOOKUP($A185,'Data shares'!$C:$FB,125)</f>
        <v>0.54</v>
      </c>
      <c r="Q185" s="50">
        <f>VLOOKUP($A185,'Data shares'!$C:$FB,127)*100</f>
        <v>-66.67</v>
      </c>
    </row>
    <row r="186" spans="1:17" x14ac:dyDescent="0.25">
      <c r="A186" s="97" t="str">
        <f>'Data Vlaue (Cr)'!C181</f>
        <v>SHRIRAMFIN</v>
      </c>
      <c r="B186" s="140">
        <f>VLOOKUP($A186,'Data shares'!$C:$FB,7)</f>
        <v>864.2</v>
      </c>
      <c r="C186" s="140">
        <f>VLOOKUP($A186,'Data shares'!$C:$FB,3)</f>
        <v>867.95</v>
      </c>
      <c r="D186" s="140">
        <f>VLOOKUP($A186,'Data shares'!$C:$FB,4)</f>
        <v>850</v>
      </c>
      <c r="E186" s="50">
        <f t="shared" si="12"/>
        <v>2.1117647058823583</v>
      </c>
      <c r="F186" s="49">
        <f>VLOOKUP($A186,'Data shares'!$C:$FB,98)</f>
        <v>102953400</v>
      </c>
      <c r="G186" s="49">
        <f>VLOOKUP($A186,'Data shares'!$C:$FB,99)</f>
        <v>96786525</v>
      </c>
      <c r="H186" s="50">
        <f t="shared" si="13"/>
        <v>6.3716255956084797</v>
      </c>
      <c r="I186" s="49">
        <f>VLOOKUP($A186,'Data shares'!$C:$FB,66)</f>
        <v>120237150</v>
      </c>
      <c r="J186" s="49">
        <f>VLOOKUP($A186,'Data shares'!$C:$FB,67)</f>
        <v>32554500</v>
      </c>
      <c r="K186" s="50">
        <f t="shared" si="14"/>
        <v>72.924757448093203</v>
      </c>
      <c r="L186" s="50">
        <f>VLOOKUP($A186,'Data shares'!$C:$FB,118)</f>
        <v>0.56999999999999995</v>
      </c>
      <c r="M186" s="50">
        <f>VLOOKUP($A186,'Data shares'!$C:$FB,119)</f>
        <v>0.6</v>
      </c>
      <c r="N186" s="50">
        <f>VLOOKUP($A186,'Data shares'!$C:$FB,121)*100</f>
        <v>-5</v>
      </c>
      <c r="O186" s="50">
        <f>VLOOKUP($A186,'Data shares'!$C:$FB,124)</f>
        <v>0.35</v>
      </c>
      <c r="P186" s="50">
        <f>VLOOKUP($A186,'Data shares'!$C:$FB,125)</f>
        <v>0.51</v>
      </c>
      <c r="Q186" s="50">
        <f>VLOOKUP($A186,'Data shares'!$C:$FB,127)*100</f>
        <v>-31.369999999999997</v>
      </c>
    </row>
    <row r="187" spans="1:17" x14ac:dyDescent="0.25">
      <c r="A187" s="97" t="str">
        <f>'Data Vlaue (Cr)'!C182</f>
        <v>SIEMENS</v>
      </c>
      <c r="B187" s="140">
        <f>VLOOKUP($A187,'Data shares'!$C:$FB,7)</f>
        <v>3140.1</v>
      </c>
      <c r="C187" s="140">
        <f>VLOOKUP($A187,'Data shares'!$C:$FB,3)</f>
        <v>3152.3</v>
      </c>
      <c r="D187" s="140">
        <f>VLOOKUP($A187,'Data shares'!$C:$FB,4)</f>
        <v>3165.7</v>
      </c>
      <c r="E187" s="50">
        <f t="shared" si="12"/>
        <v>-0.42328710869632741</v>
      </c>
      <c r="F187" s="49">
        <f>VLOOKUP($A187,'Data shares'!$C:$FB,98)</f>
        <v>6562800</v>
      </c>
      <c r="G187" s="49">
        <f>VLOOKUP($A187,'Data shares'!$C:$FB,99)</f>
        <v>6635125</v>
      </c>
      <c r="H187" s="50">
        <f t="shared" si="13"/>
        <v>-1.0900322149168253</v>
      </c>
      <c r="I187" s="49">
        <f>VLOOKUP($A187,'Data shares'!$C:$FB,66)</f>
        <v>2350250</v>
      </c>
      <c r="J187" s="49">
        <f>VLOOKUP($A187,'Data shares'!$C:$FB,67)</f>
        <v>3009500</v>
      </c>
      <c r="K187" s="50">
        <f t="shared" si="14"/>
        <v>-28.050207424742048</v>
      </c>
      <c r="L187" s="50">
        <f>VLOOKUP($A187,'Data shares'!$C:$FB,118)</f>
        <v>0.52</v>
      </c>
      <c r="M187" s="50">
        <f>VLOOKUP($A187,'Data shares'!$C:$FB,119)</f>
        <v>0.51</v>
      </c>
      <c r="N187" s="50">
        <f>VLOOKUP($A187,'Data shares'!$C:$FB,121)*100</f>
        <v>1.96</v>
      </c>
      <c r="O187" s="50">
        <f>VLOOKUP($A187,'Data shares'!$C:$FB,124)</f>
        <v>0.4</v>
      </c>
      <c r="P187" s="50">
        <f>VLOOKUP($A187,'Data shares'!$C:$FB,125)</f>
        <v>0.52</v>
      </c>
      <c r="Q187" s="50">
        <f>VLOOKUP($A187,'Data shares'!$C:$FB,127)*100</f>
        <v>-23.080000000000002</v>
      </c>
    </row>
    <row r="188" spans="1:17" x14ac:dyDescent="0.25">
      <c r="A188" s="97" t="str">
        <f>'Data Vlaue (Cr)'!C183</f>
        <v>SOLARINDS</v>
      </c>
      <c r="B188" s="140">
        <f>VLOOKUP($A188,'Data shares'!$C:$FB,7)</f>
        <v>11815</v>
      </c>
      <c r="C188" s="140">
        <f>VLOOKUP($A188,'Data shares'!$C:$FB,3)</f>
        <v>11824</v>
      </c>
      <c r="D188" s="140">
        <f>VLOOKUP($A188,'Data shares'!$C:$FB,4)</f>
        <v>11930</v>
      </c>
      <c r="E188" s="50">
        <f t="shared" si="12"/>
        <v>-0.88851634534786261</v>
      </c>
      <c r="F188" s="49">
        <f>VLOOKUP($A188,'Data shares'!$C:$FB,98)</f>
        <v>2167500</v>
      </c>
      <c r="G188" s="49">
        <f>VLOOKUP($A188,'Data shares'!$C:$FB,99)</f>
        <v>2108200</v>
      </c>
      <c r="H188" s="50">
        <f t="shared" si="13"/>
        <v>2.8128261075799261</v>
      </c>
      <c r="I188" s="49">
        <f>VLOOKUP($A188,'Data shares'!$C:$FB,66)</f>
        <v>1171275</v>
      </c>
      <c r="J188" s="49">
        <f>VLOOKUP($A188,'Data shares'!$C:$FB,67)</f>
        <v>1521825</v>
      </c>
      <c r="K188" s="50">
        <f t="shared" si="14"/>
        <v>-29.928923608887754</v>
      </c>
      <c r="L188" s="50">
        <f>VLOOKUP($A188,'Data shares'!$C:$FB,118)</f>
        <v>0.38</v>
      </c>
      <c r="M188" s="50">
        <f>VLOOKUP($A188,'Data shares'!$C:$FB,119)</f>
        <v>0.37</v>
      </c>
      <c r="N188" s="50">
        <f>VLOOKUP($A188,'Data shares'!$C:$FB,121)*100</f>
        <v>2.7</v>
      </c>
      <c r="O188" s="50">
        <f>VLOOKUP($A188,'Data shares'!$C:$FB,124)</f>
        <v>0.63</v>
      </c>
      <c r="P188" s="50">
        <f>VLOOKUP($A188,'Data shares'!$C:$FB,125)</f>
        <v>0.44</v>
      </c>
      <c r="Q188" s="50">
        <f>VLOOKUP($A188,'Data shares'!$C:$FB,127)*100</f>
        <v>43.18</v>
      </c>
    </row>
    <row r="189" spans="1:17" x14ac:dyDescent="0.25">
      <c r="A189" s="97" t="str">
        <f>'Data Vlaue (Cr)'!C215</f>
        <v>ZYDUSLIFE</v>
      </c>
      <c r="B189" s="140">
        <f>VLOOKUP($A189,'Data shares'!$C:$FB,7)</f>
        <v>918.1</v>
      </c>
      <c r="C189" s="140">
        <f>VLOOKUP($A189,'Data shares'!$C:$FB,3)</f>
        <v>919.1</v>
      </c>
      <c r="D189" s="140">
        <f>VLOOKUP($A189,'Data shares'!$C:$FB,4)</f>
        <v>917.7</v>
      </c>
      <c r="E189" s="50">
        <f t="shared" si="12"/>
        <v>0.15255530129671757</v>
      </c>
      <c r="F189" s="49">
        <f>VLOOKUP($A189,'Data shares'!$C:$FB,98)</f>
        <v>18909900</v>
      </c>
      <c r="G189" s="49">
        <f>VLOOKUP($A189,'Data shares'!$C:$FB,99)</f>
        <v>19008900</v>
      </c>
      <c r="H189" s="50">
        <f t="shared" si="13"/>
        <v>-0.52080867383173146</v>
      </c>
      <c r="I189" s="49">
        <f>VLOOKUP($A189,'Data shares'!$C:$FB,66)</f>
        <v>3155400</v>
      </c>
      <c r="J189" s="49">
        <f>VLOOKUP($A189,'Data shares'!$C:$FB,67)</f>
        <v>6210900</v>
      </c>
      <c r="K189" s="50">
        <f t="shared" si="14"/>
        <v>-96.833998859098685</v>
      </c>
      <c r="L189" s="50">
        <f>VLOOKUP($A189,'Data shares'!$C:$FB,118)</f>
        <v>0.74</v>
      </c>
      <c r="M189" s="50">
        <f>VLOOKUP($A189,'Data shares'!$C:$FB,119)</f>
        <v>0.7</v>
      </c>
      <c r="N189" s="50">
        <f>VLOOKUP($A189,'Data shares'!$C:$FB,121)*100</f>
        <v>5.71</v>
      </c>
      <c r="O189" s="50">
        <f>VLOOKUP($A189,'Data shares'!$C:$FB,124)</f>
        <v>0.3</v>
      </c>
      <c r="P189" s="50">
        <f>VLOOKUP($A189,'Data shares'!$C:$FB,125)</f>
        <v>0.26</v>
      </c>
      <c r="Q189" s="50">
        <f>VLOOKUP($A189,'Data shares'!$C:$FB,127)*100</f>
        <v>15.379999999999999</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23163404833</v>
      </c>
      <c r="G231" s="113">
        <f>SUM(G7:G172)</f>
        <v>23304682587</v>
      </c>
      <c r="H231" s="114">
        <f>(F231-G231)/G231*100</f>
        <v>-0.60622046008388319</v>
      </c>
      <c r="I231" s="113">
        <f>SUM(I7:I172)</f>
        <v>12234983215</v>
      </c>
      <c r="J231" s="113">
        <f>SUM(J7:J172)</f>
        <v>29534330357</v>
      </c>
      <c r="K231" s="114">
        <f>(I231-J231)/J231*100</f>
        <v>-58.573690118895286</v>
      </c>
      <c r="L231" s="113"/>
      <c r="M231" s="113"/>
      <c r="N231" s="113"/>
      <c r="O231" s="113"/>
      <c r="P231" s="263"/>
      <c r="Q231" s="263"/>
    </row>
    <row r="232" spans="1:17" s="64" customFormat="1" x14ac:dyDescent="0.25">
      <c r="A232" s="263" t="s">
        <v>398</v>
      </c>
      <c r="B232" s="263"/>
      <c r="C232" s="263"/>
      <c r="D232" s="263"/>
      <c r="E232" s="263"/>
      <c r="F232" s="113">
        <f>F231/10000000</f>
        <v>2316.3404833</v>
      </c>
      <c r="G232" s="113">
        <f>G231/10000000</f>
        <v>2330.4682587000002</v>
      </c>
      <c r="H232" s="114">
        <f>(F232-G232)/G232*100</f>
        <v>-0.60622046008389363</v>
      </c>
      <c r="I232" s="113">
        <f>I231/10000000</f>
        <v>1223.4983215</v>
      </c>
      <c r="J232" s="113">
        <f>J231/10000000</f>
        <v>2953.4330356999999</v>
      </c>
      <c r="K232" s="114">
        <f>(I232-J232)/J232*100</f>
        <v>-58.573690118895286</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G15" sqref="G15"/>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(Value)'!H152</f>
        <v>1173308</v>
      </c>
      <c r="C3" s="159">
        <f>'OI(Volume)'!G148</f>
        <v>2.0899999999999998E-2</v>
      </c>
      <c r="D3" s="153">
        <f>'Snapshot (Value)'!P148</f>
        <v>0.4</v>
      </c>
      <c r="E3" s="153">
        <f>'Snapshot (Value)'!R148</f>
        <v>0.28000000000000003</v>
      </c>
      <c r="F3" s="153">
        <f>IV!E148</f>
        <v>14.13</v>
      </c>
      <c r="G3" s="153">
        <f>IV!B148</f>
        <v>9.8000000000000007</v>
      </c>
      <c r="H3" s="153">
        <f>'Snapshot (Value)'!C152</f>
        <v>25818.55</v>
      </c>
      <c r="I3" s="153">
        <f>'Snapshot (Value)'!D152</f>
        <v>25897.8</v>
      </c>
      <c r="J3" s="153">
        <f>'Snapshot (Value)'!E152</f>
        <v>25940.7</v>
      </c>
      <c r="K3" s="153">
        <f>(I3-H3)</f>
        <v>79.25</v>
      </c>
      <c r="L3" s="232">
        <f>'Data Vlaue (Cr)'!V143</f>
        <v>26212.400000000001</v>
      </c>
    </row>
    <row r="4" spans="1:12" x14ac:dyDescent="0.25">
      <c r="A4" t="s">
        <v>464</v>
      </c>
      <c r="B4" s="154">
        <f>'Snapshot (Value)'!H36</f>
        <v>247509</v>
      </c>
      <c r="C4" s="159">
        <f>'OI(Volume)'!G32</f>
        <v>-4.5999999999999999E-3</v>
      </c>
      <c r="D4" s="153">
        <f>'Snapshot (Value)'!P36</f>
        <v>0.75</v>
      </c>
      <c r="E4" s="153">
        <f>'Snapshot (Value)'!R36</f>
        <v>0.96</v>
      </c>
      <c r="F4" s="153">
        <f>IV!E32</f>
        <v>16.02</v>
      </c>
      <c r="G4" s="153">
        <f>IV!B32</f>
        <v>10.82</v>
      </c>
      <c r="H4" s="153">
        <f>'Snapshot (Value)'!C36</f>
        <v>58926.75</v>
      </c>
      <c r="I4" s="153">
        <f>'Snapshot (Value)'!D36</f>
        <v>59146.8</v>
      </c>
      <c r="J4" s="153">
        <f>'Snapshot (Value)'!E36</f>
        <v>59287.8</v>
      </c>
      <c r="K4" s="153">
        <f>(I4-H4)</f>
        <v>220.05000000000291</v>
      </c>
      <c r="L4" s="232">
        <f>'Data Vlaue (Cr)'!V27</f>
        <v>59864</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U8" sqref="U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632</v>
      </c>
      <c r="C1" s="330"/>
      <c r="D1" s="331"/>
      <c r="E1" s="332" t="s">
        <v>633</v>
      </c>
      <c r="F1" s="333"/>
      <c r="G1" s="334"/>
      <c r="H1" s="335" t="s">
        <v>634</v>
      </c>
      <c r="I1" s="336"/>
      <c r="J1" s="337"/>
      <c r="K1" s="338" t="s">
        <v>635</v>
      </c>
      <c r="L1" s="339"/>
      <c r="M1" s="340"/>
    </row>
    <row r="2" spans="1:13" ht="26.25" thickBot="1" x14ac:dyDescent="0.25">
      <c r="A2" s="328"/>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7" t="s">
        <v>641</v>
      </c>
      <c r="B6" s="329" t="s">
        <v>632</v>
      </c>
      <c r="C6" s="330"/>
      <c r="D6" s="331"/>
      <c r="E6" s="332" t="s">
        <v>633</v>
      </c>
      <c r="F6" s="333"/>
      <c r="G6" s="334"/>
      <c r="H6" s="335" t="s">
        <v>634</v>
      </c>
      <c r="I6" s="336"/>
      <c r="J6" s="337"/>
      <c r="K6" s="338" t="s">
        <v>635</v>
      </c>
      <c r="L6" s="339"/>
      <c r="M6" s="340"/>
    </row>
    <row r="7" spans="1:13" ht="26.25" thickBot="1" x14ac:dyDescent="0.25">
      <c r="A7" s="328"/>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7" t="s">
        <v>642</v>
      </c>
      <c r="B11" s="329" t="s">
        <v>632</v>
      </c>
      <c r="C11" s="330"/>
      <c r="D11" s="331"/>
      <c r="E11" s="332" t="s">
        <v>633</v>
      </c>
      <c r="F11" s="333"/>
      <c r="G11" s="334"/>
      <c r="H11" s="335" t="s">
        <v>634</v>
      </c>
      <c r="I11" s="336"/>
      <c r="J11" s="337"/>
      <c r="K11" s="338" t="s">
        <v>635</v>
      </c>
      <c r="L11" s="339"/>
      <c r="M11" s="340"/>
    </row>
    <row r="12" spans="1:13" ht="26.25" thickBot="1" x14ac:dyDescent="0.25">
      <c r="A12" s="328"/>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7" t="s">
        <v>395</v>
      </c>
      <c r="B16" s="329" t="s">
        <v>632</v>
      </c>
      <c r="C16" s="330"/>
      <c r="D16" s="331"/>
      <c r="E16" s="332" t="s">
        <v>633</v>
      </c>
      <c r="F16" s="333"/>
      <c r="G16" s="334"/>
      <c r="H16" s="335" t="s">
        <v>634</v>
      </c>
      <c r="I16" s="336"/>
      <c r="J16" s="337"/>
      <c r="K16" s="338" t="s">
        <v>635</v>
      </c>
      <c r="L16" s="339"/>
      <c r="M16" s="340"/>
    </row>
    <row r="17" spans="1:13" ht="26.25" thickBot="1" x14ac:dyDescent="0.25">
      <c r="A17" s="328"/>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7" t="s">
        <v>643</v>
      </c>
      <c r="B21" s="329" t="s">
        <v>632</v>
      </c>
      <c r="C21" s="330"/>
      <c r="D21" s="331"/>
      <c r="E21" s="332" t="s">
        <v>633</v>
      </c>
      <c r="F21" s="333"/>
      <c r="G21" s="334"/>
      <c r="H21" s="335" t="s">
        <v>634</v>
      </c>
      <c r="I21" s="336"/>
      <c r="J21" s="337"/>
      <c r="K21" s="338" t="s">
        <v>635</v>
      </c>
      <c r="L21" s="339"/>
      <c r="M21" s="340"/>
    </row>
    <row r="22" spans="1:13" ht="26.25" thickBot="1" x14ac:dyDescent="0.25">
      <c r="A22" s="328"/>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7" t="s">
        <v>644</v>
      </c>
      <c r="B26" s="329" t="s">
        <v>632</v>
      </c>
      <c r="C26" s="330"/>
      <c r="D26" s="331"/>
      <c r="E26" s="332" t="s">
        <v>633</v>
      </c>
      <c r="F26" s="333"/>
      <c r="G26" s="334"/>
      <c r="H26" s="335" t="s">
        <v>634</v>
      </c>
      <c r="I26" s="336"/>
      <c r="J26" s="337"/>
      <c r="K26" s="338" t="s">
        <v>635</v>
      </c>
      <c r="L26" s="339"/>
      <c r="M26" s="340"/>
    </row>
    <row r="27" spans="1:13" ht="26.25" thickBot="1" x14ac:dyDescent="0.25">
      <c r="A27" s="328"/>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4062.4</v>
      </c>
      <c r="C3" s="200"/>
      <c r="D3" s="200"/>
    </row>
    <row r="4" spans="1:4" x14ac:dyDescent="0.25">
      <c r="A4" s="217" t="s">
        <v>320</v>
      </c>
      <c r="B4" s="220">
        <f>VLOOKUP($B$1,'Snapshot (Value)'!$A:$S,6,0)</f>
        <v>6.2999999999997272</v>
      </c>
      <c r="C4" s="200"/>
      <c r="D4" s="200"/>
    </row>
    <row r="5" spans="1:4" x14ac:dyDescent="0.25">
      <c r="A5" s="221"/>
      <c r="B5" s="222" t="s">
        <v>649</v>
      </c>
      <c r="C5" s="222" t="s">
        <v>650</v>
      </c>
      <c r="D5" s="222" t="s">
        <v>651</v>
      </c>
    </row>
    <row r="6" spans="1:4" x14ac:dyDescent="0.25">
      <c r="A6" s="217" t="s">
        <v>652</v>
      </c>
      <c r="B6" s="219">
        <f>VLOOKUP($B$1,'Snapshot (Value)'!$A:$S,4,0)</f>
        <v>4068.7</v>
      </c>
      <c r="C6" s="219">
        <f>VLOOKUP($B$1,'Snapshot (Value)'!$A:$S,5,0)</f>
        <v>4068.8</v>
      </c>
      <c r="D6" s="219">
        <f>+(B6/C6-1)*100</f>
        <v>-2.4577270939962759E-3</v>
      </c>
    </row>
    <row r="7" spans="1:4" x14ac:dyDescent="0.25">
      <c r="A7" s="217" t="s">
        <v>316</v>
      </c>
      <c r="B7" s="219">
        <f>VLOOKUP($B$1,'Snapshot (Volume)'!$A:$S,12,0)</f>
        <v>0.56999999999999995</v>
      </c>
      <c r="C7" s="219">
        <f>VLOOKUP($B$1,'Snapshot (Volume)'!$A:$S,13,0)</f>
        <v>0.56999999999999995</v>
      </c>
      <c r="D7" s="219">
        <f>+(B7/C7-1)*100</f>
        <v>0</v>
      </c>
    </row>
    <row r="8" spans="1:4" x14ac:dyDescent="0.25">
      <c r="A8" s="217" t="s">
        <v>653</v>
      </c>
      <c r="B8" s="219">
        <f>VLOOKUP($B$1,'Snapshot (Volume)'!$A:$S,15,0)</f>
        <v>0.68</v>
      </c>
      <c r="C8" s="219">
        <f>VLOOKUP($B$1,'Snapshot (Volume)'!$A:$S,16,0)</f>
        <v>0.62</v>
      </c>
      <c r="D8" s="219">
        <f>+(B8/C8-1)*100</f>
        <v>9.6774193548387224</v>
      </c>
    </row>
    <row r="9" spans="1:4" x14ac:dyDescent="0.25">
      <c r="A9" s="215" t="s">
        <v>654</v>
      </c>
      <c r="B9" s="222" t="s">
        <v>655</v>
      </c>
      <c r="C9" s="222" t="s">
        <v>369</v>
      </c>
      <c r="D9" s="222" t="s">
        <v>651</v>
      </c>
    </row>
    <row r="10" spans="1:4" x14ac:dyDescent="0.25">
      <c r="A10" s="217" t="s">
        <v>656</v>
      </c>
      <c r="B10" s="219">
        <f>VLOOKUP($B$1,'OI(Value)'!$A:$O,5,0)</f>
        <v>5563</v>
      </c>
      <c r="C10" s="219">
        <f>VLOOKUP($B$1,'OI(Value)'!$A:$O,6,0)</f>
        <v>-14</v>
      </c>
      <c r="D10" s="219">
        <f>VLOOKUP($B$1,'OI(Value)'!$A:$O,7,0)*100</f>
        <v>-0.25</v>
      </c>
    </row>
    <row r="11" spans="1:4" x14ac:dyDescent="0.25">
      <c r="A11" s="217" t="s">
        <v>657</v>
      </c>
      <c r="B11" s="219">
        <f>VLOOKUP($B$1,'OI(Value)'!$A:$O,8,0)</f>
        <v>2314</v>
      </c>
      <c r="C11" s="219">
        <f>VLOOKUP($B$1,'OI(Value)'!$A:$O,9,0)</f>
        <v>-39</v>
      </c>
      <c r="D11" s="219">
        <f>VLOOKUP($B$1,'OI(Value)'!$A:$O,10,0)*100</f>
        <v>-1.6500000000000001</v>
      </c>
    </row>
    <row r="12" spans="1:4" x14ac:dyDescent="0.25">
      <c r="A12" s="217" t="s">
        <v>658</v>
      </c>
      <c r="B12" s="219">
        <f>VLOOKUP($B$1,'OI(Value)'!$A:$O,11,0)</f>
        <v>1318</v>
      </c>
      <c r="C12" s="219">
        <f>VLOOKUP($B$1,'OI(Value)'!$A:$O,12,0)</f>
        <v>-35</v>
      </c>
      <c r="D12" s="219">
        <f>VLOOKUP($B$1,'OI(Value)'!$A:$O,13,0)*100</f>
        <v>-2.56</v>
      </c>
    </row>
    <row r="13" spans="1:4" x14ac:dyDescent="0.25">
      <c r="A13" s="215" t="s">
        <v>659</v>
      </c>
      <c r="B13" s="223">
        <f>VLOOKUP($B$1,'OI(Value)'!$A:$O,2,0)</f>
        <v>9195</v>
      </c>
      <c r="C13" s="223">
        <f>VLOOKUP($B$1,'OI(Value)'!$A:$O,3,0)</f>
        <v>-87</v>
      </c>
      <c r="D13" s="223">
        <f>VLOOKUP($B$1,'OI(Value)'!$A:$O,4,0)*100</f>
        <v>-0.94000000000000006</v>
      </c>
    </row>
    <row r="14" spans="1:4" x14ac:dyDescent="0.25">
      <c r="A14" s="215" t="s">
        <v>660</v>
      </c>
      <c r="B14" s="222" t="s">
        <v>661</v>
      </c>
      <c r="C14" s="222" t="s">
        <v>369</v>
      </c>
      <c r="D14" s="222" t="s">
        <v>651</v>
      </c>
    </row>
    <row r="15" spans="1:4" x14ac:dyDescent="0.25">
      <c r="A15" s="217" t="s">
        <v>656</v>
      </c>
      <c r="B15" s="219">
        <f>VLOOKUP($B$1,'OI(Volume)'!$A:$O,5,0)/10^5</f>
        <v>136.72225</v>
      </c>
      <c r="C15" s="219">
        <f>VLOOKUP($B$1,'OI(Volume)'!$A:$O,6,0)/10^5</f>
        <v>-0.33950000000000002</v>
      </c>
      <c r="D15" s="219">
        <f>(VLOOKUP($B$1,'OI(Volume)'!$A:$O,7,0))*100</f>
        <v>-0.25</v>
      </c>
    </row>
    <row r="16" spans="1:4" x14ac:dyDescent="0.25">
      <c r="A16" s="217" t="s">
        <v>657</v>
      </c>
      <c r="B16" s="219">
        <f>VLOOKUP($B$1,'OI(Volume)'!$A:$O,8,0)/10^5</f>
        <v>56.878500000000003</v>
      </c>
      <c r="C16" s="219">
        <f>VLOOKUP($B$1,'OI(Volume)'!$A:$O,9,0)/10^5</f>
        <v>-0.95374999999999999</v>
      </c>
      <c r="D16" s="219">
        <f>(VLOOKUP($B$1,'OI(Volume)'!$A:$O,10,0))*100</f>
        <v>-1.6500000000000001</v>
      </c>
    </row>
    <row r="17" spans="1:4" x14ac:dyDescent="0.25">
      <c r="A17" s="217" t="s">
        <v>658</v>
      </c>
      <c r="B17" s="219">
        <f>VLOOKUP($B$1,'OI(Volume)'!$A:$O,11,0)/10^5</f>
        <v>32.381999999999998</v>
      </c>
      <c r="C17" s="219">
        <f>VLOOKUP($B$1,'OI(Volume)'!$A:$O,12,0)/10^5</f>
        <v>-0.85224999999999995</v>
      </c>
      <c r="D17" s="219">
        <f>(VLOOKUP($B$1,'OI(Volume)'!$A:$O,13,0))*100</f>
        <v>-2.56</v>
      </c>
    </row>
    <row r="18" spans="1:4" x14ac:dyDescent="0.25">
      <c r="A18" s="215" t="s">
        <v>662</v>
      </c>
      <c r="B18" s="223">
        <f>VLOOKUP($B$1,'OI(Volume)'!$A:$O,2,0)/10^5</f>
        <v>225.98275000000001</v>
      </c>
      <c r="C18" s="223">
        <f>VLOOKUP($B$1,'OI(Volume)'!$A:$O,3,0)/10^5</f>
        <v>-2.1455000000000002</v>
      </c>
      <c r="D18" s="223">
        <f>(VLOOKUP($B$1,'OI(Volume)'!$A:$O,4,0))*100</f>
        <v>-0.94000000000000006</v>
      </c>
    </row>
    <row r="20" spans="1:4" x14ac:dyDescent="0.25">
      <c r="A20" s="17" t="s">
        <v>417</v>
      </c>
      <c r="B20" s="224">
        <f>VLOOKUP($B$1,'Open Interest Position'!$A:$F,2,0)/10^5</f>
        <v>1360.07303</v>
      </c>
    </row>
    <row r="21" spans="1:4" x14ac:dyDescent="0.25">
      <c r="A21" s="17" t="s">
        <v>412</v>
      </c>
      <c r="B21" s="224">
        <f>VLOOKUP($B$1,'Open Interest Position'!$A:$F,3,0)/10^5</f>
        <v>222.84674999999999</v>
      </c>
    </row>
    <row r="22" spans="1:4" x14ac:dyDescent="0.25">
      <c r="A22" s="17" t="s">
        <v>418</v>
      </c>
      <c r="B22" s="224">
        <f>VLOOKUP($B$1,'Open Interest Position'!$A:$F,4,0)/10^5</f>
        <v>140.46160720656701</v>
      </c>
    </row>
    <row r="23" spans="1:4" x14ac:dyDescent="0.25">
      <c r="A23" s="17" t="s">
        <v>419</v>
      </c>
      <c r="B23" s="225">
        <f>VLOOKUP($B$1,'Open Interest Position'!$A:$F,6,0)</f>
        <v>0.16384910595572946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46008</v>
      </c>
      <c r="E6" s="66" t="s">
        <v>368</v>
      </c>
      <c r="F6" s="71" t="s">
        <v>333</v>
      </c>
      <c r="G6" s="71" t="s">
        <v>328</v>
      </c>
      <c r="H6" s="66">
        <f>D6</f>
        <v>46008</v>
      </c>
      <c r="I6" s="71" t="s">
        <v>322</v>
      </c>
      <c r="J6" s="71" t="s">
        <v>328</v>
      </c>
      <c r="K6" s="66">
        <f>D6</f>
        <v>46008</v>
      </c>
      <c r="L6" s="78" t="s">
        <v>333</v>
      </c>
      <c r="M6" s="78" t="s">
        <v>328</v>
      </c>
      <c r="N6" s="66">
        <f>D6</f>
        <v>46008</v>
      </c>
      <c r="O6" s="78" t="s">
        <v>322</v>
      </c>
      <c r="P6" s="78" t="s">
        <v>328</v>
      </c>
    </row>
    <row r="7" spans="1:36" x14ac:dyDescent="0.25">
      <c r="A7" s="79" t="str">
        <f>'Data shares'!B2</f>
        <v>Finance</v>
      </c>
      <c r="B7" s="79" t="str">
        <f>'Data shares'!C2</f>
        <v>360ONE</v>
      </c>
      <c r="C7" s="79">
        <f>VLOOKUP($B7,'Data shares'!$C:$FB,7)</f>
        <v>1126.0999999999999</v>
      </c>
      <c r="D7" s="165">
        <f>VLOOKUP($B7,'Data shares'!$C:$FB,98)</f>
        <v>4733500</v>
      </c>
      <c r="E7" s="165">
        <f>VLOOKUP(B7,'Snapshot (Volume)'!$A$7:$G$168,7,0)</f>
        <v>4490000</v>
      </c>
      <c r="F7" s="165">
        <f>D7-E7</f>
        <v>243500</v>
      </c>
      <c r="G7" s="166">
        <f>F7/E7</f>
        <v>5.4231625835189312E-2</v>
      </c>
      <c r="H7" s="165">
        <f>VLOOKUP($B7,'Data shares'!$C:$FB,66)</f>
        <v>18485000</v>
      </c>
      <c r="I7" s="165">
        <f>VLOOKUP($B7,'Data shares'!$C:$FB,67)</f>
        <v>1429000</v>
      </c>
      <c r="J7" s="81">
        <f>(H7-I7)/I7*100</f>
        <v>1193.5619314205737</v>
      </c>
      <c r="K7" s="81">
        <f>VLOOKUP($B7,'Data Vlaue (Cr)'!$C:$FB,99)</f>
        <v>535</v>
      </c>
      <c r="L7" s="81">
        <f>VLOOKUP(B7,'OI(Value)'!$A$7:$C$209,3,0)</f>
        <v>28</v>
      </c>
      <c r="M7" s="81">
        <f t="shared" ref="M7:M36" si="0">L7/K7*100</f>
        <v>5.2336448598130847</v>
      </c>
      <c r="N7" s="81">
        <f>VLOOKUP($B7,'Data Vlaue (Cr)'!$C:$FB,67)</f>
        <v>2089</v>
      </c>
      <c r="O7" s="81">
        <f>VLOOKUP($B7,'Data Vlaue (Cr)'!$C:$FB,68)</f>
        <v>161</v>
      </c>
      <c r="P7" s="81">
        <f t="shared" ref="P7:P23" si="1">(N7-O7)/N7*100</f>
        <v>92.292963140258493</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5171</v>
      </c>
      <c r="D8" s="165">
        <f>VLOOKUP($B8,'Data shares'!$C:$FB,98)</f>
        <v>4053125</v>
      </c>
      <c r="E8" s="165">
        <f>VLOOKUP(B8,'Snapshot (Volume)'!$A$7:$G$168,7,0)</f>
        <v>4001375</v>
      </c>
      <c r="F8" s="165">
        <f t="shared" ref="F8:F23" si="2">D8-E8</f>
        <v>51750</v>
      </c>
      <c r="G8" s="166">
        <f t="shared" ref="G8:G23" si="3">F8/E8</f>
        <v>1.2933054262597232E-2</v>
      </c>
      <c r="H8" s="165">
        <f>VLOOKUP($B8,'Data shares'!$C:$FB,66)</f>
        <v>1434750</v>
      </c>
      <c r="I8" s="165">
        <f>VLOOKUP($B8,'Data shares'!$C:$FB,67)</f>
        <v>1114125</v>
      </c>
      <c r="J8" s="81">
        <f t="shared" ref="J8:J22" si="4">(H8-I8)/I8*100</f>
        <v>28.77818916189835</v>
      </c>
      <c r="K8" s="81">
        <f>VLOOKUP($B8,'Data Vlaue (Cr)'!$C:$FB,99)</f>
        <v>2104</v>
      </c>
      <c r="L8" s="81">
        <f>VLOOKUP(B8,'OI(Value)'!$A$7:$C$209,3,0)</f>
        <v>27</v>
      </c>
      <c r="M8" s="81">
        <f t="shared" si="0"/>
        <v>1.2832699619771863</v>
      </c>
      <c r="N8" s="81">
        <f>VLOOKUP($B8,'Data Vlaue (Cr)'!$C:$FB,67)</f>
        <v>745</v>
      </c>
      <c r="O8" s="81">
        <f>VLOOKUP($B8,'Data Vlaue (Cr)'!$C:$FB,68)</f>
        <v>578</v>
      </c>
      <c r="P8" s="81">
        <f t="shared" si="1"/>
        <v>22.416107382550337</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346.8</v>
      </c>
      <c r="D9" s="165">
        <f>VLOOKUP($B9,'Data shares'!$C:$FB,98)</f>
        <v>120004100</v>
      </c>
      <c r="E9" s="165">
        <f>VLOOKUP(B9,'Snapshot (Volume)'!$A$7:$G$168,7,0)</f>
        <v>118398300</v>
      </c>
      <c r="F9" s="165">
        <f t="shared" si="2"/>
        <v>1605800</v>
      </c>
      <c r="G9" s="166">
        <f t="shared" si="3"/>
        <v>1.3562694734637237E-2</v>
      </c>
      <c r="H9" s="165">
        <f>VLOOKUP($B9,'Data shares'!$C:$FB,66)</f>
        <v>54637500</v>
      </c>
      <c r="I9" s="165">
        <f>VLOOKUP($B9,'Data shares'!$C:$FB,67)</f>
        <v>51695600</v>
      </c>
      <c r="J9" s="81">
        <f t="shared" si="4"/>
        <v>5.6908131446390025</v>
      </c>
      <c r="K9" s="81">
        <f>VLOOKUP($B9,'Data Vlaue (Cr)'!$C:$FB,99)</f>
        <v>4173</v>
      </c>
      <c r="L9" s="81">
        <f>VLOOKUP(B9,'OI(Value)'!$A$7:$C$209,3,0)</f>
        <v>56</v>
      </c>
      <c r="M9" s="81">
        <f t="shared" si="0"/>
        <v>1.3419602204648935</v>
      </c>
      <c r="N9" s="81">
        <f>VLOOKUP($B9,'Data Vlaue (Cr)'!$C:$FB,67)</f>
        <v>1900</v>
      </c>
      <c r="O9" s="81">
        <f>VLOOKUP($B9,'Data Vlaue (Cr)'!$C:$FB,68)</f>
        <v>1797</v>
      </c>
      <c r="P9" s="81">
        <f t="shared" si="1"/>
        <v>5.4210526315789469</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977.55</v>
      </c>
      <c r="D10" s="82">
        <f>VLOOKUP($B10,'Data shares'!$C:$FB,98)</f>
        <v>24405300</v>
      </c>
      <c r="E10" s="165">
        <f>VLOOKUP(B10,'Snapshot (Volume)'!$A$7:$G$168,7,0)</f>
        <v>24439725</v>
      </c>
      <c r="F10" s="165">
        <f t="shared" si="2"/>
        <v>-34425</v>
      </c>
      <c r="G10" s="166">
        <f t="shared" si="3"/>
        <v>-1.4085674040931312E-3</v>
      </c>
      <c r="H10" s="165">
        <f>VLOOKUP($B10,'Data shares'!$C:$FB,66)</f>
        <v>7362225</v>
      </c>
      <c r="I10" s="165">
        <f>VLOOKUP($B10,'Data shares'!$C:$FB,67)</f>
        <v>6372675</v>
      </c>
      <c r="J10" s="81">
        <f t="shared" si="4"/>
        <v>15.528016099989408</v>
      </c>
      <c r="K10" s="5">
        <f>VLOOKUP($B10,'Data Vlaue (Cr)'!$C:$FB,99)</f>
        <v>2395</v>
      </c>
      <c r="L10" s="81">
        <f>VLOOKUP(B10,'OI(Value)'!$A$7:$C$209,3,0)</f>
        <v>-3</v>
      </c>
      <c r="M10" s="33">
        <f t="shared" si="0"/>
        <v>-0.12526096033402923</v>
      </c>
      <c r="N10" s="5">
        <f>VLOOKUP($B10,'Data Vlaue (Cr)'!$C:$FB,67)</f>
        <v>722</v>
      </c>
      <c r="O10" s="5">
        <f>VLOOKUP($B10,'Data Vlaue (Cr)'!$C:$FB,68)</f>
        <v>625</v>
      </c>
      <c r="P10" s="5">
        <f t="shared" si="1"/>
        <v>13.434903047091412</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2232.5</v>
      </c>
      <c r="D11" s="82">
        <f>VLOOKUP($B11,'Data shares'!$C:$FB,98)</f>
        <v>45750540</v>
      </c>
      <c r="E11" s="165">
        <f>VLOOKUP(B11,'Snapshot (Volume)'!$A$7:$G$168,7,0)</f>
        <v>45285804</v>
      </c>
      <c r="F11" s="165">
        <f t="shared" si="2"/>
        <v>464736</v>
      </c>
      <c r="G11" s="166">
        <f t="shared" si="3"/>
        <v>1.0262288817926254E-2</v>
      </c>
      <c r="H11" s="165">
        <f>VLOOKUP($B11,'Data shares'!$C:$FB,66)</f>
        <v>14097816</v>
      </c>
      <c r="I11" s="165">
        <f>VLOOKUP($B11,'Data shares'!$C:$FB,67)</f>
        <v>14190825</v>
      </c>
      <c r="J11" s="81">
        <f t="shared" si="4"/>
        <v>-0.65541643984757758</v>
      </c>
      <c r="K11" s="5">
        <f>VLOOKUP($B11,'Data Vlaue (Cr)'!$C:$FB,99)</f>
        <v>10256</v>
      </c>
      <c r="L11" s="81">
        <f>VLOOKUP(B11,'OI(Value)'!$A$7:$C$209,3,0)</f>
        <v>104</v>
      </c>
      <c r="M11" s="33">
        <f t="shared" si="0"/>
        <v>1.014040561622465</v>
      </c>
      <c r="N11" s="5">
        <f>VLOOKUP($B11,'Data Vlaue (Cr)'!$C:$FB,67)</f>
        <v>3160</v>
      </c>
      <c r="O11" s="5">
        <f>VLOOKUP($B11,'Data Vlaue (Cr)'!$C:$FB,68)</f>
        <v>3181</v>
      </c>
      <c r="P11" s="5">
        <f t="shared" si="1"/>
        <v>-0.66455696202531644</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1020.7</v>
      </c>
      <c r="D12" s="82">
        <f>VLOOKUP($B12,'Data shares'!$C:$FB,98)</f>
        <v>45130200</v>
      </c>
      <c r="E12" s="165">
        <f>VLOOKUP(B12,'Snapshot (Volume)'!$A$7:$G$168,7,0)</f>
        <v>44887800</v>
      </c>
      <c r="F12" s="165">
        <f t="shared" si="2"/>
        <v>242400</v>
      </c>
      <c r="G12" s="166">
        <f t="shared" si="3"/>
        <v>5.4001309932765699E-3</v>
      </c>
      <c r="H12" s="165">
        <f>VLOOKUP($B12,'Data shares'!$C:$FB,66)</f>
        <v>16658400</v>
      </c>
      <c r="I12" s="165">
        <f>VLOOKUP($B12,'Data shares'!$C:$FB,67)</f>
        <v>19941000</v>
      </c>
      <c r="J12" s="81">
        <f t="shared" si="4"/>
        <v>-16.461561606739885</v>
      </c>
      <c r="K12" s="5">
        <f>VLOOKUP($B12,'Data Vlaue (Cr)'!$C:$FB,99)</f>
        <v>4620</v>
      </c>
      <c r="L12" s="81">
        <f>VLOOKUP(B12,'OI(Value)'!$A$7:$C$209,3,0)</f>
        <v>25</v>
      </c>
      <c r="M12" s="33">
        <f t="shared" si="0"/>
        <v>0.54112554112554112</v>
      </c>
      <c r="N12" s="5">
        <f>VLOOKUP($B12,'Data Vlaue (Cr)'!$C:$FB,67)</f>
        <v>1705</v>
      </c>
      <c r="O12" s="5">
        <f>VLOOKUP($B12,'Data Vlaue (Cr)'!$C:$FB,68)</f>
        <v>2041</v>
      </c>
      <c r="P12" s="5">
        <f t="shared" si="1"/>
        <v>-19.706744868035191</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1486.3</v>
      </c>
      <c r="D13" s="82">
        <f>VLOOKUP($B13,'Data shares'!$C:$FB,98)</f>
        <v>37797650</v>
      </c>
      <c r="E13" s="165">
        <f>VLOOKUP(B13,'Snapshot (Volume)'!$A$7:$G$168,7,0)</f>
        <v>37124100</v>
      </c>
      <c r="F13" s="165">
        <f t="shared" si="2"/>
        <v>673550</v>
      </c>
      <c r="G13" s="166">
        <f t="shared" si="3"/>
        <v>1.8143200777931318E-2</v>
      </c>
      <c r="H13" s="165">
        <f>VLOOKUP($B13,'Data shares'!$C:$FB,66)</f>
        <v>11946725</v>
      </c>
      <c r="I13" s="165">
        <f>VLOOKUP($B13,'Data shares'!$C:$FB,67)</f>
        <v>9777400</v>
      </c>
      <c r="J13" s="81">
        <f t="shared" si="4"/>
        <v>22.187135639331519</v>
      </c>
      <c r="K13" s="5">
        <f>VLOOKUP($B13,'Data Vlaue (Cr)'!$C:$FB,99)</f>
        <v>5639</v>
      </c>
      <c r="L13" s="81">
        <f>VLOOKUP(B13,'OI(Value)'!$A$7:$C$209,3,0)</f>
        <v>100</v>
      </c>
      <c r="M13" s="33">
        <f t="shared" si="0"/>
        <v>1.7733640716439083</v>
      </c>
      <c r="N13" s="5">
        <f>VLOOKUP($B13,'Data Vlaue (Cr)'!$C:$FB,67)</f>
        <v>1782</v>
      </c>
      <c r="O13" s="5">
        <f>VLOOKUP($B13,'Data Vlaue (Cr)'!$C:$FB,68)</f>
        <v>1459</v>
      </c>
      <c r="P13" s="5">
        <f t="shared" si="1"/>
        <v>18.125701459034794</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5628.5</v>
      </c>
      <c r="D14" s="82">
        <f>VLOOKUP($B14,'Data shares'!$C:$FB,98)</f>
        <v>2011375</v>
      </c>
      <c r="E14" s="165">
        <f>VLOOKUP(B14,'Snapshot (Volume)'!$A$7:$G$168,7,0)</f>
        <v>1981375</v>
      </c>
      <c r="F14" s="165">
        <f t="shared" si="2"/>
        <v>30000</v>
      </c>
      <c r="G14" s="166">
        <f t="shared" si="3"/>
        <v>1.5141000567787522E-2</v>
      </c>
      <c r="H14" s="165">
        <f>VLOOKUP($B14,'Data shares'!$C:$FB,66)</f>
        <v>652625</v>
      </c>
      <c r="I14" s="165">
        <f>VLOOKUP($B14,'Data shares'!$C:$FB,67)</f>
        <v>424625</v>
      </c>
      <c r="J14" s="81">
        <f t="shared" si="4"/>
        <v>53.694436267294677</v>
      </c>
      <c r="K14" s="5">
        <f>VLOOKUP($B14,'Data Vlaue (Cr)'!$C:$FB,99)</f>
        <v>1134</v>
      </c>
      <c r="L14" s="81">
        <f>VLOOKUP(B14,'OI(Value)'!$A$7:$C$209,3,0)</f>
        <v>17</v>
      </c>
      <c r="M14" s="33">
        <f t="shared" si="0"/>
        <v>1.4991181657848323</v>
      </c>
      <c r="N14" s="5">
        <f>VLOOKUP($B14,'Data Vlaue (Cr)'!$C:$FB,67)</f>
        <v>368</v>
      </c>
      <c r="O14" s="5">
        <f>VLOOKUP($B14,'Data Vlaue (Cr)'!$C:$FB,68)</f>
        <v>239</v>
      </c>
      <c r="P14" s="5">
        <f t="shared" si="1"/>
        <v>35.054347826086953</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6580.5</v>
      </c>
      <c r="D15" s="82">
        <f>VLOOKUP($B15,'Data shares'!$C:$FB,98)</f>
        <v>3135300</v>
      </c>
      <c r="E15" s="165">
        <f>VLOOKUP(B15,'Snapshot (Volume)'!$A$7:$G$168,7,0)</f>
        <v>3017900</v>
      </c>
      <c r="F15" s="165">
        <f t="shared" si="2"/>
        <v>117400</v>
      </c>
      <c r="G15" s="166">
        <f t="shared" si="3"/>
        <v>3.8901222704529642E-2</v>
      </c>
      <c r="H15" s="165">
        <f>VLOOKUP($B15,'Data shares'!$C:$FB,66)</f>
        <v>3310900</v>
      </c>
      <c r="I15" s="165">
        <f>VLOOKUP($B15,'Data shares'!$C:$FB,67)</f>
        <v>2052900</v>
      </c>
      <c r="J15" s="81">
        <f t="shared" si="4"/>
        <v>61.279166057771931</v>
      </c>
      <c r="K15" s="5">
        <f>VLOOKUP($B15,'Data Vlaue (Cr)'!$C:$FB,99)</f>
        <v>2069</v>
      </c>
      <c r="L15" s="81">
        <f>VLOOKUP(B15,'OI(Value)'!$A$7:$C$209,3,0)</f>
        <v>77</v>
      </c>
      <c r="M15" s="33">
        <f t="shared" si="0"/>
        <v>3.7216046399226683</v>
      </c>
      <c r="N15" s="5">
        <f>VLOOKUP($B15,'Data Vlaue (Cr)'!$C:$FB,67)</f>
        <v>2185</v>
      </c>
      <c r="O15" s="5">
        <f>VLOOKUP($B15,'Data Vlaue (Cr)'!$C:$FB,68)</f>
        <v>1355</v>
      </c>
      <c r="P15" s="5">
        <f t="shared" si="1"/>
        <v>37.986270022883296</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541.29999999999995</v>
      </c>
      <c r="D16" s="82">
        <f>VLOOKUP($B16,'Data shares'!$C:$FB,98)</f>
        <v>69549900</v>
      </c>
      <c r="E16" s="165">
        <f>VLOOKUP(B16,'Snapshot (Volume)'!$A$7:$G$168,7,0)</f>
        <v>69139350</v>
      </c>
      <c r="F16" s="165">
        <f t="shared" si="2"/>
        <v>410550</v>
      </c>
      <c r="G16" s="166">
        <f t="shared" si="3"/>
        <v>5.9380078059744559E-3</v>
      </c>
      <c r="H16" s="165">
        <f>VLOOKUP($B16,'Data shares'!$C:$FB,66)</f>
        <v>10128300</v>
      </c>
      <c r="I16" s="165">
        <f>VLOOKUP($B16,'Data shares'!$C:$FB,67)</f>
        <v>14701050</v>
      </c>
      <c r="J16" s="81">
        <f t="shared" si="4"/>
        <v>-31.104921077065921</v>
      </c>
      <c r="K16" s="5">
        <f>VLOOKUP($B16,'Data Vlaue (Cr)'!$C:$FB,99)</f>
        <v>3769</v>
      </c>
      <c r="L16" s="81">
        <f>VLOOKUP(B16,'OI(Value)'!$A$7:$C$209,3,0)</f>
        <v>22</v>
      </c>
      <c r="M16" s="33">
        <f t="shared" si="0"/>
        <v>0.58370920668612369</v>
      </c>
      <c r="N16" s="5">
        <f>VLOOKUP($B16,'Data Vlaue (Cr)'!$C:$FB,67)</f>
        <v>549</v>
      </c>
      <c r="O16" s="5">
        <f>VLOOKUP($B16,'Data Vlaue (Cr)'!$C:$FB,68)</f>
        <v>797</v>
      </c>
      <c r="P16" s="5">
        <f t="shared" si="1"/>
        <v>-45.173041894353375</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2504.6</v>
      </c>
      <c r="D17" s="82">
        <f>VLOOKUP($B17,'Data shares'!$C:$FB,98)</f>
        <v>11446750</v>
      </c>
      <c r="E17" s="165">
        <f>VLOOKUP(B17,'Snapshot (Volume)'!$A$7:$G$168,7,0)</f>
        <v>11076000</v>
      </c>
      <c r="F17" s="165">
        <f t="shared" si="2"/>
        <v>370750</v>
      </c>
      <c r="G17" s="166">
        <f t="shared" si="3"/>
        <v>3.3473275550740339E-2</v>
      </c>
      <c r="H17" s="165">
        <f>VLOOKUP($B17,'Data shares'!$C:$FB,66)</f>
        <v>6391500</v>
      </c>
      <c r="I17" s="165">
        <f>VLOOKUP($B17,'Data shares'!$C:$FB,67)</f>
        <v>6226250</v>
      </c>
      <c r="J17" s="81">
        <f t="shared" si="4"/>
        <v>2.6540855249949811</v>
      </c>
      <c r="K17" s="5">
        <f>VLOOKUP($B17,'Data Vlaue (Cr)'!$C:$FB,99)</f>
        <v>2838</v>
      </c>
      <c r="L17" s="81">
        <f>VLOOKUP(B17,'OI(Value)'!$A$7:$C$209,3,0)</f>
        <v>92</v>
      </c>
      <c r="M17" s="33">
        <f t="shared" si="0"/>
        <v>3.2417195207892879</v>
      </c>
      <c r="N17" s="5">
        <f>VLOOKUP($B17,'Data Vlaue (Cr)'!$C:$FB,67)</f>
        <v>1584</v>
      </c>
      <c r="O17" s="5">
        <f>VLOOKUP($B17,'Data Vlaue (Cr)'!$C:$FB,68)</f>
        <v>1543</v>
      </c>
      <c r="P17" s="5">
        <f t="shared" si="1"/>
        <v>2.5883838383838382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1764.5</v>
      </c>
      <c r="D18" s="82">
        <f>VLOOKUP($B18,'Data shares'!$C:$FB,98)</f>
        <v>9858100</v>
      </c>
      <c r="E18" s="165">
        <f>VLOOKUP(B18,'Snapshot (Volume)'!$A$7:$G$168,7,0)</f>
        <v>9637250</v>
      </c>
      <c r="F18" s="165">
        <f t="shared" si="2"/>
        <v>220850</v>
      </c>
      <c r="G18" s="166">
        <f t="shared" si="3"/>
        <v>2.2916288360268749E-2</v>
      </c>
      <c r="H18" s="165">
        <f>VLOOKUP($B18,'Data shares'!$C:$FB,66)</f>
        <v>9178750</v>
      </c>
      <c r="I18" s="165">
        <f>VLOOKUP($B18,'Data shares'!$C:$FB,67)</f>
        <v>1322650</v>
      </c>
      <c r="J18" s="81">
        <f t="shared" si="4"/>
        <v>593.96665784599099</v>
      </c>
      <c r="K18" s="5">
        <f>VLOOKUP($B18,'Data Vlaue (Cr)'!$C:$FB,99)</f>
        <v>1744</v>
      </c>
      <c r="L18" s="81">
        <f>VLOOKUP(B18,'OI(Value)'!$A$7:$C$209,3,0)</f>
        <v>39</v>
      </c>
      <c r="M18" s="33">
        <f t="shared" si="0"/>
        <v>2.2362385321100917</v>
      </c>
      <c r="N18" s="5">
        <f>VLOOKUP($B18,'Data Vlaue (Cr)'!$C:$FB,67)</f>
        <v>1624</v>
      </c>
      <c r="O18" s="5">
        <f>VLOOKUP($B18,'Data Vlaue (Cr)'!$C:$FB,68)</f>
        <v>234</v>
      </c>
      <c r="P18" s="5">
        <f t="shared" si="1"/>
        <v>85.591133004926107</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6921.5</v>
      </c>
      <c r="D19" s="82">
        <f>VLOOKUP($B19,'Data shares'!$C:$FB,98)</f>
        <v>6962375</v>
      </c>
      <c r="E19" s="165">
        <f>VLOOKUP(B19,'Snapshot (Volume)'!$A$7:$G$168,7,0)</f>
        <v>6459750</v>
      </c>
      <c r="F19" s="165">
        <f t="shared" si="2"/>
        <v>502625</v>
      </c>
      <c r="G19" s="166">
        <f t="shared" si="3"/>
        <v>7.7808738728278953E-2</v>
      </c>
      <c r="H19" s="165">
        <f>VLOOKUP($B19,'Data shares'!$C:$FB,66)</f>
        <v>5077125</v>
      </c>
      <c r="I19" s="165">
        <f>VLOOKUP($B19,'Data shares'!$C:$FB,67)</f>
        <v>3961000</v>
      </c>
      <c r="J19" s="81">
        <f t="shared" si="4"/>
        <v>28.177859126483213</v>
      </c>
      <c r="K19" s="5">
        <f>VLOOKUP($B19,'Data Vlaue (Cr)'!$C:$FB,99)</f>
        <v>4823</v>
      </c>
      <c r="L19" s="81">
        <f>VLOOKUP(B19,'OI(Value)'!$A$7:$C$209,3,0)</f>
        <v>348</v>
      </c>
      <c r="M19" s="33">
        <f t="shared" si="0"/>
        <v>7.2154260833506125</v>
      </c>
      <c r="N19" s="5">
        <f>VLOOKUP($B19,'Data Vlaue (Cr)'!$C:$FB,67)</f>
        <v>3517</v>
      </c>
      <c r="O19" s="5">
        <f>VLOOKUP($B19,'Data Vlaue (Cr)'!$C:$FB,68)</f>
        <v>2744</v>
      </c>
      <c r="P19" s="5">
        <f t="shared" si="1"/>
        <v>21.978959340346886</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166.14</v>
      </c>
      <c r="D20" s="82">
        <f>VLOOKUP($B20,'Data shares'!$C:$FB,98)</f>
        <v>293850000</v>
      </c>
      <c r="E20" s="165">
        <f>VLOOKUP(B20,'Snapshot (Volume)'!$A$7:$G$168,7,0)</f>
        <v>292955000</v>
      </c>
      <c r="F20" s="165">
        <f t="shared" si="2"/>
        <v>895000</v>
      </c>
      <c r="G20" s="166">
        <f t="shared" si="3"/>
        <v>3.0550767182673105E-3</v>
      </c>
      <c r="H20" s="165">
        <f>VLOOKUP($B20,'Data shares'!$C:$FB,66)</f>
        <v>123790000</v>
      </c>
      <c r="I20" s="165">
        <f>VLOOKUP($B20,'Data shares'!$C:$FB,67)</f>
        <v>218685000</v>
      </c>
      <c r="J20" s="81">
        <f t="shared" si="4"/>
        <v>-43.393465486887536</v>
      </c>
      <c r="K20" s="5">
        <f>VLOOKUP($B20,'Data Vlaue (Cr)'!$C:$FB,99)</f>
        <v>4882</v>
      </c>
      <c r="L20" s="81">
        <f>VLOOKUP(B20,'OI(Value)'!$A$7:$C$209,3,0)</f>
        <v>15</v>
      </c>
      <c r="M20" s="33">
        <f t="shared" si="0"/>
        <v>0.30725112658746417</v>
      </c>
      <c r="N20" s="5">
        <f>VLOOKUP($B20,'Data Vlaue (Cr)'!$C:$FB,67)</f>
        <v>2057</v>
      </c>
      <c r="O20" s="5">
        <f>VLOOKUP($B20,'Data Vlaue (Cr)'!$C:$FB,68)</f>
        <v>3633</v>
      </c>
      <c r="P20" s="5">
        <f t="shared" si="1"/>
        <v>-76.616431696645606</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2785.7</v>
      </c>
      <c r="D21" s="82">
        <f>VLOOKUP($B21,'Data shares'!$C:$FB,98)</f>
        <v>25628250</v>
      </c>
      <c r="E21" s="165">
        <f>VLOOKUP(B21,'Snapshot (Volume)'!$A$7:$G$168,7,0)</f>
        <v>25569000</v>
      </c>
      <c r="F21" s="165">
        <f t="shared" si="2"/>
        <v>59250</v>
      </c>
      <c r="G21" s="166">
        <f t="shared" si="3"/>
        <v>2.31725918103954E-3</v>
      </c>
      <c r="H21" s="165">
        <f>VLOOKUP($B21,'Data shares'!$C:$FB,66)</f>
        <v>10192750</v>
      </c>
      <c r="I21" s="165">
        <f>VLOOKUP($B21,'Data shares'!$C:$FB,67)</f>
        <v>15616750</v>
      </c>
      <c r="J21" s="81">
        <f t="shared" si="4"/>
        <v>-34.731938463508733</v>
      </c>
      <c r="K21" s="5">
        <f>VLOOKUP($B21,'Data Vlaue (Cr)'!$C:$FB,99)</f>
        <v>7139</v>
      </c>
      <c r="L21" s="81">
        <f>VLOOKUP(B21,'OI(Value)'!$A$7:$C$209,3,0)</f>
        <v>17</v>
      </c>
      <c r="M21" s="33">
        <f t="shared" si="0"/>
        <v>0.23812858943829668</v>
      </c>
      <c r="N21" s="5">
        <f>VLOOKUP($B21,'Data Vlaue (Cr)'!$C:$FB,67)</f>
        <v>2839</v>
      </c>
      <c r="O21" s="5">
        <f>VLOOKUP($B21,'Data Vlaue (Cr)'!$C:$FB,68)</f>
        <v>4350</v>
      </c>
      <c r="P21" s="5">
        <f t="shared" si="1"/>
        <v>-53.222965833039801</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1428.9</v>
      </c>
      <c r="D22" s="82">
        <f>VLOOKUP($B22,'Data shares'!$C:$FB,98)</f>
        <v>13217925</v>
      </c>
      <c r="E22" s="165">
        <f>VLOOKUP(B22,'Snapshot (Volume)'!$A$7:$G$168,7,0)</f>
        <v>13336075</v>
      </c>
      <c r="F22" s="165">
        <f t="shared" si="2"/>
        <v>-118150</v>
      </c>
      <c r="G22" s="166">
        <f t="shared" si="3"/>
        <v>-8.8594282800599118E-3</v>
      </c>
      <c r="H22" s="165">
        <f>VLOOKUP($B22,'Data shares'!$C:$FB,66)</f>
        <v>8644925</v>
      </c>
      <c r="I22" s="165">
        <f>VLOOKUP($B22,'Data shares'!$C:$FB,67)</f>
        <v>23967875</v>
      </c>
      <c r="J22" s="81">
        <f t="shared" si="4"/>
        <v>-63.931199574430352</v>
      </c>
      <c r="K22" s="5">
        <f>VLOOKUP($B22,'Data Vlaue (Cr)'!$C:$FB,99)</f>
        <v>1891</v>
      </c>
      <c r="L22" s="81">
        <f>VLOOKUP(B22,'OI(Value)'!$A$7:$C$209,3,0)</f>
        <v>-17</v>
      </c>
      <c r="M22" s="33">
        <f t="shared" si="0"/>
        <v>-0.89899524061343217</v>
      </c>
      <c r="N22" s="5">
        <f>VLOOKUP($B22,'Data Vlaue (Cr)'!$C:$FB,67)</f>
        <v>1237</v>
      </c>
      <c r="O22" s="5">
        <f>VLOOKUP($B22,'Data Vlaue (Cr)'!$C:$FB,68)</f>
        <v>3430</v>
      </c>
      <c r="P22" s="5">
        <f t="shared" si="1"/>
        <v>-177.28375101050929</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990.3</v>
      </c>
      <c r="D23" s="82">
        <f>VLOOKUP($B23,'Data shares'!$C:$FB,98)</f>
        <v>37009000</v>
      </c>
      <c r="E23" s="165">
        <f>VLOOKUP(B23,'Snapshot (Volume)'!$A$7:$G$168,7,0)</f>
        <v>35063000</v>
      </c>
      <c r="F23" s="165">
        <f t="shared" si="2"/>
        <v>1946000</v>
      </c>
      <c r="G23" s="166">
        <f t="shared" si="3"/>
        <v>5.5500099820323417E-2</v>
      </c>
      <c r="H23" s="165">
        <f>VLOOKUP($B23,'Data shares'!$C:$FB,66)</f>
        <v>33329000</v>
      </c>
      <c r="I23" s="165">
        <f>VLOOKUP($B23,'Data shares'!$C:$FB,67)</f>
        <v>12494000</v>
      </c>
      <c r="J23" s="81">
        <f>(H23-I23)/I23*100</f>
        <v>166.76004482151433</v>
      </c>
      <c r="K23" s="5">
        <f>VLOOKUP($B23,'Data Vlaue (Cr)'!$C:$FB,99)</f>
        <v>3659</v>
      </c>
      <c r="L23" s="81">
        <f>VLOOKUP(B23,'OI(Value)'!$A$7:$C$209,3,0)</f>
        <v>192</v>
      </c>
      <c r="M23" s="33">
        <f t="shared" si="0"/>
        <v>5.2473353375239142</v>
      </c>
      <c r="N23" s="5">
        <f>VLOOKUP($B23,'Data Vlaue (Cr)'!$C:$FB,67)</f>
        <v>3295</v>
      </c>
      <c r="O23" s="5">
        <f>VLOOKUP($B23,'Data Vlaue (Cr)'!$C:$FB,68)</f>
        <v>1235</v>
      </c>
      <c r="P23" s="5">
        <f t="shared" si="1"/>
        <v>62.518968133535658</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1193</v>
      </c>
      <c r="D24" s="80">
        <f>VLOOKUP($B24,'Data shares'!$C:$FB,98)</f>
        <v>31045850</v>
      </c>
      <c r="E24" s="165">
        <f>VLOOKUP(B24,'Snapshot (Volume)'!$A$7:$G$168,7,0)</f>
        <v>30823650</v>
      </c>
      <c r="F24" s="165">
        <f t="shared" ref="F24:F36" si="5">D24-E24</f>
        <v>222200</v>
      </c>
      <c r="G24" s="166">
        <f t="shared" ref="G24:G36" si="6">F24/E24</f>
        <v>7.2087504237817387E-3</v>
      </c>
      <c r="H24" s="165">
        <f>VLOOKUP($B24,'Data shares'!$C:$FB,66)</f>
        <v>5931750</v>
      </c>
      <c r="I24" s="165">
        <f>VLOOKUP($B24,'Data shares'!$C:$FB,67)</f>
        <v>5702950</v>
      </c>
      <c r="J24" s="81">
        <f t="shared" ref="J24:J36" si="7">(H24-I24)/I24*100</f>
        <v>4.0119587231169831</v>
      </c>
      <c r="K24" s="81">
        <f>VLOOKUP($B24,'Data Vlaue (Cr)'!$C:$FB,99)</f>
        <v>3711</v>
      </c>
      <c r="L24" s="81">
        <f>VLOOKUP(B24,'OI(Value)'!$A$7:$C$209,3,0)</f>
        <v>27</v>
      </c>
      <c r="M24" s="81">
        <f t="shared" si="0"/>
        <v>0.72756669361358117</v>
      </c>
      <c r="N24" s="81">
        <f>VLOOKUP($B24,'Data Vlaue (Cr)'!$C:$FB,67)</f>
        <v>709</v>
      </c>
      <c r="O24" s="81">
        <f>VLOOKUP($B24,'Data Vlaue (Cr)'!$C:$FB,68)</f>
        <v>682</v>
      </c>
      <c r="P24" s="81">
        <f t="shared" ref="P24:P36" si="8">(N24-O24)/N24*100</f>
        <v>3.8081805359661498</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1224.7</v>
      </c>
      <c r="D25" s="82">
        <f>VLOOKUP($B25,'Data shares'!$C:$FB,98)</f>
        <v>129960000</v>
      </c>
      <c r="E25" s="165">
        <f>VLOOKUP(B25,'Snapshot (Volume)'!$A$7:$G$168,7,0)</f>
        <v>135171250</v>
      </c>
      <c r="F25" s="165">
        <f t="shared" si="5"/>
        <v>-5211250</v>
      </c>
      <c r="G25" s="166">
        <f t="shared" si="6"/>
        <v>-3.8552946724987748E-2</v>
      </c>
      <c r="H25" s="165">
        <f>VLOOKUP($B25,'Data shares'!$C:$FB,66)</f>
        <v>99665625</v>
      </c>
      <c r="I25" s="165">
        <f>VLOOKUP($B25,'Data shares'!$C:$FB,67)</f>
        <v>226303125</v>
      </c>
      <c r="J25" s="81">
        <f t="shared" si="7"/>
        <v>-55.959236090973121</v>
      </c>
      <c r="K25" s="5">
        <f>VLOOKUP($B25,'Data Vlaue (Cr)'!$C:$FB,99)</f>
        <v>15967</v>
      </c>
      <c r="L25" s="81">
        <f>VLOOKUP(B25,'OI(Value)'!$A$7:$C$209,3,0)</f>
        <v>-640</v>
      </c>
      <c r="M25" s="33">
        <f t="shared" si="0"/>
        <v>-4.0082670507922593</v>
      </c>
      <c r="N25" s="5">
        <f>VLOOKUP($B25,'Data Vlaue (Cr)'!$C:$FB,67)</f>
        <v>12245</v>
      </c>
      <c r="O25" s="5">
        <f>VLOOKUP($B25,'Data Vlaue (Cr)'!$C:$FB,68)</f>
        <v>27804</v>
      </c>
      <c r="P25" s="5">
        <f t="shared" si="8"/>
        <v>-127.06410779910166</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8895</v>
      </c>
      <c r="D26" s="82">
        <f>VLOOKUP($B26,'Data shares'!$C:$FB,98)</f>
        <v>6922500</v>
      </c>
      <c r="E26" s="165">
        <f>VLOOKUP(B26,'Snapshot (Volume)'!$A$7:$G$168,7,0)</f>
        <v>6778575</v>
      </c>
      <c r="F26" s="165">
        <f t="shared" si="5"/>
        <v>143925</v>
      </c>
      <c r="G26" s="166">
        <f t="shared" si="6"/>
        <v>2.1232338655248338E-2</v>
      </c>
      <c r="H26" s="165">
        <f>VLOOKUP($B26,'Data shares'!$C:$FB,66)</f>
        <v>4221675</v>
      </c>
      <c r="I26" s="165">
        <f>VLOOKUP($B26,'Data shares'!$C:$FB,67)</f>
        <v>3321000</v>
      </c>
      <c r="J26" s="81">
        <f t="shared" si="7"/>
        <v>27.120596205962062</v>
      </c>
      <c r="K26" s="5">
        <f>VLOOKUP($B26,'Data Vlaue (Cr)'!$C:$FB,99)</f>
        <v>6178</v>
      </c>
      <c r="L26" s="81">
        <f>VLOOKUP(B26,'OI(Value)'!$A$7:$C$209,3,0)</f>
        <v>128</v>
      </c>
      <c r="M26" s="33">
        <f t="shared" si="0"/>
        <v>2.0718679184202009</v>
      </c>
      <c r="N26" s="5">
        <f>VLOOKUP($B26,'Data Vlaue (Cr)'!$C:$FB,67)</f>
        <v>3768</v>
      </c>
      <c r="O26" s="5">
        <f>VLOOKUP($B26,'Data Vlaue (Cr)'!$C:$FB,68)</f>
        <v>2964</v>
      </c>
      <c r="P26" s="5">
        <f t="shared" si="8"/>
        <v>21.337579617834397</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2021.2</v>
      </c>
      <c r="D27" s="82">
        <f>VLOOKUP($B27,'Data shares'!$C:$FB,98)</f>
        <v>27803750</v>
      </c>
      <c r="E27" s="165">
        <f>VLOOKUP(B27,'Snapshot (Volume)'!$A$7:$G$168,7,0)</f>
        <v>27468250</v>
      </c>
      <c r="F27" s="165">
        <f t="shared" si="5"/>
        <v>335500</v>
      </c>
      <c r="G27" s="166">
        <f t="shared" si="6"/>
        <v>1.2214101735640239E-2</v>
      </c>
      <c r="H27" s="165">
        <f>VLOOKUP($B27,'Data shares'!$C:$FB,66)</f>
        <v>8635750</v>
      </c>
      <c r="I27" s="165">
        <f>VLOOKUP($B27,'Data shares'!$C:$FB,67)</f>
        <v>8110500</v>
      </c>
      <c r="J27" s="81">
        <f t="shared" si="7"/>
        <v>6.4761728623389425</v>
      </c>
      <c r="K27" s="5">
        <f>VLOOKUP($B27,'Data Vlaue (Cr)'!$C:$FB,99)</f>
        <v>5633</v>
      </c>
      <c r="L27" s="81">
        <f>VLOOKUP(B27,'OI(Value)'!$A$7:$C$209,3,0)</f>
        <v>68</v>
      </c>
      <c r="M27" s="33">
        <f t="shared" si="0"/>
        <v>1.207172022013137</v>
      </c>
      <c r="N27" s="5">
        <f>VLOOKUP($B27,'Data Vlaue (Cr)'!$C:$FB,67)</f>
        <v>1750</v>
      </c>
      <c r="O27" s="5">
        <f>VLOOKUP($B27,'Data Vlaue (Cr)'!$C:$FB,68)</f>
        <v>1643</v>
      </c>
      <c r="P27" s="5">
        <f t="shared" si="8"/>
        <v>6.1142857142857148</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999.6</v>
      </c>
      <c r="D28" s="82">
        <f>VLOOKUP($B28,'Data shares'!$C:$FB,98)</f>
        <v>139824750</v>
      </c>
      <c r="E28" s="165">
        <f>VLOOKUP(B28,'Snapshot (Volume)'!$A$7:$G$168,7,0)</f>
        <v>139645500</v>
      </c>
      <c r="F28" s="165">
        <f t="shared" si="5"/>
        <v>179250</v>
      </c>
      <c r="G28" s="166">
        <f t="shared" si="6"/>
        <v>1.2836074202176224E-3</v>
      </c>
      <c r="H28" s="165">
        <f>VLOOKUP($B28,'Data shares'!$C:$FB,66)</f>
        <v>47657250</v>
      </c>
      <c r="I28" s="165">
        <f>VLOOKUP($B28,'Data shares'!$C:$FB,67)</f>
        <v>38676750</v>
      </c>
      <c r="J28" s="81">
        <f t="shared" si="7"/>
        <v>23.21937598169443</v>
      </c>
      <c r="K28" s="5">
        <f>VLOOKUP($B28,'Data Vlaue (Cr)'!$C:$FB,99)</f>
        <v>14026</v>
      </c>
      <c r="L28" s="81">
        <f>VLOOKUP(B28,'OI(Value)'!$A$7:$C$209,3,0)</f>
        <v>18</v>
      </c>
      <c r="M28" s="33">
        <f t="shared" si="0"/>
        <v>0.12833309567945245</v>
      </c>
      <c r="N28" s="5">
        <f>VLOOKUP($B28,'Data Vlaue (Cr)'!$C:$FB,67)</f>
        <v>4780</v>
      </c>
      <c r="O28" s="5">
        <f>VLOOKUP($B28,'Data Vlaue (Cr)'!$C:$FB,68)</f>
        <v>3880</v>
      </c>
      <c r="P28" s="5">
        <f t="shared" si="8"/>
        <v>18.828451882845187</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147.84</v>
      </c>
      <c r="D29" s="82">
        <f>VLOOKUP($B29,'Data shares'!$C:$FB,98)</f>
        <v>183423600</v>
      </c>
      <c r="E29" s="165">
        <f>VLOOKUP(B29,'Snapshot (Volume)'!$A$7:$G$168,7,0)</f>
        <v>183834000</v>
      </c>
      <c r="F29" s="165">
        <f t="shared" si="5"/>
        <v>-410400</v>
      </c>
      <c r="G29" s="166">
        <f t="shared" si="6"/>
        <v>-2.2324488397140901E-3</v>
      </c>
      <c r="H29" s="165">
        <f>VLOOKUP($B29,'Data shares'!$C:$FB,66)</f>
        <v>2296800</v>
      </c>
      <c r="I29" s="165">
        <f>VLOOKUP($B29,'Data shares'!$C:$FB,67)</f>
        <v>1256400</v>
      </c>
      <c r="J29" s="81">
        <f t="shared" si="7"/>
        <v>82.808022922636098</v>
      </c>
      <c r="K29" s="5">
        <f>VLOOKUP($B29,'Data Vlaue (Cr)'!$C:$FB,99)</f>
        <v>2726</v>
      </c>
      <c r="L29" s="81">
        <f>VLOOKUP(B29,'OI(Value)'!$A$7:$C$209,3,0)</f>
        <v>-6</v>
      </c>
      <c r="M29" s="33">
        <f t="shared" si="0"/>
        <v>-0.22010271460014674</v>
      </c>
      <c r="N29" s="5">
        <f>VLOOKUP($B29,'Data Vlaue (Cr)'!$C:$FB,67)</f>
        <v>34</v>
      </c>
      <c r="O29" s="5">
        <f>VLOOKUP($B29,'Data Vlaue (Cr)'!$C:$FB,68)</f>
        <v>19</v>
      </c>
      <c r="P29" s="5">
        <f t="shared" si="8"/>
        <v>44.117647058823529</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287.60000000000002</v>
      </c>
      <c r="D30" s="82">
        <f>VLOOKUP($B30,'Data shares'!$C:$FB,98)</f>
        <v>178343100</v>
      </c>
      <c r="E30" s="165">
        <f>VLOOKUP(B30,'Snapshot (Volume)'!$A$7:$G$168,7,0)</f>
        <v>182508300</v>
      </c>
      <c r="F30" s="165">
        <f t="shared" si="5"/>
        <v>-4165200</v>
      </c>
      <c r="G30" s="166">
        <f t="shared" si="6"/>
        <v>-2.2821975767677416E-2</v>
      </c>
      <c r="H30" s="165">
        <f>VLOOKUP($B30,'Data shares'!$C:$FB,66)</f>
        <v>122265000</v>
      </c>
      <c r="I30" s="165">
        <f>VLOOKUP($B30,'Data shares'!$C:$FB,67)</f>
        <v>73402875</v>
      </c>
      <c r="J30" s="81">
        <f t="shared" si="7"/>
        <v>66.567045228133097</v>
      </c>
      <c r="K30" s="5">
        <f>VLOOKUP($B30,'Data Vlaue (Cr)'!$C:$FB,99)</f>
        <v>5139</v>
      </c>
      <c r="L30" s="81">
        <f>VLOOKUP(B30,'OI(Value)'!$A$7:$C$209,3,0)</f>
        <v>-120</v>
      </c>
      <c r="M30" s="33">
        <f t="shared" si="0"/>
        <v>-2.335084646818447</v>
      </c>
      <c r="N30" s="5">
        <f>VLOOKUP($B30,'Data Vlaue (Cr)'!$C:$FB,67)</f>
        <v>3523</v>
      </c>
      <c r="O30" s="5">
        <f>VLOOKUP($B30,'Data Vlaue (Cr)'!$C:$FB,68)</f>
        <v>2115</v>
      </c>
      <c r="P30" s="5">
        <f t="shared" si="8"/>
        <v>39.965938120919667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141.96</v>
      </c>
      <c r="D31" s="82">
        <f>VLOOKUP($B31,'Data shares'!$C:$FB,98)</f>
        <v>97723600</v>
      </c>
      <c r="E31" s="165">
        <f>VLOOKUP(B31,'Snapshot (Volume)'!$A$7:$G$168,7,0)</f>
        <v>96272800</v>
      </c>
      <c r="F31" s="165">
        <f t="shared" si="5"/>
        <v>1450800</v>
      </c>
      <c r="G31" s="166">
        <f t="shared" si="6"/>
        <v>1.5069677001188289E-2</v>
      </c>
      <c r="H31" s="165">
        <f>VLOOKUP($B31,'Data shares'!$C:$FB,66)</f>
        <v>56893200</v>
      </c>
      <c r="I31" s="165">
        <f>VLOOKUP($B31,'Data shares'!$C:$FB,67)</f>
        <v>19505200</v>
      </c>
      <c r="J31" s="81">
        <f t="shared" si="7"/>
        <v>191.68221807517995</v>
      </c>
      <c r="K31" s="5">
        <f>VLOOKUP($B31,'Data Vlaue (Cr)'!$C:$FB,99)</f>
        <v>1392</v>
      </c>
      <c r="L31" s="81">
        <f>VLOOKUP(B31,'OI(Value)'!$A$7:$C$209,3,0)</f>
        <v>21</v>
      </c>
      <c r="M31" s="33">
        <f t="shared" si="0"/>
        <v>1.5086206896551724</v>
      </c>
      <c r="N31" s="5">
        <f>VLOOKUP($B31,'Data Vlaue (Cr)'!$C:$FB,67)</f>
        <v>810</v>
      </c>
      <c r="O31" s="5">
        <f>VLOOKUP($B31,'Data Vlaue (Cr)'!$C:$FB,68)</f>
        <v>278</v>
      </c>
      <c r="P31" s="5">
        <f t="shared" si="8"/>
        <v>65.679012345679013</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58926.75</v>
      </c>
      <c r="D32" s="82">
        <f>VLOOKUP($B32,'Data shares'!$C:$FB,98)</f>
        <v>41846525</v>
      </c>
      <c r="E32" s="165">
        <f>VLOOKUP(B32,'Snapshot (Volume)'!$A$7:$G$168,7,0)</f>
        <v>40894160</v>
      </c>
      <c r="F32" s="165">
        <f t="shared" si="5"/>
        <v>952365</v>
      </c>
      <c r="G32" s="166">
        <f t="shared" si="6"/>
        <v>2.3288533130402973E-2</v>
      </c>
      <c r="H32" s="165">
        <f>VLOOKUP($B32,'Data shares'!$C:$FB,66)</f>
        <v>98172585</v>
      </c>
      <c r="I32" s="165">
        <f>VLOOKUP($B32,'Data shares'!$C:$FB,67)</f>
        <v>89968060</v>
      </c>
      <c r="J32" s="81">
        <f t="shared" si="7"/>
        <v>9.1193752538400847</v>
      </c>
      <c r="K32" s="5">
        <f>VLOOKUP($B32,'Data Vlaue (Cr)'!$C:$FB,99)</f>
        <v>247509</v>
      </c>
      <c r="L32" s="81">
        <f>VLOOKUP(B32,'OI(Value)'!$A$7:$C$209,3,0)</f>
        <v>5633</v>
      </c>
      <c r="M32" s="33">
        <f t="shared" si="0"/>
        <v>2.2758768368018942</v>
      </c>
      <c r="N32" s="5">
        <f>VLOOKUP($B32,'Data Vlaue (Cr)'!$C:$FB,67)</f>
        <v>580659</v>
      </c>
      <c r="O32" s="5">
        <f>VLOOKUP($B32,'Data Vlaue (Cr)'!$C:$FB,68)</f>
        <v>532132</v>
      </c>
      <c r="P32" s="5">
        <f t="shared" si="8"/>
        <v>8.3572285971628784</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1324.3</v>
      </c>
      <c r="D33" s="82">
        <f>VLOOKUP($B33,'Data shares'!$C:$FB,98)</f>
        <v>15250650</v>
      </c>
      <c r="E33" s="165">
        <f>VLOOKUP(B33,'Snapshot (Volume)'!$A$7:$G$168,7,0)</f>
        <v>14605300</v>
      </c>
      <c r="F33" s="165">
        <f t="shared" si="5"/>
        <v>645350</v>
      </c>
      <c r="G33" s="166">
        <f t="shared" si="6"/>
        <v>4.4186014665908949E-2</v>
      </c>
      <c r="H33" s="165">
        <f>VLOOKUP($B33,'Data shares'!$C:$FB,66)</f>
        <v>17512625</v>
      </c>
      <c r="I33" s="165">
        <f>VLOOKUP($B33,'Data shares'!$C:$FB,67)</f>
        <v>17481750</v>
      </c>
      <c r="J33" s="81">
        <f t="shared" si="7"/>
        <v>0.17661275329986986</v>
      </c>
      <c r="K33" s="5">
        <f>VLOOKUP($B33,'Data Vlaue (Cr)'!$C:$FB,99)</f>
        <v>2025</v>
      </c>
      <c r="L33" s="81">
        <f>VLOOKUP(B33,'OI(Value)'!$A$7:$C$209,3,0)</f>
        <v>86</v>
      </c>
      <c r="M33" s="33">
        <f t="shared" si="0"/>
        <v>4.2469135802469138</v>
      </c>
      <c r="N33" s="5">
        <f>VLOOKUP($B33,'Data Vlaue (Cr)'!$C:$FB,67)</f>
        <v>2326</v>
      </c>
      <c r="O33" s="5">
        <f>VLOOKUP($B33,'Data Vlaue (Cr)'!$C:$FB,68)</f>
        <v>2322</v>
      </c>
      <c r="P33" s="5">
        <f t="shared" si="8"/>
        <v>0.17196904557179707</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385.6</v>
      </c>
      <c r="D34" s="82">
        <f>VLOOKUP($B34,'Data shares'!$C:$FB,98)</f>
        <v>258319725</v>
      </c>
      <c r="E34" s="165">
        <f>VLOOKUP(B34,'Snapshot (Volume)'!$A$7:$G$168,7,0)</f>
        <v>257668500</v>
      </c>
      <c r="F34" s="165">
        <f t="shared" si="5"/>
        <v>651225</v>
      </c>
      <c r="G34" s="166">
        <f t="shared" si="6"/>
        <v>2.5273752903439885E-3</v>
      </c>
      <c r="H34" s="165">
        <f>VLOOKUP($B34,'Data shares'!$C:$FB,66)</f>
        <v>105411525</v>
      </c>
      <c r="I34" s="165">
        <f>VLOOKUP($B34,'Data shares'!$C:$FB,67)</f>
        <v>114396150</v>
      </c>
      <c r="J34" s="81">
        <f t="shared" si="7"/>
        <v>-7.8539574976955091</v>
      </c>
      <c r="K34" s="5">
        <f>VLOOKUP($B34,'Data Vlaue (Cr)'!$C:$FB,99)</f>
        <v>9993</v>
      </c>
      <c r="L34" s="81">
        <f>VLOOKUP(B34,'OI(Value)'!$A$7:$C$209,3,0)</f>
        <v>25</v>
      </c>
      <c r="M34" s="33">
        <f t="shared" si="0"/>
        <v>0.25017512258581009</v>
      </c>
      <c r="N34" s="5">
        <f>VLOOKUP($B34,'Data Vlaue (Cr)'!$C:$FB,67)</f>
        <v>4078</v>
      </c>
      <c r="O34" s="5">
        <f>VLOOKUP($B34,'Data Vlaue (Cr)'!$C:$FB,68)</f>
        <v>4425</v>
      </c>
      <c r="P34" s="5">
        <f t="shared" si="8"/>
        <v>-8.5090730750367829</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1413.3</v>
      </c>
      <c r="D35" s="82">
        <f>VLOOKUP($B35,'Data shares'!$C:$FB,98)</f>
        <v>13774000</v>
      </c>
      <c r="E35" s="165">
        <f>VLOOKUP(B35,'Snapshot (Volume)'!$A$7:$G$168,7,0)</f>
        <v>13541000</v>
      </c>
      <c r="F35" s="165">
        <f t="shared" si="5"/>
        <v>233000</v>
      </c>
      <c r="G35" s="166">
        <f t="shared" si="6"/>
        <v>1.7207000960047264E-2</v>
      </c>
      <c r="H35" s="165">
        <f>VLOOKUP($B35,'Data shares'!$C:$FB,66)</f>
        <v>6660000</v>
      </c>
      <c r="I35" s="165">
        <f>VLOOKUP($B35,'Data shares'!$C:$FB,67)</f>
        <v>8554000</v>
      </c>
      <c r="J35" s="81">
        <f t="shared" si="7"/>
        <v>-22.141688099134907</v>
      </c>
      <c r="K35" s="5">
        <f>VLOOKUP($B35,'Data Vlaue (Cr)'!$C:$FB,99)</f>
        <v>1952</v>
      </c>
      <c r="L35" s="81">
        <f>VLOOKUP(B35,'OI(Value)'!$A$7:$C$209,3,0)</f>
        <v>33</v>
      </c>
      <c r="M35" s="33">
        <f t="shared" si="0"/>
        <v>1.6905737704918034</v>
      </c>
      <c r="N35" s="5">
        <f>VLOOKUP($B35,'Data Vlaue (Cr)'!$C:$FB,67)</f>
        <v>944</v>
      </c>
      <c r="O35" s="5">
        <f>VLOOKUP($B35,'Data Vlaue (Cr)'!$C:$FB,68)</f>
        <v>1212</v>
      </c>
      <c r="P35" s="5">
        <f t="shared" si="8"/>
        <v>-28.389830508474578</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2108</v>
      </c>
      <c r="D36" s="82">
        <f>VLOOKUP($B36,'Data shares'!$C:$FB,98)</f>
        <v>75420500</v>
      </c>
      <c r="E36" s="165">
        <f>VLOOKUP(B36,'Snapshot (Volume)'!$A$7:$G$168,7,0)</f>
        <v>76841700</v>
      </c>
      <c r="F36" s="165">
        <f t="shared" si="5"/>
        <v>-1421200</v>
      </c>
      <c r="G36" s="166">
        <f t="shared" si="6"/>
        <v>-1.8495166036149643E-2</v>
      </c>
      <c r="H36" s="165">
        <f>VLOOKUP($B36,'Data shares'!$C:$FB,66)</f>
        <v>37221950</v>
      </c>
      <c r="I36" s="165">
        <f>VLOOKUP($B36,'Data shares'!$C:$FB,67)</f>
        <v>65665900</v>
      </c>
      <c r="J36" s="81">
        <f t="shared" si="7"/>
        <v>-43.316165620207748</v>
      </c>
      <c r="K36" s="5">
        <f>VLOOKUP($B36,'Data Vlaue (Cr)'!$C:$FB,99)</f>
        <v>15907</v>
      </c>
      <c r="L36" s="81">
        <f>VLOOKUP(B36,'OI(Value)'!$A$7:$C$209,3,0)</f>
        <v>-300</v>
      </c>
      <c r="M36" s="33">
        <f t="shared" si="0"/>
        <v>-1.8859621550260892</v>
      </c>
      <c r="N36" s="5">
        <f>VLOOKUP($B36,'Data Vlaue (Cr)'!$C:$FB,67)</f>
        <v>7850</v>
      </c>
      <c r="O36" s="5">
        <f>VLOOKUP($B36,'Data Vlaue (Cr)'!$C:$FB,68)</f>
        <v>13850</v>
      </c>
      <c r="P36" s="5">
        <f t="shared" si="8"/>
        <v>-76.433121019108285</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277.85000000000002</v>
      </c>
      <c r="D37" s="82">
        <f>VLOOKUP($B37,'Data shares'!$C:$FB,98)</f>
        <v>140697375</v>
      </c>
      <c r="E37" s="165">
        <f>VLOOKUP(B37,'Snapshot (Volume)'!$A$7:$G$168,7,0)</f>
        <v>138810000</v>
      </c>
      <c r="F37" s="165">
        <f t="shared" ref="F37:F43" si="9">D37-E37</f>
        <v>1887375</v>
      </c>
      <c r="G37" s="166">
        <f t="shared" ref="G37:G43" si="10">F37/E37</f>
        <v>1.3596822995461421E-2</v>
      </c>
      <c r="H37" s="165">
        <f>VLOOKUP($B37,'Data shares'!$C:$FB,66)</f>
        <v>60705750</v>
      </c>
      <c r="I37" s="165">
        <f>VLOOKUP($B37,'Data shares'!$C:$FB,67)</f>
        <v>80666250</v>
      </c>
      <c r="J37" s="81">
        <f t="shared" ref="J37:J43" si="11">(H37-I37)/I37*100</f>
        <v>-24.744549300357956</v>
      </c>
      <c r="K37" s="5">
        <f>VLOOKUP($B37,'Data Vlaue (Cr)'!$C:$FB,99)</f>
        <v>3922</v>
      </c>
      <c r="L37" s="81">
        <f>VLOOKUP(B37,'OI(Value)'!$A$7:$C$209,3,0)</f>
        <v>53</v>
      </c>
      <c r="M37" s="33">
        <f t="shared" ref="M37:M65" si="12">L37/K37*100</f>
        <v>1.3513513513513513</v>
      </c>
      <c r="N37" s="5">
        <f>VLOOKUP($B37,'Data Vlaue (Cr)'!$C:$FB,67)</f>
        <v>1692</v>
      </c>
      <c r="O37" s="5">
        <f>VLOOKUP($B37,'Data Vlaue (Cr)'!$C:$FB,68)</f>
        <v>2249</v>
      </c>
      <c r="P37" s="5">
        <f t="shared" ref="P37:P43" si="13">(N37-O37)/N37*100</f>
        <v>-32.919621749408982</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386.1</v>
      </c>
      <c r="D38" s="82">
        <f>VLOOKUP($B38,'Data shares'!$C:$FB,98)</f>
        <v>98232500</v>
      </c>
      <c r="E38" s="165">
        <f>VLOOKUP(B38,'Snapshot (Volume)'!$A$7:$G$168,7,0)</f>
        <v>99485000</v>
      </c>
      <c r="F38" s="165">
        <f t="shared" si="9"/>
        <v>-1252500</v>
      </c>
      <c r="G38" s="166">
        <f t="shared" si="10"/>
        <v>-1.2589837663969443E-2</v>
      </c>
      <c r="H38" s="165">
        <f>VLOOKUP($B38,'Data shares'!$C:$FB,66)</f>
        <v>28362500</v>
      </c>
      <c r="I38" s="165">
        <f>VLOOKUP($B38,'Data shares'!$C:$FB,67)</f>
        <v>25147500</v>
      </c>
      <c r="J38" s="81">
        <f t="shared" si="11"/>
        <v>12.784571030917585</v>
      </c>
      <c r="K38" s="5">
        <f>VLOOKUP($B38,'Data Vlaue (Cr)'!$C:$FB,99)</f>
        <v>3800</v>
      </c>
      <c r="L38" s="81">
        <f>VLOOKUP(B38,'OI(Value)'!$A$7:$C$209,3,0)</f>
        <v>-48</v>
      </c>
      <c r="M38" s="33">
        <f t="shared" si="12"/>
        <v>-1.263157894736842</v>
      </c>
      <c r="N38" s="5">
        <f>VLOOKUP($B38,'Data Vlaue (Cr)'!$C:$FB,67)</f>
        <v>1097</v>
      </c>
      <c r="O38" s="5">
        <f>VLOOKUP($B38,'Data Vlaue (Cr)'!$C:$FB,68)</f>
        <v>973</v>
      </c>
      <c r="P38" s="5">
        <f t="shared" si="13"/>
        <v>11.30355515041021</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1826.8</v>
      </c>
      <c r="D39" s="82">
        <f>VLOOKUP($B39,'Data shares'!$C:$FB,98)</f>
        <v>3654625</v>
      </c>
      <c r="E39" s="165">
        <f>VLOOKUP(B39,'Snapshot (Volume)'!$A$7:$G$168,7,0)</f>
        <v>3406325</v>
      </c>
      <c r="F39" s="165">
        <f t="shared" si="9"/>
        <v>248300</v>
      </c>
      <c r="G39" s="166">
        <f t="shared" si="10"/>
        <v>7.28938078427631E-2</v>
      </c>
      <c r="H39" s="165">
        <f>VLOOKUP($B39,'Data shares'!$C:$FB,66)</f>
        <v>1531075</v>
      </c>
      <c r="I39" s="165">
        <f>VLOOKUP($B39,'Data shares'!$C:$FB,67)</f>
        <v>1391975</v>
      </c>
      <c r="J39" s="81">
        <f t="shared" si="11"/>
        <v>9.9929955638571109</v>
      </c>
      <c r="K39" s="5">
        <f>VLOOKUP($B39,'Data Vlaue (Cr)'!$C:$FB,99)</f>
        <v>667</v>
      </c>
      <c r="L39" s="81">
        <f>VLOOKUP(B39,'OI(Value)'!$A$7:$C$209,3,0)</f>
        <v>45</v>
      </c>
      <c r="M39" s="33">
        <f t="shared" si="12"/>
        <v>6.746626686656672</v>
      </c>
      <c r="N39" s="5">
        <f>VLOOKUP($B39,'Data Vlaue (Cr)'!$C:$FB,67)</f>
        <v>280</v>
      </c>
      <c r="O39" s="5">
        <f>VLOOKUP($B39,'Data Vlaue (Cr)'!$C:$FB,68)</f>
        <v>254</v>
      </c>
      <c r="P39" s="5">
        <f t="shared" si="13"/>
        <v>9.2857142857142865</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35975</v>
      </c>
      <c r="D40" s="82">
        <f>VLOOKUP($B40,'Data shares'!$C:$FB,98)</f>
        <v>343525</v>
      </c>
      <c r="E40" s="165">
        <f>VLOOKUP(B40,'Snapshot (Volume)'!$A$7:$G$168,7,0)</f>
        <v>332200</v>
      </c>
      <c r="F40" s="165">
        <f t="shared" si="9"/>
        <v>11325</v>
      </c>
      <c r="G40" s="166">
        <f t="shared" si="10"/>
        <v>3.4090909090909088E-2</v>
      </c>
      <c r="H40" s="165">
        <f>VLOOKUP($B40,'Data shares'!$C:$FB,66)</f>
        <v>182375</v>
      </c>
      <c r="I40" s="165">
        <f>VLOOKUP($B40,'Data shares'!$C:$FB,67)</f>
        <v>118300</v>
      </c>
      <c r="J40" s="81">
        <f t="shared" si="11"/>
        <v>54.163144547759934</v>
      </c>
      <c r="K40" s="5">
        <f>VLOOKUP($B40,'Data Vlaue (Cr)'!$C:$FB,99)</f>
        <v>1238</v>
      </c>
      <c r="L40" s="81">
        <f>VLOOKUP(B40,'OI(Value)'!$A$7:$C$209,3,0)</f>
        <v>41</v>
      </c>
      <c r="M40" s="33">
        <f t="shared" si="12"/>
        <v>3.3117932148626816</v>
      </c>
      <c r="N40" s="5">
        <f>VLOOKUP($B40,'Data Vlaue (Cr)'!$C:$FB,67)</f>
        <v>657</v>
      </c>
      <c r="O40" s="5">
        <f>VLOOKUP($B40,'Data Vlaue (Cr)'!$C:$FB,68)</f>
        <v>426</v>
      </c>
      <c r="P40" s="5">
        <f t="shared" si="13"/>
        <v>35.159817351598171</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368.35</v>
      </c>
      <c r="D41" s="82">
        <f>VLOOKUP($B41,'Data shares'!$C:$FB,98)</f>
        <v>59747700</v>
      </c>
      <c r="E41" s="165">
        <f>VLOOKUP(B41,'Snapshot (Volume)'!$A$7:$G$168,7,0)</f>
        <v>59386275</v>
      </c>
      <c r="F41" s="165">
        <f t="shared" si="9"/>
        <v>361425</v>
      </c>
      <c r="G41" s="166">
        <f t="shared" si="10"/>
        <v>6.0860021949516114E-3</v>
      </c>
      <c r="H41" s="165">
        <f>VLOOKUP($B41,'Data shares'!$C:$FB,66)</f>
        <v>67782000</v>
      </c>
      <c r="I41" s="165">
        <f>VLOOKUP($B41,'Data shares'!$C:$FB,67)</f>
        <v>50435575</v>
      </c>
      <c r="J41" s="81">
        <f t="shared" si="11"/>
        <v>34.393233347691584</v>
      </c>
      <c r="K41" s="5">
        <f>VLOOKUP($B41,'Data Vlaue (Cr)'!$C:$FB,99)</f>
        <v>2203</v>
      </c>
      <c r="L41" s="81">
        <f>VLOOKUP(B41,'OI(Value)'!$A$7:$C$209,3,0)</f>
        <v>13</v>
      </c>
      <c r="M41" s="33">
        <f t="shared" si="12"/>
        <v>0.59010440308669998</v>
      </c>
      <c r="N41" s="5">
        <f>VLOOKUP($B41,'Data Vlaue (Cr)'!$C:$FB,67)</f>
        <v>2499</v>
      </c>
      <c r="O41" s="5">
        <f>VLOOKUP($B41,'Data Vlaue (Cr)'!$C:$FB,68)</f>
        <v>1859</v>
      </c>
      <c r="P41" s="5">
        <f t="shared" si="13"/>
        <v>25.610244097639058</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6096</v>
      </c>
      <c r="D42" s="82">
        <f>VLOOKUP($B42,'Data shares'!$C:$FB,98)</f>
        <v>4771125</v>
      </c>
      <c r="E42" s="165">
        <f>VLOOKUP(B42,'Snapshot (Volume)'!$A$7:$G$168,7,0)</f>
        <v>4716375</v>
      </c>
      <c r="F42" s="165">
        <f t="shared" si="9"/>
        <v>54750</v>
      </c>
      <c r="G42" s="166">
        <f t="shared" si="10"/>
        <v>1.1608491691182317E-2</v>
      </c>
      <c r="H42" s="165">
        <f>VLOOKUP($B42,'Data shares'!$C:$FB,66)</f>
        <v>2917375</v>
      </c>
      <c r="I42" s="165">
        <f>VLOOKUP($B42,'Data shares'!$C:$FB,67)</f>
        <v>7395875</v>
      </c>
      <c r="J42" s="81">
        <f t="shared" si="11"/>
        <v>-60.554025047746208</v>
      </c>
      <c r="K42" s="5">
        <f>VLOOKUP($B42,'Data Vlaue (Cr)'!$C:$FB,99)</f>
        <v>2911</v>
      </c>
      <c r="L42" s="81">
        <f>VLOOKUP(B42,'OI(Value)'!$A$7:$C$209,3,0)</f>
        <v>33</v>
      </c>
      <c r="M42" s="33">
        <f t="shared" si="12"/>
        <v>1.1336310546204054</v>
      </c>
      <c r="N42" s="5">
        <f>VLOOKUP($B42,'Data Vlaue (Cr)'!$C:$FB,67)</f>
        <v>1780</v>
      </c>
      <c r="O42" s="5">
        <f>VLOOKUP($B42,'Data Vlaue (Cr)'!$C:$FB,68)</f>
        <v>4512</v>
      </c>
      <c r="P42" s="5">
        <f t="shared" si="13"/>
        <v>-153.48314606741573</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2630.5</v>
      </c>
      <c r="D43" s="82">
        <f>VLOOKUP($B43,'Data shares'!$C:$FB,98)</f>
        <v>34198500</v>
      </c>
      <c r="E43" s="165">
        <f>VLOOKUP(B43,'Snapshot (Volume)'!$A$7:$G$168,7,0)</f>
        <v>34638750</v>
      </c>
      <c r="F43" s="165">
        <f t="shared" si="9"/>
        <v>-440250</v>
      </c>
      <c r="G43" s="166">
        <f t="shared" si="10"/>
        <v>-1.2709754249215112E-2</v>
      </c>
      <c r="H43" s="165">
        <f>VLOOKUP($B43,'Data shares'!$C:$FB,66)</f>
        <v>42535500</v>
      </c>
      <c r="I43" s="165">
        <f>VLOOKUP($B43,'Data shares'!$C:$FB,67)</f>
        <v>45189750</v>
      </c>
      <c r="J43" s="81">
        <f t="shared" si="11"/>
        <v>-5.8735664614210075</v>
      </c>
      <c r="K43" s="5">
        <f>VLOOKUP($B43,'Data Vlaue (Cr)'!$C:$FB,99)</f>
        <v>9006</v>
      </c>
      <c r="L43" s="81">
        <f>VLOOKUP(B43,'OI(Value)'!$A$7:$C$209,3,0)</f>
        <v>-116</v>
      </c>
      <c r="M43" s="33">
        <f t="shared" si="12"/>
        <v>-1.2880302020874972</v>
      </c>
      <c r="N43" s="5">
        <f>VLOOKUP($B43,'Data Vlaue (Cr)'!$C:$FB,67)</f>
        <v>11202</v>
      </c>
      <c r="O43" s="5">
        <f>VLOOKUP($B43,'Data Vlaue (Cr)'!$C:$FB,68)</f>
        <v>11901</v>
      </c>
      <c r="P43" s="5">
        <f t="shared" si="13"/>
        <v>-6.2399571505088378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733.8</v>
      </c>
      <c r="D44" s="165">
        <f>VLOOKUP($B44,'Data shares'!$C:$FB,98)</f>
        <v>19098000</v>
      </c>
      <c r="E44" s="165">
        <f>VLOOKUP(B44,'Snapshot (Volume)'!$A$7:$G$168,7,0)</f>
        <v>18543750</v>
      </c>
      <c r="F44" s="165">
        <f t="shared" ref="F44:F49" si="14">D44-E44</f>
        <v>554250</v>
      </c>
      <c r="G44" s="166">
        <f t="shared" ref="G44:G49" si="15">F44/E44</f>
        <v>2.9888776541961579E-2</v>
      </c>
      <c r="H44" s="165">
        <f>VLOOKUP($B44,'Data shares'!$C:$FB,66)</f>
        <v>8454000</v>
      </c>
      <c r="I44" s="165">
        <f>VLOOKUP($B44,'Data shares'!$C:$FB,67)</f>
        <v>3581250</v>
      </c>
      <c r="J44" s="81">
        <f t="shared" ref="J44:J49" si="16">(H44-I44)/I44*100</f>
        <v>136.06282722513089</v>
      </c>
      <c r="K44" s="81">
        <f>VLOOKUP($B44,'Data Vlaue (Cr)'!$C:$FB,99)</f>
        <v>1404</v>
      </c>
      <c r="L44" s="81">
        <f>VLOOKUP(B44,'OI(Value)'!$A$7:$C$209,3,0)</f>
        <v>41</v>
      </c>
      <c r="M44" s="81">
        <f t="shared" si="12"/>
        <v>2.9202279202279202</v>
      </c>
      <c r="N44" s="81">
        <f>VLOOKUP($B44,'Data Vlaue (Cr)'!$C:$FB,67)</f>
        <v>622</v>
      </c>
      <c r="O44" s="81">
        <f>VLOOKUP($B44,'Data Vlaue (Cr)'!$C:$FB,68)</f>
        <v>263</v>
      </c>
      <c r="P44" s="81">
        <f t="shared" ref="P44:P49" si="17">(N44-O44)/N44*100</f>
        <v>57.717041800643088</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150.21</v>
      </c>
      <c r="D45" s="82">
        <f>VLOOKUP($B45,'Data shares'!$C:$FB,98)</f>
        <v>346801500</v>
      </c>
      <c r="E45" s="165">
        <f>VLOOKUP(B45,'Snapshot (Volume)'!$A$7:$G$168,7,0)</f>
        <v>347753250</v>
      </c>
      <c r="F45" s="165">
        <f t="shared" si="14"/>
        <v>-951750</v>
      </c>
      <c r="G45" s="166">
        <f t="shared" si="15"/>
        <v>-2.7368543644092471E-3</v>
      </c>
      <c r="H45" s="165">
        <f>VLOOKUP($B45,'Data shares'!$C:$FB,66)</f>
        <v>394530750</v>
      </c>
      <c r="I45" s="165">
        <f>VLOOKUP($B45,'Data shares'!$C:$FB,67)</f>
        <v>122384250</v>
      </c>
      <c r="J45" s="81">
        <f t="shared" si="16"/>
        <v>222.37052561910539</v>
      </c>
      <c r="K45" s="5">
        <f>VLOOKUP($B45,'Data Vlaue (Cr)'!$C:$FB,99)</f>
        <v>5214</v>
      </c>
      <c r="L45" s="81">
        <f>VLOOKUP(B45,'OI(Value)'!$A$7:$C$209,3,0)</f>
        <v>-14</v>
      </c>
      <c r="M45" s="33">
        <f t="shared" si="12"/>
        <v>-0.26850786344457228</v>
      </c>
      <c r="N45" s="5">
        <f>VLOOKUP($B45,'Data Vlaue (Cr)'!$C:$FB,67)</f>
        <v>5932</v>
      </c>
      <c r="O45" s="5">
        <f>VLOOKUP($B45,'Data Vlaue (Cr)'!$C:$FB,68)</f>
        <v>1840</v>
      </c>
      <c r="P45" s="5">
        <f t="shared" si="17"/>
        <v>68.981793661496965</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1477.3</v>
      </c>
      <c r="D46" s="82">
        <f>VLOOKUP($B46,'Data shares'!$C:$FB,98)</f>
        <v>26885950</v>
      </c>
      <c r="E46" s="165">
        <f>VLOOKUP(B46,'Snapshot (Volume)'!$A$7:$G$168,7,0)</f>
        <v>25545025</v>
      </c>
      <c r="F46" s="165">
        <f t="shared" si="14"/>
        <v>1340925</v>
      </c>
      <c r="G46" s="166">
        <f t="shared" si="15"/>
        <v>5.2492608639059857E-2</v>
      </c>
      <c r="H46" s="165">
        <f>VLOOKUP($B46,'Data shares'!$C:$FB,66)</f>
        <v>13350825</v>
      </c>
      <c r="I46" s="165">
        <f>VLOOKUP($B46,'Data shares'!$C:$FB,67)</f>
        <v>8312500</v>
      </c>
      <c r="J46" s="81">
        <f t="shared" si="16"/>
        <v>60.611428571428569</v>
      </c>
      <c r="K46" s="5">
        <f>VLOOKUP($B46,'Data Vlaue (Cr)'!$C:$FB,99)</f>
        <v>3975</v>
      </c>
      <c r="L46" s="81">
        <f>VLOOKUP(B46,'OI(Value)'!$A$7:$C$209,3,0)</f>
        <v>198</v>
      </c>
      <c r="M46" s="33">
        <f t="shared" si="12"/>
        <v>4.9811320754716979</v>
      </c>
      <c r="N46" s="5">
        <f>VLOOKUP($B46,'Data Vlaue (Cr)'!$C:$FB,67)</f>
        <v>1974</v>
      </c>
      <c r="O46" s="5">
        <f>VLOOKUP($B46,'Data Vlaue (Cr)'!$C:$FB,68)</f>
        <v>1229</v>
      </c>
      <c r="P46" s="5">
        <f t="shared" si="17"/>
        <v>37.740628166160079</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670.4</v>
      </c>
      <c r="D47" s="82">
        <f>VLOOKUP($B47,'Data shares'!$C:$FB,98)</f>
        <v>28696850</v>
      </c>
      <c r="E47" s="165">
        <f>VLOOKUP(B47,'Snapshot (Volume)'!$A$7:$G$168,7,0)</f>
        <v>26909300</v>
      </c>
      <c r="F47" s="165">
        <f t="shared" si="14"/>
        <v>1787550</v>
      </c>
      <c r="G47" s="166">
        <f t="shared" si="15"/>
        <v>6.6428706803967397E-2</v>
      </c>
      <c r="H47" s="165">
        <f>VLOOKUP($B47,'Data shares'!$C:$FB,66)</f>
        <v>49492100</v>
      </c>
      <c r="I47" s="165">
        <f>VLOOKUP($B47,'Data shares'!$C:$FB,67)</f>
        <v>7306600</v>
      </c>
      <c r="J47" s="81">
        <f t="shared" si="16"/>
        <v>577.36156351791533</v>
      </c>
      <c r="K47" s="5">
        <f>VLOOKUP($B47,'Data Vlaue (Cr)'!$C:$FB,99)</f>
        <v>1925</v>
      </c>
      <c r="L47" s="81">
        <f>VLOOKUP(B47,'OI(Value)'!$A$7:$C$209,3,0)</f>
        <v>120</v>
      </c>
      <c r="M47" s="33">
        <f t="shared" si="12"/>
        <v>6.2337662337662341</v>
      </c>
      <c r="N47" s="5">
        <f>VLOOKUP($B47,'Data Vlaue (Cr)'!$C:$FB,67)</f>
        <v>3319</v>
      </c>
      <c r="O47" s="5">
        <f>VLOOKUP($B47,'Data Vlaue (Cr)'!$C:$FB,68)</f>
        <v>490</v>
      </c>
      <c r="P47" s="5">
        <f t="shared" si="17"/>
        <v>85.236517023199752</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1673.5</v>
      </c>
      <c r="D48" s="82">
        <f>VLOOKUP($B48,'Data shares'!$C:$FB,98)</f>
        <v>24522500</v>
      </c>
      <c r="E48" s="165">
        <f>VLOOKUP(B48,'Snapshot (Volume)'!$A$7:$G$168,7,0)</f>
        <v>20152500</v>
      </c>
      <c r="F48" s="165">
        <f t="shared" si="14"/>
        <v>4370000</v>
      </c>
      <c r="G48" s="166">
        <f t="shared" si="15"/>
        <v>0.21684654509366083</v>
      </c>
      <c r="H48" s="165">
        <f>VLOOKUP($B48,'Data shares'!$C:$FB,66)</f>
        <v>24314375</v>
      </c>
      <c r="I48" s="165">
        <f>VLOOKUP($B48,'Data shares'!$C:$FB,67)</f>
        <v>5951250</v>
      </c>
      <c r="J48" s="81">
        <f t="shared" si="16"/>
        <v>308.55912623398444</v>
      </c>
      <c r="K48" s="5">
        <f>VLOOKUP($B48,'Data Vlaue (Cr)'!$C:$FB,99)</f>
        <v>4118</v>
      </c>
      <c r="L48" s="81">
        <f>VLOOKUP(B48,'OI(Value)'!$A$7:$C$209,3,0)</f>
        <v>734</v>
      </c>
      <c r="M48" s="33">
        <f t="shared" si="12"/>
        <v>17.824186498300147</v>
      </c>
      <c r="N48" s="5">
        <f>VLOOKUP($B48,'Data Vlaue (Cr)'!$C:$FB,67)</f>
        <v>4083</v>
      </c>
      <c r="O48" s="5">
        <f>VLOOKUP($B48,'Data Vlaue (Cr)'!$C:$FB,68)</f>
        <v>999</v>
      </c>
      <c r="P48" s="5">
        <f t="shared" si="17"/>
        <v>75.532696546656879</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1496.9</v>
      </c>
      <c r="D49" s="82">
        <f>VLOOKUP($B49,'Data shares'!$C:$FB,98)</f>
        <v>23887500</v>
      </c>
      <c r="E49" s="165">
        <f>VLOOKUP(B49,'Snapshot (Volume)'!$A$7:$G$168,7,0)</f>
        <v>23452500</v>
      </c>
      <c r="F49" s="165">
        <f t="shared" si="14"/>
        <v>435000</v>
      </c>
      <c r="G49" s="166">
        <f t="shared" si="15"/>
        <v>1.8548129197313721E-2</v>
      </c>
      <c r="H49" s="165">
        <f>VLOOKUP($B49,'Data shares'!$C:$FB,66)</f>
        <v>6340875</v>
      </c>
      <c r="I49" s="165">
        <f>VLOOKUP($B49,'Data shares'!$C:$FB,67)</f>
        <v>5595750</v>
      </c>
      <c r="J49" s="81">
        <f t="shared" si="16"/>
        <v>13.315909395523388</v>
      </c>
      <c r="K49" s="5">
        <f>VLOOKUP($B49,'Data Vlaue (Cr)'!$C:$FB,99)</f>
        <v>3580</v>
      </c>
      <c r="L49" s="81">
        <f>VLOOKUP(B49,'OI(Value)'!$A$7:$C$209,3,0)</f>
        <v>65</v>
      </c>
      <c r="M49" s="33">
        <f t="shared" si="12"/>
        <v>1.8156424581005588</v>
      </c>
      <c r="N49" s="5">
        <f>VLOOKUP($B49,'Data Vlaue (Cr)'!$C:$FB,67)</f>
        <v>950</v>
      </c>
      <c r="O49" s="5">
        <f>VLOOKUP($B49,'Data Vlaue (Cr)'!$C:$FB,68)</f>
        <v>839</v>
      </c>
      <c r="P49" s="5">
        <f t="shared" si="17"/>
        <v>11.684210526315789</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384.75</v>
      </c>
      <c r="D50" s="82">
        <f>VLOOKUP($B50,'Data shares'!$C:$FB,98)</f>
        <v>94286700</v>
      </c>
      <c r="E50" s="165">
        <f>VLOOKUP(B50,'Snapshot (Volume)'!$A$7:$G$168,7,0)</f>
        <v>93437550</v>
      </c>
      <c r="F50" s="165">
        <f>D50-E50</f>
        <v>849150</v>
      </c>
      <c r="G50" s="166">
        <f>F50/E50</f>
        <v>9.0878881135046889E-3</v>
      </c>
      <c r="H50" s="165">
        <f>VLOOKUP($B50,'Data shares'!$C:$FB,66)</f>
        <v>23284800</v>
      </c>
      <c r="I50" s="165">
        <f>VLOOKUP($B50,'Data shares'!$C:$FB,67)</f>
        <v>24586200</v>
      </c>
      <c r="J50" s="81">
        <f>(H50-I50)/I50*100</f>
        <v>-5.2932132659784754</v>
      </c>
      <c r="K50" s="5">
        <f>VLOOKUP($B50,'Data Vlaue (Cr)'!$C:$FB,99)</f>
        <v>3638</v>
      </c>
      <c r="L50" s="81">
        <f>VLOOKUP(B50,'OI(Value)'!$A$7:$C$209,3,0)</f>
        <v>33</v>
      </c>
      <c r="M50" s="33">
        <f t="shared" si="12"/>
        <v>0.90709180868609129</v>
      </c>
      <c r="N50" s="5">
        <f>VLOOKUP($B50,'Data Vlaue (Cr)'!$C:$FB,67)</f>
        <v>898</v>
      </c>
      <c r="O50" s="5">
        <f>VLOOKUP($B50,'Data Vlaue (Cr)'!$C:$FB,68)</f>
        <v>949</v>
      </c>
      <c r="P50" s="5">
        <f>(N50-O50)/N50*100</f>
        <v>-5.6792873051224939</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1844.7</v>
      </c>
      <c r="D51" s="82">
        <f>VLOOKUP($B51,'Data shares'!$C:$FB,98)</f>
        <v>23776125</v>
      </c>
      <c r="E51" s="165">
        <f>VLOOKUP(B51,'Snapshot (Volume)'!$A$7:$G$168,7,0)</f>
        <v>23493000</v>
      </c>
      <c r="F51" s="165">
        <f>D51-E51</f>
        <v>283125</v>
      </c>
      <c r="G51" s="166">
        <f>F51/E51</f>
        <v>1.2051462137658026E-2</v>
      </c>
      <c r="H51" s="165">
        <f>VLOOKUP($B51,'Data shares'!$C:$FB,66)</f>
        <v>15108375</v>
      </c>
      <c r="I51" s="165">
        <f>VLOOKUP($B51,'Data shares'!$C:$FB,67)</f>
        <v>11493000</v>
      </c>
      <c r="J51" s="81">
        <f>(H51-I51)/I51*100</f>
        <v>31.457191333855388</v>
      </c>
      <c r="K51" s="5">
        <f>VLOOKUP($B51,'Data Vlaue (Cr)'!$C:$FB,99)</f>
        <v>4402</v>
      </c>
      <c r="L51" s="81">
        <f>VLOOKUP(B51,'OI(Value)'!$A$7:$C$209,3,0)</f>
        <v>52</v>
      </c>
      <c r="M51" s="33">
        <f t="shared" si="12"/>
        <v>1.1812812358019082</v>
      </c>
      <c r="N51" s="5">
        <f>VLOOKUP($B51,'Data Vlaue (Cr)'!$C:$FB,67)</f>
        <v>2797</v>
      </c>
      <c r="O51" s="5">
        <f>VLOOKUP($B51,'Data Vlaue (Cr)'!$C:$FB,68)</f>
        <v>2128</v>
      </c>
      <c r="P51" s="5">
        <f>(N51-O51)/N51*100</f>
        <v>23.918484090096531</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2087.4</v>
      </c>
      <c r="D52" s="80">
        <f>VLOOKUP($B52,'Data shares'!$C:$FB,98)</f>
        <v>12226050</v>
      </c>
      <c r="E52" s="165">
        <f>VLOOKUP(B52,'Snapshot (Volume)'!$A$7:$G$168,7,0)</f>
        <v>10504800</v>
      </c>
      <c r="F52" s="165">
        <f t="shared" ref="F52:F68" si="18">D52-E52</f>
        <v>1721250</v>
      </c>
      <c r="G52" s="166">
        <f t="shared" ref="G52:G68" si="19">F52/E52</f>
        <v>0.16385366689513364</v>
      </c>
      <c r="H52" s="165">
        <f>VLOOKUP($B52,'Data shares'!$C:$FB,66)</f>
        <v>8384400</v>
      </c>
      <c r="I52" s="165">
        <f>VLOOKUP($B52,'Data shares'!$C:$FB,67)</f>
        <v>5555250</v>
      </c>
      <c r="J52" s="81">
        <f t="shared" ref="J52:J68" si="20">(H52-I52)/I52*100</f>
        <v>50.927501012555688</v>
      </c>
      <c r="K52" s="81">
        <f>VLOOKUP($B52,'Data Vlaue (Cr)'!$C:$FB,99)</f>
        <v>2555</v>
      </c>
      <c r="L52" s="81">
        <f>VLOOKUP(B52,'OI(Value)'!$A$7:$C$209,3,0)</f>
        <v>360</v>
      </c>
      <c r="M52" s="81">
        <f t="shared" si="12"/>
        <v>14.090019569471623</v>
      </c>
      <c r="N52" s="81">
        <f>VLOOKUP($B52,'Data Vlaue (Cr)'!$C:$FB,67)</f>
        <v>1752</v>
      </c>
      <c r="O52" s="81">
        <f>VLOOKUP($B52,'Data Vlaue (Cr)'!$C:$FB,68)</f>
        <v>1161</v>
      </c>
      <c r="P52" s="81">
        <f t="shared" ref="P52:P68" si="21">(N52-O52)/N52*100</f>
        <v>33.732876712328768</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496.35</v>
      </c>
      <c r="D53" s="82">
        <f>VLOOKUP($B53,'Data shares'!$C:$FB,98)</f>
        <v>64428750</v>
      </c>
      <c r="E53" s="165">
        <f>VLOOKUP(B53,'Snapshot (Volume)'!$A$7:$G$168,7,0)</f>
        <v>63377500</v>
      </c>
      <c r="F53" s="165">
        <f t="shared" si="18"/>
        <v>1051250</v>
      </c>
      <c r="G53" s="166">
        <f t="shared" si="19"/>
        <v>1.6587116879018579E-2</v>
      </c>
      <c r="H53" s="165">
        <f>VLOOKUP($B53,'Data shares'!$C:$FB,66)</f>
        <v>10385000</v>
      </c>
      <c r="I53" s="165">
        <f>VLOOKUP($B53,'Data shares'!$C:$FB,67)</f>
        <v>11201250</v>
      </c>
      <c r="J53" s="81">
        <f t="shared" si="20"/>
        <v>-7.2871331324628947</v>
      </c>
      <c r="K53" s="5">
        <f>VLOOKUP($B53,'Data Vlaue (Cr)'!$C:$FB,99)</f>
        <v>3200</v>
      </c>
      <c r="L53" s="81">
        <f>VLOOKUP(B53,'OI(Value)'!$A$7:$C$209,3,0)</f>
        <v>52</v>
      </c>
      <c r="M53" s="33">
        <f t="shared" si="12"/>
        <v>1.625</v>
      </c>
      <c r="N53" s="5">
        <f>VLOOKUP($B53,'Data Vlaue (Cr)'!$C:$FB,67)</f>
        <v>516</v>
      </c>
      <c r="O53" s="5">
        <f>VLOOKUP($B53,'Data Vlaue (Cr)'!$C:$FB,68)</f>
        <v>556</v>
      </c>
      <c r="P53" s="5">
        <f t="shared" si="21"/>
        <v>-7.7519379844961236</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249.15</v>
      </c>
      <c r="D54" s="82">
        <f>VLOOKUP($B54,'Data shares'!$C:$FB,98)</f>
        <v>93393000</v>
      </c>
      <c r="E54" s="165">
        <f>VLOOKUP(B54,'Snapshot (Volume)'!$A$7:$G$168,7,0)</f>
        <v>92710800</v>
      </c>
      <c r="F54" s="165">
        <f t="shared" si="18"/>
        <v>682200</v>
      </c>
      <c r="G54" s="166">
        <f t="shared" si="19"/>
        <v>7.3583660156098319E-3</v>
      </c>
      <c r="H54" s="165">
        <f>VLOOKUP($B54,'Data shares'!$C:$FB,66)</f>
        <v>21252600</v>
      </c>
      <c r="I54" s="165">
        <f>VLOOKUP($B54,'Data shares'!$C:$FB,67)</f>
        <v>9876600</v>
      </c>
      <c r="J54" s="81">
        <f t="shared" si="20"/>
        <v>115.18133770730819</v>
      </c>
      <c r="K54" s="5">
        <f>VLOOKUP($B54,'Data Vlaue (Cr)'!$C:$FB,99)</f>
        <v>2330</v>
      </c>
      <c r="L54" s="81">
        <f>VLOOKUP(B54,'OI(Value)'!$A$7:$C$209,3,0)</f>
        <v>17</v>
      </c>
      <c r="M54" s="33">
        <f t="shared" si="12"/>
        <v>0.72961373390557938</v>
      </c>
      <c r="N54" s="5">
        <f>VLOOKUP($B54,'Data Vlaue (Cr)'!$C:$FB,67)</f>
        <v>530</v>
      </c>
      <c r="O54" s="5">
        <f>VLOOKUP($B54,'Data Vlaue (Cr)'!$C:$FB,68)</f>
        <v>246</v>
      </c>
      <c r="P54" s="5">
        <f t="shared" si="21"/>
        <v>53.584905660377359</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4512.7</v>
      </c>
      <c r="D55" s="82">
        <f>VLOOKUP($B55,'Data shares'!$C:$FB,98)</f>
        <v>4776600</v>
      </c>
      <c r="E55" s="165">
        <f>VLOOKUP(B55,'Snapshot (Volume)'!$A$7:$G$168,7,0)</f>
        <v>4571200</v>
      </c>
      <c r="F55" s="165">
        <f t="shared" si="18"/>
        <v>205400</v>
      </c>
      <c r="G55" s="166">
        <f t="shared" si="19"/>
        <v>4.4933496674833741E-2</v>
      </c>
      <c r="H55" s="165">
        <f>VLOOKUP($B55,'Data shares'!$C:$FB,66)</f>
        <v>2634600</v>
      </c>
      <c r="I55" s="165">
        <f>VLOOKUP($B55,'Data shares'!$C:$FB,67)</f>
        <v>1975200</v>
      </c>
      <c r="J55" s="81">
        <f t="shared" si="20"/>
        <v>33.383961117861482</v>
      </c>
      <c r="K55" s="5">
        <f>VLOOKUP($B55,'Data Vlaue (Cr)'!$C:$FB,99)</f>
        <v>2160</v>
      </c>
      <c r="L55" s="81">
        <f>VLOOKUP(B55,'OI(Value)'!$A$7:$C$209,3,0)</f>
        <v>93</v>
      </c>
      <c r="M55" s="33">
        <f t="shared" si="12"/>
        <v>4.3055555555555554</v>
      </c>
      <c r="N55" s="5">
        <f>VLOOKUP($B55,'Data Vlaue (Cr)'!$C:$FB,67)</f>
        <v>1191</v>
      </c>
      <c r="O55" s="5">
        <f>VLOOKUP($B55,'Data Vlaue (Cr)'!$C:$FB,68)</f>
        <v>893</v>
      </c>
      <c r="P55" s="5">
        <f t="shared" si="21"/>
        <v>25.020990764063811</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1138.8</v>
      </c>
      <c r="D56" s="82">
        <f>VLOOKUP($B56,'Data shares'!$C:$FB,98)</f>
        <v>5620200</v>
      </c>
      <c r="E56" s="165">
        <f>VLOOKUP(B56,'Snapshot (Volume)'!$A$7:$G$168,7,0)</f>
        <v>5239400</v>
      </c>
      <c r="F56" s="165">
        <f t="shared" si="18"/>
        <v>380800</v>
      </c>
      <c r="G56" s="166">
        <f t="shared" si="19"/>
        <v>7.2680077871512011E-2</v>
      </c>
      <c r="H56" s="165">
        <f>VLOOKUP($B56,'Data shares'!$C:$FB,66)</f>
        <v>15132550</v>
      </c>
      <c r="I56" s="165">
        <f>VLOOKUP($B56,'Data shares'!$C:$FB,67)</f>
        <v>1326850</v>
      </c>
      <c r="J56" s="81">
        <f t="shared" si="20"/>
        <v>1040.4868673926969</v>
      </c>
      <c r="K56" s="5">
        <f>VLOOKUP($B56,'Data Vlaue (Cr)'!$C:$FB,99)</f>
        <v>642</v>
      </c>
      <c r="L56" s="81">
        <f>VLOOKUP(B56,'OI(Value)'!$A$7:$C$209,3,0)</f>
        <v>43</v>
      </c>
      <c r="M56" s="33">
        <f t="shared" si="12"/>
        <v>6.6978193146417437</v>
      </c>
      <c r="N56" s="5">
        <f>VLOOKUP($B56,'Data Vlaue (Cr)'!$C:$FB,67)</f>
        <v>1729</v>
      </c>
      <c r="O56" s="5">
        <f>VLOOKUP($B56,'Data Vlaue (Cr)'!$C:$FB,68)</f>
        <v>152</v>
      </c>
      <c r="P56" s="5">
        <f t="shared" si="21"/>
        <v>91.208791208791212</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494.15</v>
      </c>
      <c r="D57" s="82">
        <f>VLOOKUP($B57,'Data shares'!$C:$FB,98)</f>
        <v>43142500</v>
      </c>
      <c r="E57" s="165">
        <f>VLOOKUP(B57,'Snapshot (Volume)'!$A$7:$G$168,7,0)</f>
        <v>41665000</v>
      </c>
      <c r="F57" s="165">
        <f t="shared" si="18"/>
        <v>1477500</v>
      </c>
      <c r="G57" s="166">
        <f t="shared" si="19"/>
        <v>3.5461418456738267E-2</v>
      </c>
      <c r="H57" s="165">
        <f>VLOOKUP($B57,'Data shares'!$C:$FB,66)</f>
        <v>11976250</v>
      </c>
      <c r="I57" s="165">
        <f>VLOOKUP($B57,'Data shares'!$C:$FB,67)</f>
        <v>31688750</v>
      </c>
      <c r="J57" s="81">
        <f t="shared" si="20"/>
        <v>-62.206619068281334</v>
      </c>
      <c r="K57" s="5">
        <f>VLOOKUP($B57,'Data Vlaue (Cr)'!$C:$FB,99)</f>
        <v>2133</v>
      </c>
      <c r="L57" s="81">
        <f>VLOOKUP(B57,'OI(Value)'!$A$7:$C$209,3,0)</f>
        <v>73</v>
      </c>
      <c r="M57" s="33">
        <f t="shared" si="12"/>
        <v>3.4224097515236758</v>
      </c>
      <c r="N57" s="5">
        <f>VLOOKUP($B57,'Data Vlaue (Cr)'!$C:$FB,67)</f>
        <v>592</v>
      </c>
      <c r="O57" s="5">
        <f>VLOOKUP($B57,'Data Vlaue (Cr)'!$C:$FB,68)</f>
        <v>1567</v>
      </c>
      <c r="P57" s="5">
        <f t="shared" si="21"/>
        <v>-164.69594594594594</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2073.9</v>
      </c>
      <c r="D58" s="82">
        <f>VLOOKUP($B58,'Data shares'!$C:$FB,98)</f>
        <v>4771975</v>
      </c>
      <c r="E58" s="165">
        <f>VLOOKUP(B58,'Snapshot (Volume)'!$A$7:$G$168,7,0)</f>
        <v>4641975</v>
      </c>
      <c r="F58" s="165">
        <f t="shared" si="18"/>
        <v>130000</v>
      </c>
      <c r="G58" s="166">
        <f t="shared" si="19"/>
        <v>2.8005321010992089E-2</v>
      </c>
      <c r="H58" s="165">
        <f>VLOOKUP($B58,'Data shares'!$C:$FB,66)</f>
        <v>2290275</v>
      </c>
      <c r="I58" s="165">
        <f>VLOOKUP($B58,'Data shares'!$C:$FB,67)</f>
        <v>2966600</v>
      </c>
      <c r="J58" s="81">
        <f t="shared" si="20"/>
        <v>-22.797984224364594</v>
      </c>
      <c r="K58" s="5">
        <f>VLOOKUP($B58,'Data Vlaue (Cr)'!$C:$FB,99)</f>
        <v>991</v>
      </c>
      <c r="L58" s="81">
        <f>VLOOKUP(B58,'OI(Value)'!$A$7:$C$209,3,0)</f>
        <v>27</v>
      </c>
      <c r="M58" s="33">
        <f t="shared" si="12"/>
        <v>2.7245206861755804</v>
      </c>
      <c r="N58" s="5">
        <f>VLOOKUP($B58,'Data Vlaue (Cr)'!$C:$FB,67)</f>
        <v>476</v>
      </c>
      <c r="O58" s="5">
        <f>VLOOKUP($B58,'Data Vlaue (Cr)'!$C:$FB,68)</f>
        <v>616</v>
      </c>
      <c r="P58" s="5">
        <f t="shared" si="21"/>
        <v>-29.411764705882355</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399.8</v>
      </c>
      <c r="D59" s="82">
        <f>VLOOKUP($B59,'Data shares'!$C:$FB,98)</f>
        <v>39221650</v>
      </c>
      <c r="E59" s="165">
        <f>VLOOKUP(B59,'Snapshot (Volume)'!$A$7:$G$168,7,0)</f>
        <v>38489175</v>
      </c>
      <c r="F59" s="165">
        <f t="shared" si="18"/>
        <v>732475</v>
      </c>
      <c r="G59" s="166">
        <f t="shared" si="19"/>
        <v>1.9030675508113645E-2</v>
      </c>
      <c r="H59" s="165">
        <f>VLOOKUP($B59,'Data shares'!$C:$FB,66)</f>
        <v>13209450</v>
      </c>
      <c r="I59" s="165">
        <f>VLOOKUP($B59,'Data shares'!$C:$FB,67)</f>
        <v>17274375</v>
      </c>
      <c r="J59" s="81">
        <f t="shared" si="20"/>
        <v>-23.531531531531531</v>
      </c>
      <c r="K59" s="5">
        <f>VLOOKUP($B59,'Data Vlaue (Cr)'!$C:$FB,99)</f>
        <v>1570</v>
      </c>
      <c r="L59" s="81">
        <f>VLOOKUP(B59,'OI(Value)'!$A$7:$C$209,3,0)</f>
        <v>29</v>
      </c>
      <c r="M59" s="33">
        <f t="shared" si="12"/>
        <v>1.8471337579617835</v>
      </c>
      <c r="N59" s="5">
        <f>VLOOKUP($B59,'Data Vlaue (Cr)'!$C:$FB,67)</f>
        <v>529</v>
      </c>
      <c r="O59" s="5">
        <f>VLOOKUP($B59,'Data Vlaue (Cr)'!$C:$FB,68)</f>
        <v>691</v>
      </c>
      <c r="P59" s="5">
        <f t="shared" si="21"/>
        <v>-30.623818525519848</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6293</v>
      </c>
      <c r="D60" s="82">
        <f>VLOOKUP($B60,'Data shares'!$C:$FB,98)</f>
        <v>4657700</v>
      </c>
      <c r="E60" s="165">
        <f>VLOOKUP(B60,'Snapshot (Volume)'!$A$7:$G$168,7,0)</f>
        <v>4593700</v>
      </c>
      <c r="F60" s="165">
        <f t="shared" si="18"/>
        <v>64000</v>
      </c>
      <c r="G60" s="166">
        <f t="shared" si="19"/>
        <v>1.3932124431286327E-2</v>
      </c>
      <c r="H60" s="165">
        <f>VLOOKUP($B60,'Data shares'!$C:$FB,66)</f>
        <v>937800</v>
      </c>
      <c r="I60" s="165">
        <f>VLOOKUP($B60,'Data shares'!$C:$FB,67)</f>
        <v>976500</v>
      </c>
      <c r="J60" s="81">
        <f t="shared" si="20"/>
        <v>-3.9631336405529951</v>
      </c>
      <c r="K60" s="5">
        <f>VLOOKUP($B60,'Data Vlaue (Cr)'!$C:$FB,99)</f>
        <v>2934</v>
      </c>
      <c r="L60" s="81">
        <f>VLOOKUP(B60,'OI(Value)'!$A$7:$C$209,3,0)</f>
        <v>40</v>
      </c>
      <c r="M60" s="33">
        <f t="shared" si="12"/>
        <v>1.3633265167007498</v>
      </c>
      <c r="N60" s="5">
        <f>VLOOKUP($B60,'Data Vlaue (Cr)'!$C:$FB,67)</f>
        <v>591</v>
      </c>
      <c r="O60" s="5">
        <f>VLOOKUP($B60,'Data Vlaue (Cr)'!$C:$FB,68)</f>
        <v>615</v>
      </c>
      <c r="P60" s="5">
        <f t="shared" si="21"/>
        <v>-4.0609137055837561</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13274</v>
      </c>
      <c r="D61" s="82">
        <f>VLOOKUP($B61,'Data shares'!$C:$FB,98)</f>
        <v>7711800</v>
      </c>
      <c r="E61" s="165">
        <f>VLOOKUP(B61,'Snapshot (Volume)'!$A$7:$G$168,7,0)</f>
        <v>7318200</v>
      </c>
      <c r="F61" s="165">
        <f t="shared" si="18"/>
        <v>393600</v>
      </c>
      <c r="G61" s="166">
        <f t="shared" si="19"/>
        <v>5.3783717307534638E-2</v>
      </c>
      <c r="H61" s="165">
        <f>VLOOKUP($B61,'Data shares'!$C:$FB,66)</f>
        <v>12586050</v>
      </c>
      <c r="I61" s="165">
        <f>VLOOKUP($B61,'Data shares'!$C:$FB,67)</f>
        <v>8822550</v>
      </c>
      <c r="J61" s="81">
        <f t="shared" si="20"/>
        <v>42.657735008585952</v>
      </c>
      <c r="K61" s="5">
        <f>VLOOKUP($B61,'Data Vlaue (Cr)'!$C:$FB,99)</f>
        <v>10228</v>
      </c>
      <c r="L61" s="81">
        <f>VLOOKUP(B61,'OI(Value)'!$A$7:$C$209,3,0)</f>
        <v>522</v>
      </c>
      <c r="M61" s="33">
        <f t="shared" si="12"/>
        <v>5.10363707469691</v>
      </c>
      <c r="N61" s="5">
        <f>VLOOKUP($B61,'Data Vlaue (Cr)'!$C:$FB,67)</f>
        <v>16693</v>
      </c>
      <c r="O61" s="5">
        <f>VLOOKUP($B61,'Data Vlaue (Cr)'!$C:$FB,68)</f>
        <v>11701</v>
      </c>
      <c r="P61" s="5">
        <f t="shared" si="21"/>
        <v>29.904750494219133</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683.1</v>
      </c>
      <c r="D62" s="82">
        <f>VLOOKUP($B62,'Data shares'!$C:$FB,98)</f>
        <v>88187550</v>
      </c>
      <c r="E62" s="165">
        <f>VLOOKUP(B62,'Snapshot (Volume)'!$A$7:$G$168,7,0)</f>
        <v>86947575</v>
      </c>
      <c r="F62" s="165">
        <f t="shared" si="18"/>
        <v>1239975</v>
      </c>
      <c r="G62" s="166"/>
      <c r="H62" s="165">
        <f>VLOOKUP($B62,'Data shares'!$C:$FB,66)</f>
        <v>29743725</v>
      </c>
      <c r="I62" s="165">
        <f>VLOOKUP($B62,'Data shares'!$C:$FB,67)</f>
        <v>19511250</v>
      </c>
      <c r="J62" s="81"/>
      <c r="K62" s="5">
        <f>VLOOKUP($B62,'Data Vlaue (Cr)'!$C:$FB,99)</f>
        <v>6030</v>
      </c>
      <c r="L62" s="81">
        <f>VLOOKUP(B62,'OI(Value)'!$A$7:$C$209,3,0)</f>
        <v>85</v>
      </c>
      <c r="M62" s="33"/>
      <c r="N62" s="5">
        <f>VLOOKUP($B62,'Data Vlaue (Cr)'!$C:$FB,67)</f>
        <v>2034</v>
      </c>
      <c r="O62" s="5">
        <f>VLOOKUP($B62,'Data Vlaue (Cr)'!$C:$FB,68)</f>
        <v>1334</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3826.2</v>
      </c>
      <c r="D63" s="82">
        <f>VLOOKUP($B63,'Data shares'!$C:$FB,98)</f>
        <v>9434850</v>
      </c>
      <c r="E63" s="165">
        <f>VLOOKUP(B63,'Snapshot (Volume)'!$A$7:$G$168,7,0)</f>
        <v>9324000</v>
      </c>
      <c r="F63" s="165">
        <f t="shared" si="18"/>
        <v>110850</v>
      </c>
      <c r="G63" s="166">
        <f t="shared" si="19"/>
        <v>1.1888674388674388E-2</v>
      </c>
      <c r="H63" s="165">
        <f>VLOOKUP($B63,'Data shares'!$C:$FB,66)</f>
        <v>3317700</v>
      </c>
      <c r="I63" s="165">
        <f>VLOOKUP($B63,'Data shares'!$C:$FB,67)</f>
        <v>12093900</v>
      </c>
      <c r="J63" s="81">
        <f t="shared" si="20"/>
        <v>-72.567161957681151</v>
      </c>
      <c r="K63" s="5">
        <f>VLOOKUP($B63,'Data Vlaue (Cr)'!$C:$FB,99)</f>
        <v>3609</v>
      </c>
      <c r="L63" s="81">
        <f>VLOOKUP(B63,'OI(Value)'!$A$7:$C$209,3,0)</f>
        <v>42</v>
      </c>
      <c r="M63" s="33">
        <f t="shared" si="12"/>
        <v>1.1637572734829593</v>
      </c>
      <c r="N63" s="5">
        <f>VLOOKUP($B63,'Data Vlaue (Cr)'!$C:$FB,67)</f>
        <v>1269</v>
      </c>
      <c r="O63" s="5">
        <f>VLOOKUP($B63,'Data Vlaue (Cr)'!$C:$FB,68)</f>
        <v>4626</v>
      </c>
      <c r="P63" s="5">
        <f t="shared" si="21"/>
        <v>-264.53900709219857</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1272</v>
      </c>
      <c r="D64" s="82">
        <f>VLOOKUP($B64,'Data shares'!$C:$FB,98)</f>
        <v>23740000</v>
      </c>
      <c r="E64" s="165">
        <f>VLOOKUP(B64,'Snapshot (Volume)'!$A$7:$G$168,7,0)</f>
        <v>23855625</v>
      </c>
      <c r="F64" s="165">
        <f t="shared" si="18"/>
        <v>-115625</v>
      </c>
      <c r="G64" s="166">
        <f t="shared" si="19"/>
        <v>-4.8468652571458512E-3</v>
      </c>
      <c r="H64" s="165">
        <f>VLOOKUP($B64,'Data shares'!$C:$FB,66)</f>
        <v>6504375</v>
      </c>
      <c r="I64" s="165">
        <f>VLOOKUP($B64,'Data shares'!$C:$FB,67)</f>
        <v>5816250</v>
      </c>
      <c r="J64" s="81">
        <f t="shared" si="20"/>
        <v>11.831076724693744</v>
      </c>
      <c r="K64" s="5">
        <f>VLOOKUP($B64,'Data Vlaue (Cr)'!$C:$FB,99)</f>
        <v>3023</v>
      </c>
      <c r="L64" s="81">
        <f>VLOOKUP(B64,'OI(Value)'!$A$7:$C$209,3,0)</f>
        <v>-15</v>
      </c>
      <c r="M64" s="33">
        <f t="shared" si="12"/>
        <v>-0.49619583195501155</v>
      </c>
      <c r="N64" s="5">
        <f>VLOOKUP($B64,'Data Vlaue (Cr)'!$C:$FB,67)</f>
        <v>828</v>
      </c>
      <c r="O64" s="5">
        <f>VLOOKUP($B64,'Data Vlaue (Cr)'!$C:$FB,68)</f>
        <v>741</v>
      </c>
      <c r="P64" s="5">
        <f t="shared" si="21"/>
        <v>10.507246376811594</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7134.5</v>
      </c>
      <c r="D65" s="82">
        <f>VLOOKUP($B65,'Data shares'!$C:$FB,98)</f>
        <v>7971550</v>
      </c>
      <c r="E65" s="165">
        <f>VLOOKUP(B65,'Snapshot (Volume)'!$A$7:$G$168,7,0)</f>
        <v>7957675</v>
      </c>
      <c r="F65" s="165">
        <f t="shared" si="18"/>
        <v>13875</v>
      </c>
      <c r="G65" s="166">
        <f t="shared" si="19"/>
        <v>1.7435997323338788E-3</v>
      </c>
      <c r="H65" s="165">
        <f>VLOOKUP($B65,'Data shares'!$C:$FB,66)</f>
        <v>8274175</v>
      </c>
      <c r="I65" s="165">
        <f>VLOOKUP($B65,'Data shares'!$C:$FB,67)</f>
        <v>5581100</v>
      </c>
      <c r="J65" s="81">
        <f t="shared" si="20"/>
        <v>48.253480496676282</v>
      </c>
      <c r="K65" s="5">
        <f>VLOOKUP($B65,'Data Vlaue (Cr)'!$C:$FB,99)</f>
        <v>5695</v>
      </c>
      <c r="L65" s="81">
        <f>VLOOKUP(B65,'OI(Value)'!$A$7:$C$209,3,0)</f>
        <v>10</v>
      </c>
      <c r="M65" s="33">
        <f t="shared" si="12"/>
        <v>0.17559262510974538</v>
      </c>
      <c r="N65" s="5">
        <f>VLOOKUP($B65,'Data Vlaue (Cr)'!$C:$FB,67)</f>
        <v>5911</v>
      </c>
      <c r="O65" s="5">
        <f>VLOOKUP($B65,'Data Vlaue (Cr)'!$C:$FB,68)</f>
        <v>3987</v>
      </c>
      <c r="P65" s="5">
        <f t="shared" si="21"/>
        <v>32.549484012857384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284.45</v>
      </c>
      <c r="D66" s="82">
        <f>VLOOKUP($B66,'Data shares'!$C:$FB,98)</f>
        <v>453795100</v>
      </c>
      <c r="E66" s="165">
        <f>VLOOKUP(B66,'Snapshot (Volume)'!$A$7:$G$168,7,0)</f>
        <v>451025750</v>
      </c>
      <c r="F66" s="165">
        <f t="shared" si="18"/>
        <v>2769350</v>
      </c>
      <c r="G66" s="166">
        <f t="shared" si="19"/>
        <v>6.1401150599494593E-3</v>
      </c>
      <c r="H66" s="165">
        <f>VLOOKUP($B66,'Data shares'!$C:$FB,66)</f>
        <v>189865375</v>
      </c>
      <c r="I66" s="165">
        <f>VLOOKUP($B66,'Data shares'!$C:$FB,67)</f>
        <v>540285150</v>
      </c>
      <c r="J66" s="81">
        <f t="shared" si="20"/>
        <v>-64.858302139157445</v>
      </c>
      <c r="K66" s="5">
        <f>VLOOKUP($B66,'Data Vlaue (Cr)'!$C:$FB,99)</f>
        <v>12933</v>
      </c>
      <c r="L66" s="81">
        <f>VLOOKUP(B66,'OI(Value)'!$A$7:$C$209,3,0)</f>
        <v>79</v>
      </c>
      <c r="M66" s="33">
        <f t="shared" ref="M66:M93" si="22">L66/K66*100</f>
        <v>0.61084048557952531</v>
      </c>
      <c r="N66" s="5">
        <f>VLOOKUP($B66,'Data Vlaue (Cr)'!$C:$FB,67)</f>
        <v>5411</v>
      </c>
      <c r="O66" s="5">
        <f>VLOOKUP($B66,'Data Vlaue (Cr)'!$C:$FB,68)</f>
        <v>15398</v>
      </c>
      <c r="P66" s="5">
        <f t="shared" si="21"/>
        <v>-184.56847163186103</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363.8</v>
      </c>
      <c r="D67" s="82">
        <f>VLOOKUP($B67,'Data shares'!$C:$FB,98)</f>
        <v>50310000</v>
      </c>
      <c r="E67" s="165">
        <f>VLOOKUP(B67,'Snapshot (Volume)'!$A$7:$G$168,7,0)</f>
        <v>49264200</v>
      </c>
      <c r="F67" s="165">
        <f t="shared" si="18"/>
        <v>1045800</v>
      </c>
      <c r="G67" s="166">
        <f t="shared" si="19"/>
        <v>2.1228397091599984E-2</v>
      </c>
      <c r="H67" s="165">
        <f>VLOOKUP($B67,'Data shares'!$C:$FB,66)</f>
        <v>16549200</v>
      </c>
      <c r="I67" s="165">
        <f>VLOOKUP($B67,'Data shares'!$C:$FB,67)</f>
        <v>19830600</v>
      </c>
      <c r="J67" s="81">
        <f t="shared" si="20"/>
        <v>-16.547154397748933</v>
      </c>
      <c r="K67" s="5">
        <f>VLOOKUP($B67,'Data Vlaue (Cr)'!$C:$FB,99)</f>
        <v>1832</v>
      </c>
      <c r="L67" s="81">
        <f>VLOOKUP(B67,'OI(Value)'!$A$7:$C$209,3,0)</f>
        <v>38</v>
      </c>
      <c r="M67" s="33">
        <f t="shared" si="22"/>
        <v>2.0742358078602621</v>
      </c>
      <c r="N67" s="5">
        <f>VLOOKUP($B67,'Data Vlaue (Cr)'!$C:$FB,67)</f>
        <v>603</v>
      </c>
      <c r="O67" s="5">
        <f>VLOOKUP($B67,'Data Vlaue (Cr)'!$C:$FB,68)</f>
        <v>722</v>
      </c>
      <c r="P67" s="5">
        <f t="shared" si="21"/>
        <v>-19.734660033167494</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263.60000000000002</v>
      </c>
      <c r="D68" s="82">
        <f>VLOOKUP($B68,'Data shares'!$C:$FB,98)</f>
        <v>154985000</v>
      </c>
      <c r="E68" s="165">
        <f>VLOOKUP(B68,'Snapshot (Volume)'!$A$7:$G$168,7,0)</f>
        <v>151820000</v>
      </c>
      <c r="F68" s="165">
        <f t="shared" si="18"/>
        <v>3165000</v>
      </c>
      <c r="G68" s="166">
        <f t="shared" si="19"/>
        <v>2.0847055723883547E-2</v>
      </c>
      <c r="H68" s="165">
        <f>VLOOKUP($B68,'Data shares'!$C:$FB,66)</f>
        <v>87350000</v>
      </c>
      <c r="I68" s="165">
        <f>VLOOKUP($B68,'Data shares'!$C:$FB,67)</f>
        <v>96530000</v>
      </c>
      <c r="J68" s="81">
        <f t="shared" si="20"/>
        <v>-9.5099968921578775</v>
      </c>
      <c r="K68" s="5">
        <f>VLOOKUP($B68,'Data Vlaue (Cr)'!$C:$FB,99)</f>
        <v>4096</v>
      </c>
      <c r="L68" s="81">
        <f>VLOOKUP(B68,'OI(Value)'!$A$7:$C$209,3,0)</f>
        <v>84</v>
      </c>
      <c r="M68" s="33">
        <f t="shared" si="22"/>
        <v>2.05078125</v>
      </c>
      <c r="N68" s="5">
        <f>VLOOKUP($B68,'Data Vlaue (Cr)'!$C:$FB,67)</f>
        <v>2309</v>
      </c>
      <c r="O68" s="5">
        <f>VLOOKUP($B68,'Data Vlaue (Cr)'!$C:$FB,68)</f>
        <v>2551</v>
      </c>
      <c r="P68" s="5">
        <f t="shared" si="21"/>
        <v>-10.480727587700303</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27251.95</v>
      </c>
      <c r="D69" s="165">
        <f>VLOOKUP($B69,'Data shares'!$C:$FB,98)</f>
        <v>1531220</v>
      </c>
      <c r="E69" s="165">
        <f>VLOOKUP(B69,'Snapshot (Volume)'!$A$7:$G$168,7,0)</f>
        <v>1371730</v>
      </c>
      <c r="F69" s="165">
        <f t="shared" ref="F69:F85" si="23">D69-E69</f>
        <v>159490</v>
      </c>
      <c r="G69" s="166">
        <f t="shared" ref="G69:G85" si="24">F69/E69</f>
        <v>0.11626923665735968</v>
      </c>
      <c r="H69" s="165">
        <f>VLOOKUP($B69,'Data shares'!$C:$FB,66)</f>
        <v>2995785</v>
      </c>
      <c r="I69" s="165">
        <f>VLOOKUP($B69,'Data shares'!$C:$FB,67)</f>
        <v>2279810</v>
      </c>
      <c r="J69" s="81">
        <f t="shared" ref="J69:J85" si="25">(H69-I69)/I69*100</f>
        <v>31.405029366482296</v>
      </c>
      <c r="K69" s="81">
        <f>VLOOKUP($B69,'Data Vlaue (Cr)'!$C:$FB,99)</f>
        <v>4192</v>
      </c>
      <c r="L69" s="81">
        <f>VLOOKUP(B69,'OI(Value)'!$A$7:$C$209,3,0)</f>
        <v>437</v>
      </c>
      <c r="M69" s="81">
        <f t="shared" si="22"/>
        <v>10.424618320610687</v>
      </c>
      <c r="N69" s="81">
        <f>VLOOKUP($B69,'Data Vlaue (Cr)'!$C:$FB,67)</f>
        <v>8201</v>
      </c>
      <c r="O69" s="81">
        <f>VLOOKUP($B69,'Data Vlaue (Cr)'!$C:$FB,68)</f>
        <v>6241</v>
      </c>
      <c r="P69" s="81">
        <f t="shared" ref="P69:P85" si="26">(N69-O69)/N69*100</f>
        <v>23.899524448238019</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870.95</v>
      </c>
      <c r="D70" s="165">
        <f>VLOOKUP($B70,'Data shares'!$C:$FB,98)</f>
        <v>24092425</v>
      </c>
      <c r="E70" s="165">
        <f>VLOOKUP(B70,'Snapshot (Volume)'!$A$7:$G$168,7,0)</f>
        <v>24226500</v>
      </c>
      <c r="F70" s="165">
        <f t="shared" si="23"/>
        <v>-134075</v>
      </c>
      <c r="G70" s="166">
        <f t="shared" si="24"/>
        <v>-5.5342290467050546E-3</v>
      </c>
      <c r="H70" s="165">
        <f>VLOOKUP($B70,'Data shares'!$C:$FB,66)</f>
        <v>6222475</v>
      </c>
      <c r="I70" s="165">
        <f>VLOOKUP($B70,'Data shares'!$C:$FB,67)</f>
        <v>12451150</v>
      </c>
      <c r="J70" s="81">
        <f t="shared" si="25"/>
        <v>-50.024897298643097</v>
      </c>
      <c r="K70" s="81">
        <f>VLOOKUP($B70,'Data Vlaue (Cr)'!$C:$FB,99)</f>
        <v>2100</v>
      </c>
      <c r="L70" s="81">
        <f>VLOOKUP(B70,'OI(Value)'!$A$7:$C$209,3,0)</f>
        <v>-12</v>
      </c>
      <c r="M70" s="81">
        <f t="shared" si="22"/>
        <v>-0.5714285714285714</v>
      </c>
      <c r="N70" s="81">
        <f>VLOOKUP($B70,'Data Vlaue (Cr)'!$C:$FB,67)</f>
        <v>542</v>
      </c>
      <c r="O70" s="81">
        <f>VLOOKUP($B70,'Data Vlaue (Cr)'!$C:$FB,68)</f>
        <v>1085</v>
      </c>
      <c r="P70" s="81">
        <f t="shared" si="26"/>
        <v>-100.18450184501846</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169.07</v>
      </c>
      <c r="D71" s="82">
        <f>VLOOKUP($B71,'Data shares'!$C:$FB,98)</f>
        <v>213273900</v>
      </c>
      <c r="E71" s="165">
        <f>VLOOKUP(B71,'Snapshot (Volume)'!$A$7:$G$168,7,0)</f>
        <v>215233200</v>
      </c>
      <c r="F71" s="165">
        <f t="shared" si="23"/>
        <v>-1959300</v>
      </c>
      <c r="G71" s="166">
        <f t="shared" si="24"/>
        <v>-9.1031495141084186E-3</v>
      </c>
      <c r="H71" s="165">
        <f>VLOOKUP($B71,'Data shares'!$C:$FB,66)</f>
        <v>41312250</v>
      </c>
      <c r="I71" s="165">
        <f>VLOOKUP($B71,'Data shares'!$C:$FB,67)</f>
        <v>48132000</v>
      </c>
      <c r="J71" s="81">
        <f t="shared" si="25"/>
        <v>-14.168848167539267</v>
      </c>
      <c r="K71" s="5">
        <f>VLOOKUP($B71,'Data Vlaue (Cr)'!$C:$FB,99)</f>
        <v>3612</v>
      </c>
      <c r="L71" s="81">
        <f>VLOOKUP(B71,'OI(Value)'!$A$7:$C$209,3,0)</f>
        <v>-33</v>
      </c>
      <c r="M71" s="33">
        <f t="shared" si="22"/>
        <v>-0.91362126245847186</v>
      </c>
      <c r="N71" s="5">
        <f>VLOOKUP($B71,'Data Vlaue (Cr)'!$C:$FB,67)</f>
        <v>700</v>
      </c>
      <c r="O71" s="5">
        <f>VLOOKUP($B71,'Data Vlaue (Cr)'!$C:$FB,68)</f>
        <v>815</v>
      </c>
      <c r="P71" s="5">
        <f t="shared" si="26"/>
        <v>-16.428571428571427</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1948.4</v>
      </c>
      <c r="D72" s="82">
        <f>VLOOKUP($B72,'Data shares'!$C:$FB,98)</f>
        <v>21753000</v>
      </c>
      <c r="E72" s="165">
        <f>VLOOKUP(B72,'Snapshot (Volume)'!$A$7:$G$168,7,0)</f>
        <v>21722250</v>
      </c>
      <c r="F72" s="165">
        <f t="shared" si="23"/>
        <v>30750</v>
      </c>
      <c r="G72" s="166">
        <f t="shared" si="24"/>
        <v>1.4155992127887305E-3</v>
      </c>
      <c r="H72" s="165">
        <f>VLOOKUP($B72,'Data shares'!$C:$FB,66)</f>
        <v>6593625</v>
      </c>
      <c r="I72" s="165">
        <f>VLOOKUP($B72,'Data shares'!$C:$FB,67)</f>
        <v>5804625</v>
      </c>
      <c r="J72" s="81">
        <f t="shared" si="25"/>
        <v>13.592609341688739</v>
      </c>
      <c r="K72" s="5">
        <f>VLOOKUP($B72,'Data Vlaue (Cr)'!$C:$FB,99)</f>
        <v>4246</v>
      </c>
      <c r="L72" s="81">
        <f>VLOOKUP(B72,'OI(Value)'!$A$7:$C$209,3,0)</f>
        <v>6</v>
      </c>
      <c r="M72" s="33">
        <f t="shared" si="22"/>
        <v>0.1413094677343382</v>
      </c>
      <c r="N72" s="5">
        <f>VLOOKUP($B72,'Data Vlaue (Cr)'!$C:$FB,67)</f>
        <v>1287</v>
      </c>
      <c r="O72" s="5">
        <f>VLOOKUP($B72,'Data Vlaue (Cr)'!$C:$FB,68)</f>
        <v>1133</v>
      </c>
      <c r="P72" s="5">
        <f t="shared" si="26"/>
        <v>11.965811965811966</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100.95</v>
      </c>
      <c r="D73" s="82">
        <f>VLOOKUP($B73,'Data shares'!$C:$FB,98)</f>
        <v>405087075</v>
      </c>
      <c r="E73" s="165">
        <f>VLOOKUP(B73,'Snapshot (Volume)'!$A$7:$G$168,7,0)</f>
        <v>402032025</v>
      </c>
      <c r="F73" s="165">
        <f t="shared" si="23"/>
        <v>3055050</v>
      </c>
      <c r="G73" s="166">
        <f t="shared" si="24"/>
        <v>7.5990214958621769E-3</v>
      </c>
      <c r="H73" s="165">
        <f>VLOOKUP($B73,'Data shares'!$C:$FB,66)</f>
        <v>218254725</v>
      </c>
      <c r="I73" s="165">
        <f>VLOOKUP($B73,'Data shares'!$C:$FB,67)</f>
        <v>241558200</v>
      </c>
      <c r="J73" s="81">
        <f t="shared" si="25"/>
        <v>-9.6471471471471482</v>
      </c>
      <c r="K73" s="5">
        <f>VLOOKUP($B73,'Data Vlaue (Cr)'!$C:$FB,99)</f>
        <v>4097</v>
      </c>
      <c r="L73" s="81">
        <f>VLOOKUP(B73,'OI(Value)'!$A$7:$C$209,3,0)</f>
        <v>31</v>
      </c>
      <c r="M73" s="33">
        <f t="shared" si="22"/>
        <v>0.75665120820112275</v>
      </c>
      <c r="N73" s="5">
        <f>VLOOKUP($B73,'Data Vlaue (Cr)'!$C:$FB,67)</f>
        <v>2207</v>
      </c>
      <c r="O73" s="5">
        <f>VLOOKUP($B73,'Data Vlaue (Cr)'!$C:$FB,68)</f>
        <v>2443</v>
      </c>
      <c r="P73" s="5">
        <f t="shared" si="26"/>
        <v>-10.693248753964658</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1179.7</v>
      </c>
      <c r="D74" s="82">
        <f>VLOOKUP($B74,'Data shares'!$C:$FB,98)</f>
        <v>14213000</v>
      </c>
      <c r="E74" s="165">
        <f>VLOOKUP(B74,'Snapshot (Volume)'!$A$7:$G$168,7,0)</f>
        <v>14425500</v>
      </c>
      <c r="F74" s="165">
        <f t="shared" si="23"/>
        <v>-212500</v>
      </c>
      <c r="G74" s="166">
        <f t="shared" si="24"/>
        <v>-1.4730858549097085E-2</v>
      </c>
      <c r="H74" s="165">
        <f>VLOOKUP($B74,'Data shares'!$C:$FB,66)</f>
        <v>4818000</v>
      </c>
      <c r="I74" s="165">
        <f>VLOOKUP($B74,'Data shares'!$C:$FB,67)</f>
        <v>31567500</v>
      </c>
      <c r="J74" s="81">
        <f t="shared" si="25"/>
        <v>-84.737467331907808</v>
      </c>
      <c r="K74" s="5">
        <f>VLOOKUP($B74,'Data Vlaue (Cr)'!$C:$FB,99)</f>
        <v>1678</v>
      </c>
      <c r="L74" s="81">
        <f>VLOOKUP(B74,'OI(Value)'!$A$7:$C$209,3,0)</f>
        <v>-25</v>
      </c>
      <c r="M74" s="33">
        <f t="shared" si="22"/>
        <v>-1.4898688915375446</v>
      </c>
      <c r="N74" s="5">
        <f>VLOOKUP($B74,'Data Vlaue (Cr)'!$C:$FB,67)</f>
        <v>569</v>
      </c>
      <c r="O74" s="5">
        <f>VLOOKUP($B74,'Data Vlaue (Cr)'!$C:$FB,68)</f>
        <v>3727</v>
      </c>
      <c r="P74" s="5">
        <f t="shared" si="26"/>
        <v>-555.00878734622142</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2014.9</v>
      </c>
      <c r="D75" s="82">
        <f>VLOOKUP($B75,'Data shares'!$C:$FB,98)</f>
        <v>14507625</v>
      </c>
      <c r="E75" s="165">
        <f>VLOOKUP(B75,'Snapshot (Volume)'!$A$7:$G$168,7,0)</f>
        <v>14234550</v>
      </c>
      <c r="F75" s="165">
        <f t="shared" si="23"/>
        <v>273075</v>
      </c>
      <c r="G75" s="166">
        <f t="shared" si="24"/>
        <v>1.9183957343224759E-2</v>
      </c>
      <c r="H75" s="165">
        <f>VLOOKUP($B75,'Data shares'!$C:$FB,66)</f>
        <v>3151775</v>
      </c>
      <c r="I75" s="165">
        <f>VLOOKUP($B75,'Data shares'!$C:$FB,67)</f>
        <v>3572250</v>
      </c>
      <c r="J75" s="81">
        <f t="shared" si="25"/>
        <v>-11.770592763664357</v>
      </c>
      <c r="K75" s="5">
        <f>VLOOKUP($B75,'Data Vlaue (Cr)'!$C:$FB,99)</f>
        <v>2929</v>
      </c>
      <c r="L75" s="81">
        <f>VLOOKUP(B75,'OI(Value)'!$A$7:$C$209,3,0)</f>
        <v>55</v>
      </c>
      <c r="M75" s="33">
        <f t="shared" si="22"/>
        <v>1.8777739842949812</v>
      </c>
      <c r="N75" s="5">
        <f>VLOOKUP($B75,'Data Vlaue (Cr)'!$C:$FB,67)</f>
        <v>636</v>
      </c>
      <c r="O75" s="5">
        <f>VLOOKUP($B75,'Data Vlaue (Cr)'!$C:$FB,68)</f>
        <v>721</v>
      </c>
      <c r="P75" s="5">
        <f t="shared" si="26"/>
        <v>-13.364779874213836</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2806.6</v>
      </c>
      <c r="D76" s="82">
        <f>VLOOKUP($B76,'Data shares'!$C:$FB,98)</f>
        <v>20560250</v>
      </c>
      <c r="E76" s="165">
        <f>VLOOKUP(B76,'Snapshot (Volume)'!$A$7:$G$168,7,0)</f>
        <v>20575500</v>
      </c>
      <c r="F76" s="165">
        <f t="shared" si="23"/>
        <v>-15250</v>
      </c>
      <c r="G76" s="166">
        <f t="shared" si="24"/>
        <v>-7.4117275400354787E-4</v>
      </c>
      <c r="H76" s="165">
        <f>VLOOKUP($B76,'Data shares'!$C:$FB,66)</f>
        <v>2956500</v>
      </c>
      <c r="I76" s="165">
        <f>VLOOKUP($B76,'Data shares'!$C:$FB,67)</f>
        <v>3112500</v>
      </c>
      <c r="J76" s="81">
        <f t="shared" si="25"/>
        <v>-5.0120481927710836</v>
      </c>
      <c r="K76" s="5">
        <f>VLOOKUP($B76,'Data Vlaue (Cr)'!$C:$FB,99)</f>
        <v>5784</v>
      </c>
      <c r="L76" s="81">
        <f>VLOOKUP(B76,'OI(Value)'!$A$7:$C$209,3,0)</f>
        <v>-4</v>
      </c>
      <c r="M76" s="33">
        <f t="shared" si="22"/>
        <v>-6.9156293222683268E-2</v>
      </c>
      <c r="N76" s="5">
        <f>VLOOKUP($B76,'Data Vlaue (Cr)'!$C:$FB,67)</f>
        <v>832</v>
      </c>
      <c r="O76" s="5">
        <f>VLOOKUP($B76,'Data Vlaue (Cr)'!$C:$FB,68)</f>
        <v>876</v>
      </c>
      <c r="P76" s="5">
        <f t="shared" si="26"/>
        <v>-5.2884615384615383</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4228.3999999999996</v>
      </c>
      <c r="D77" s="82">
        <f>VLOOKUP($B77,'Data shares'!$C:$FB,98)</f>
        <v>24108750</v>
      </c>
      <c r="E77" s="165">
        <f>VLOOKUP(B77,'Snapshot (Volume)'!$A$7:$G$168,7,0)</f>
        <v>23766000</v>
      </c>
      <c r="F77" s="165">
        <f t="shared" si="23"/>
        <v>342750</v>
      </c>
      <c r="G77" s="166">
        <f t="shared" si="24"/>
        <v>1.4421863165867205E-2</v>
      </c>
      <c r="H77" s="165">
        <f>VLOOKUP($B77,'Data shares'!$C:$FB,66)</f>
        <v>9669600</v>
      </c>
      <c r="I77" s="165">
        <f>VLOOKUP($B77,'Data shares'!$C:$FB,67)</f>
        <v>9735600</v>
      </c>
      <c r="J77" s="81">
        <f t="shared" si="25"/>
        <v>-0.6779243189942068</v>
      </c>
      <c r="K77" s="5">
        <f>VLOOKUP($B77,'Data Vlaue (Cr)'!$C:$FB,99)</f>
        <v>10227</v>
      </c>
      <c r="L77" s="81">
        <f>VLOOKUP(B77,'OI(Value)'!$A$7:$C$209,3,0)</f>
        <v>145</v>
      </c>
      <c r="M77" s="33">
        <f t="shared" si="22"/>
        <v>1.4178155861934096</v>
      </c>
      <c r="N77" s="5">
        <f>VLOOKUP($B77,'Data Vlaue (Cr)'!$C:$FB,67)</f>
        <v>4102</v>
      </c>
      <c r="O77" s="5">
        <f>VLOOKUP($B77,'Data Vlaue (Cr)'!$C:$FB,68)</f>
        <v>4130</v>
      </c>
      <c r="P77" s="5">
        <f t="shared" si="26"/>
        <v>-0.68259385665529015</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1397</v>
      </c>
      <c r="D78" s="82">
        <f>VLOOKUP($B78,'Data shares'!$C:$FB,98)</f>
        <v>13262000</v>
      </c>
      <c r="E78" s="165">
        <f>VLOOKUP(B78,'Snapshot (Volume)'!$A$7:$G$168,7,0)</f>
        <v>12970000</v>
      </c>
      <c r="F78" s="165">
        <f t="shared" si="23"/>
        <v>292000</v>
      </c>
      <c r="G78" s="166">
        <f t="shared" si="24"/>
        <v>2.251349267540478E-2</v>
      </c>
      <c r="H78" s="165">
        <f>VLOOKUP($B78,'Data shares'!$C:$FB,66)</f>
        <v>3960500</v>
      </c>
      <c r="I78" s="165">
        <f>VLOOKUP($B78,'Data shares'!$C:$FB,67)</f>
        <v>3336500</v>
      </c>
      <c r="J78" s="81">
        <f t="shared" si="25"/>
        <v>18.702232878765173</v>
      </c>
      <c r="K78" s="5">
        <f>VLOOKUP($B78,'Data Vlaue (Cr)'!$C:$FB,99)</f>
        <v>1855</v>
      </c>
      <c r="L78" s="81">
        <f>VLOOKUP(B78,'OI(Value)'!$A$7:$C$209,3,0)</f>
        <v>41</v>
      </c>
      <c r="M78" s="33">
        <f t="shared" si="22"/>
        <v>2.2102425876010785</v>
      </c>
      <c r="N78" s="5">
        <f>VLOOKUP($B78,'Data Vlaue (Cr)'!$C:$FB,67)</f>
        <v>554</v>
      </c>
      <c r="O78" s="5">
        <f>VLOOKUP($B78,'Data Vlaue (Cr)'!$C:$FB,68)</f>
        <v>467</v>
      </c>
      <c r="P78" s="5">
        <f t="shared" si="26"/>
        <v>15.703971119133575</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1655</v>
      </c>
      <c r="D79" s="82">
        <f>VLOOKUP($B79,'Data shares'!$C:$FB,98)</f>
        <v>28630700</v>
      </c>
      <c r="E79" s="165">
        <f>VLOOKUP(B79,'Snapshot (Volume)'!$A$7:$G$168,7,0)</f>
        <v>28908250</v>
      </c>
      <c r="F79" s="165">
        <f t="shared" si="23"/>
        <v>-277550</v>
      </c>
      <c r="G79" s="166">
        <f t="shared" si="24"/>
        <v>-9.6010654397965974E-3</v>
      </c>
      <c r="H79" s="165">
        <f>VLOOKUP($B79,'Data shares'!$C:$FB,66)</f>
        <v>9174900</v>
      </c>
      <c r="I79" s="165">
        <f>VLOOKUP($B79,'Data shares'!$C:$FB,67)</f>
        <v>15531250</v>
      </c>
      <c r="J79" s="81">
        <f t="shared" si="25"/>
        <v>-40.926197183098587</v>
      </c>
      <c r="K79" s="5">
        <f>VLOOKUP($B79,'Data Vlaue (Cr)'!$C:$FB,99)</f>
        <v>4756</v>
      </c>
      <c r="L79" s="81">
        <f>VLOOKUP(B79,'OI(Value)'!$A$7:$C$209,3,0)</f>
        <v>-46</v>
      </c>
      <c r="M79" s="33">
        <f t="shared" si="22"/>
        <v>-0.96719932716568557</v>
      </c>
      <c r="N79" s="5">
        <f>VLOOKUP($B79,'Data Vlaue (Cr)'!$C:$FB,67)</f>
        <v>1524</v>
      </c>
      <c r="O79" s="5">
        <f>VLOOKUP($B79,'Data Vlaue (Cr)'!$C:$FB,68)</f>
        <v>2580</v>
      </c>
      <c r="P79" s="5">
        <f t="shared" si="26"/>
        <v>-69.29133858267717</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2541.1999999999998</v>
      </c>
      <c r="D80" s="82">
        <f>VLOOKUP($B80,'Data shares'!$C:$FB,98)</f>
        <v>8957400</v>
      </c>
      <c r="E80" s="165">
        <f>VLOOKUP(B80,'Snapshot (Volume)'!$A$7:$G$168,7,0)</f>
        <v>8263800</v>
      </c>
      <c r="F80" s="165">
        <f t="shared" si="23"/>
        <v>693600</v>
      </c>
      <c r="G80" s="166">
        <f t="shared" si="24"/>
        <v>8.3932331372976107E-2</v>
      </c>
      <c r="H80" s="165">
        <f>VLOOKUP($B80,'Data shares'!$C:$FB,66)</f>
        <v>5461200</v>
      </c>
      <c r="I80" s="165">
        <f>VLOOKUP($B80,'Data shares'!$C:$FB,67)</f>
        <v>4520100</v>
      </c>
      <c r="J80" s="81">
        <f t="shared" si="25"/>
        <v>20.820335833278026</v>
      </c>
      <c r="K80" s="5">
        <f>VLOOKUP($B80,'Data Vlaue (Cr)'!$C:$FB,99)</f>
        <v>2283</v>
      </c>
      <c r="L80" s="81">
        <f>VLOOKUP(B80,'OI(Value)'!$A$7:$C$209,3,0)</f>
        <v>177</v>
      </c>
      <c r="M80" s="33">
        <f t="shared" si="22"/>
        <v>7.7529566360052566</v>
      </c>
      <c r="N80" s="5">
        <f>VLOOKUP($B80,'Data Vlaue (Cr)'!$C:$FB,67)</f>
        <v>1392</v>
      </c>
      <c r="O80" s="5">
        <f>VLOOKUP($B80,'Data Vlaue (Cr)'!$C:$FB,68)</f>
        <v>1152</v>
      </c>
      <c r="P80" s="5">
        <f t="shared" si="26"/>
        <v>17.241379310344829</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984</v>
      </c>
      <c r="D81" s="82">
        <f>VLOOKUP($B81,'Data shares'!$C:$FB,98)</f>
        <v>292844200</v>
      </c>
      <c r="E81" s="165">
        <f>VLOOKUP(B81,'Snapshot (Volume)'!$A$7:$G$168,7,0)</f>
        <v>279857600</v>
      </c>
      <c r="F81" s="165">
        <f t="shared" si="23"/>
        <v>12986600</v>
      </c>
      <c r="G81" s="166">
        <f t="shared" si="24"/>
        <v>4.6404314194075848E-2</v>
      </c>
      <c r="H81" s="165">
        <f>VLOOKUP($B81,'Data shares'!$C:$FB,66)</f>
        <v>104513200</v>
      </c>
      <c r="I81" s="165">
        <f>VLOOKUP($B81,'Data shares'!$C:$FB,67)</f>
        <v>94643450</v>
      </c>
      <c r="J81" s="81">
        <f t="shared" si="25"/>
        <v>10.428349769582576</v>
      </c>
      <c r="K81" s="5">
        <f>VLOOKUP($B81,'Data Vlaue (Cr)'!$C:$FB,99)</f>
        <v>28918</v>
      </c>
      <c r="L81" s="81">
        <f>VLOOKUP(B81,'OI(Value)'!$A$7:$C$209,3,0)</f>
        <v>1282</v>
      </c>
      <c r="M81" s="33">
        <f t="shared" si="22"/>
        <v>4.4332249809807038</v>
      </c>
      <c r="N81" s="5">
        <f>VLOOKUP($B81,'Data Vlaue (Cr)'!$C:$FB,67)</f>
        <v>10321</v>
      </c>
      <c r="O81" s="5">
        <f>VLOOKUP($B81,'Data Vlaue (Cr)'!$C:$FB,68)</f>
        <v>9346</v>
      </c>
      <c r="P81" s="5">
        <f t="shared" si="26"/>
        <v>9.4467590349772319</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753.5</v>
      </c>
      <c r="D82" s="82">
        <f>VLOOKUP($B82,'Data shares'!$C:$FB,98)</f>
        <v>59710200</v>
      </c>
      <c r="E82" s="165">
        <f>VLOOKUP(B82,'Snapshot (Volume)'!$A$7:$G$168,7,0)</f>
        <v>61205100</v>
      </c>
      <c r="F82" s="165">
        <f t="shared" si="23"/>
        <v>-1494900</v>
      </c>
      <c r="G82" s="166">
        <f t="shared" si="24"/>
        <v>-2.4424435218633741E-2</v>
      </c>
      <c r="H82" s="165">
        <f>VLOOKUP($B82,'Data shares'!$C:$FB,66)</f>
        <v>44337700</v>
      </c>
      <c r="I82" s="165">
        <f>VLOOKUP($B82,'Data shares'!$C:$FB,67)</f>
        <v>40882600</v>
      </c>
      <c r="J82" s="81">
        <f t="shared" si="25"/>
        <v>8.4512726685680466</v>
      </c>
      <c r="K82" s="5">
        <f>VLOOKUP($B82,'Data Vlaue (Cr)'!$C:$FB,99)</f>
        <v>4507</v>
      </c>
      <c r="L82" s="81">
        <f>VLOOKUP(B82,'OI(Value)'!$A$7:$C$209,3,0)</f>
        <v>-113</v>
      </c>
      <c r="M82" s="33">
        <f t="shared" si="22"/>
        <v>-2.5072110051031729</v>
      </c>
      <c r="N82" s="5">
        <f>VLOOKUP($B82,'Data Vlaue (Cr)'!$C:$FB,67)</f>
        <v>3347</v>
      </c>
      <c r="O82" s="5">
        <f>VLOOKUP($B82,'Data Vlaue (Cr)'!$C:$FB,68)</f>
        <v>3086</v>
      </c>
      <c r="P82" s="5">
        <f t="shared" si="26"/>
        <v>7.7980280848521062</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5817</v>
      </c>
      <c r="D83" s="82">
        <f>VLOOKUP($B83,'Data shares'!$C:$FB,98)</f>
        <v>11787300</v>
      </c>
      <c r="E83" s="165">
        <f>VLOOKUP(B83,'Snapshot (Volume)'!$A$7:$G$168,7,0)</f>
        <v>10968000</v>
      </c>
      <c r="F83" s="165">
        <f t="shared" si="23"/>
        <v>819300</v>
      </c>
      <c r="G83" s="166">
        <f t="shared" si="24"/>
        <v>7.4699124726477023E-2</v>
      </c>
      <c r="H83" s="165">
        <f>VLOOKUP($B83,'Data shares'!$C:$FB,66)</f>
        <v>13040550</v>
      </c>
      <c r="I83" s="165">
        <f>VLOOKUP($B83,'Data shares'!$C:$FB,67)</f>
        <v>3376500</v>
      </c>
      <c r="J83" s="81">
        <f t="shared" si="25"/>
        <v>286.21501554864506</v>
      </c>
      <c r="K83" s="5">
        <f>VLOOKUP($B83,'Data Vlaue (Cr)'!$C:$FB,99)</f>
        <v>6869</v>
      </c>
      <c r="L83" s="81">
        <f>VLOOKUP(B83,'OI(Value)'!$A$7:$C$209,3,0)</f>
        <v>477</v>
      </c>
      <c r="M83" s="33">
        <f t="shared" si="22"/>
        <v>6.9442422477798802</v>
      </c>
      <c r="N83" s="5">
        <f>VLOOKUP($B83,'Data Vlaue (Cr)'!$C:$FB,67)</f>
        <v>7599</v>
      </c>
      <c r="O83" s="5">
        <f>VLOOKUP($B83,'Data Vlaue (Cr)'!$C:$FB,68)</f>
        <v>1968</v>
      </c>
      <c r="P83" s="5">
        <f t="shared" si="26"/>
        <v>74.101855507303597</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64.53</v>
      </c>
      <c r="D84" s="82">
        <f>VLOOKUP($B84,'Data shares'!$C:$FB,98)</f>
        <v>213024150</v>
      </c>
      <c r="E84" s="165">
        <f>VLOOKUP(B84,'Snapshot (Volume)'!$A$7:$G$168,7,0)</f>
        <v>214030350</v>
      </c>
      <c r="F84" s="165">
        <f t="shared" si="23"/>
        <v>-1006200</v>
      </c>
      <c r="G84" s="166">
        <f t="shared" si="24"/>
        <v>-4.701202422927403E-3</v>
      </c>
      <c r="H84" s="165">
        <f>VLOOKUP($B84,'Data shares'!$C:$FB,66)</f>
        <v>56927700</v>
      </c>
      <c r="I84" s="165">
        <f>VLOOKUP($B84,'Data shares'!$C:$FB,67)</f>
        <v>63210000</v>
      </c>
      <c r="J84" s="81">
        <f t="shared" si="25"/>
        <v>-9.9387755102040813</v>
      </c>
      <c r="K84" s="5">
        <f>VLOOKUP($B84,'Data Vlaue (Cr)'!$C:$FB,99)</f>
        <v>1377</v>
      </c>
      <c r="L84" s="81">
        <f>VLOOKUP(B84,'OI(Value)'!$A$7:$C$209,3,0)</f>
        <v>-7</v>
      </c>
      <c r="M84" s="33">
        <f t="shared" si="22"/>
        <v>-0.50835148874364555</v>
      </c>
      <c r="N84" s="5">
        <f>VLOOKUP($B84,'Data Vlaue (Cr)'!$C:$FB,67)</f>
        <v>368</v>
      </c>
      <c r="O84" s="5">
        <f>VLOOKUP($B84,'Data Vlaue (Cr)'!$C:$FB,68)</f>
        <v>409</v>
      </c>
      <c r="P84" s="5">
        <f t="shared" si="26"/>
        <v>-11.141304347826086</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848.8</v>
      </c>
      <c r="D85" s="82">
        <f>VLOOKUP($B85,'Data shares'!$C:$FB,98)</f>
        <v>105156800</v>
      </c>
      <c r="E85" s="165">
        <f>VLOOKUP(B85,'Snapshot (Volume)'!$A$7:$G$168,7,0)</f>
        <v>104912500</v>
      </c>
      <c r="F85" s="165">
        <f t="shared" si="23"/>
        <v>244300</v>
      </c>
      <c r="G85" s="166">
        <f t="shared" si="24"/>
        <v>2.32860717264387E-3</v>
      </c>
      <c r="H85" s="165">
        <f>VLOOKUP($B85,'Data shares'!$C:$FB,66)</f>
        <v>46651500</v>
      </c>
      <c r="I85" s="165">
        <f>VLOOKUP($B85,'Data shares'!$C:$FB,67)</f>
        <v>38497900</v>
      </c>
      <c r="J85" s="81">
        <f t="shared" si="25"/>
        <v>21.179337054748441</v>
      </c>
      <c r="K85" s="5">
        <f>VLOOKUP($B85,'Data Vlaue (Cr)'!$C:$FB,99)</f>
        <v>8935</v>
      </c>
      <c r="L85" s="81">
        <f>VLOOKUP(B85,'OI(Value)'!$A$7:$C$209,3,0)</f>
        <v>21</v>
      </c>
      <c r="M85" s="33">
        <f t="shared" si="22"/>
        <v>0.23503077783995521</v>
      </c>
      <c r="N85" s="5">
        <f>VLOOKUP($B85,'Data Vlaue (Cr)'!$C:$FB,67)</f>
        <v>3964</v>
      </c>
      <c r="O85" s="5">
        <f>VLOOKUP($B85,'Data Vlaue (Cr)'!$C:$FB,68)</f>
        <v>3271</v>
      </c>
      <c r="P85" s="5">
        <f t="shared" si="26"/>
        <v>17.482341069626639</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465.45</v>
      </c>
      <c r="D86" s="82">
        <f>VLOOKUP($B86,'Data shares'!$C:$FB,98)</f>
        <v>62210025</v>
      </c>
      <c r="E86" s="165">
        <f>VLOOKUP(B86,'Snapshot (Volume)'!$A$7:$G$168,7,0)</f>
        <v>61904250</v>
      </c>
      <c r="F86" s="165">
        <f t="shared" ref="F86:F96" si="27">D86-E86</f>
        <v>305775</v>
      </c>
      <c r="G86" s="166">
        <f t="shared" ref="G86:G96" si="28">F86/E86</f>
        <v>4.9394831534183836E-3</v>
      </c>
      <c r="H86" s="165">
        <f>VLOOKUP($B86,'Data shares'!$C:$FB,66)</f>
        <v>31142475</v>
      </c>
      <c r="I86" s="165">
        <f>VLOOKUP($B86,'Data shares'!$C:$FB,67)</f>
        <v>24719175</v>
      </c>
      <c r="J86" s="81">
        <f t="shared" ref="J86:J96" si="29">(H86-I86)/I86*100</f>
        <v>25.98509052183174</v>
      </c>
      <c r="K86" s="5">
        <f>VLOOKUP($B86,'Data Vlaue (Cr)'!$C:$FB,99)</f>
        <v>2901</v>
      </c>
      <c r="L86" s="81">
        <f>VLOOKUP(B86,'OI(Value)'!$A$7:$C$209,3,0)</f>
        <v>14</v>
      </c>
      <c r="M86" s="33">
        <f t="shared" si="22"/>
        <v>0.48259220958290244</v>
      </c>
      <c r="N86" s="5">
        <f>VLOOKUP($B86,'Data Vlaue (Cr)'!$C:$FB,67)</f>
        <v>1452</v>
      </c>
      <c r="O86" s="5">
        <f>VLOOKUP($B86,'Data Vlaue (Cr)'!$C:$FB,68)</f>
        <v>1153</v>
      </c>
      <c r="P86" s="5">
        <f t="shared" ref="P86:P96" si="30">(N86-O86)/N86*100</f>
        <v>20.592286501377409</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2275.6</v>
      </c>
      <c r="D87" s="82">
        <f>VLOOKUP($B87,'Data shares'!$C:$FB,98)</f>
        <v>21006300</v>
      </c>
      <c r="E87" s="165">
        <f>VLOOKUP(B87,'Snapshot (Volume)'!$A$7:$G$168,7,0)</f>
        <v>20369700</v>
      </c>
      <c r="F87" s="165">
        <f t="shared" si="27"/>
        <v>636600</v>
      </c>
      <c r="G87" s="166">
        <f t="shared" si="28"/>
        <v>3.1252301212094435E-2</v>
      </c>
      <c r="H87" s="165">
        <f>VLOOKUP($B87,'Data shares'!$C:$FB,66)</f>
        <v>8140500</v>
      </c>
      <c r="I87" s="165">
        <f>VLOOKUP($B87,'Data shares'!$C:$FB,67)</f>
        <v>11374800</v>
      </c>
      <c r="J87" s="81">
        <f t="shared" si="29"/>
        <v>-28.433906530224707</v>
      </c>
      <c r="K87" s="5">
        <f>VLOOKUP($B87,'Data Vlaue (Cr)'!$C:$FB,99)</f>
        <v>4780</v>
      </c>
      <c r="L87" s="81">
        <f>VLOOKUP(B87,'OI(Value)'!$A$7:$C$209,3,0)</f>
        <v>145</v>
      </c>
      <c r="M87" s="33">
        <f t="shared" si="22"/>
        <v>3.0334728033472804</v>
      </c>
      <c r="N87" s="5">
        <f>VLOOKUP($B87,'Data Vlaue (Cr)'!$C:$FB,67)</f>
        <v>1852</v>
      </c>
      <c r="O87" s="5">
        <f>VLOOKUP($B87,'Data Vlaue (Cr)'!$C:$FB,68)</f>
        <v>2588</v>
      </c>
      <c r="P87" s="5">
        <f t="shared" si="30"/>
        <v>-39.740820734341256</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578.29999999999995</v>
      </c>
      <c r="D88" s="82">
        <f>VLOOKUP($B88,'Data shares'!$C:$FB,98)</f>
        <v>122618825</v>
      </c>
      <c r="E88" s="165">
        <f>VLOOKUP(B88,'Snapshot (Volume)'!$A$7:$G$168,7,0)</f>
        <v>112587300</v>
      </c>
      <c r="F88" s="165">
        <f t="shared" si="27"/>
        <v>10031525</v>
      </c>
      <c r="G88" s="166">
        <f t="shared" si="28"/>
        <v>8.9099969534752146E-2</v>
      </c>
      <c r="H88" s="165">
        <f>VLOOKUP($B88,'Data shares'!$C:$FB,66)</f>
        <v>308184275</v>
      </c>
      <c r="I88" s="165">
        <f>VLOOKUP($B88,'Data shares'!$C:$FB,67)</f>
        <v>138425000</v>
      </c>
      <c r="J88" s="81">
        <f t="shared" si="29"/>
        <v>122.6362831858407</v>
      </c>
      <c r="K88" s="5">
        <f>VLOOKUP($B88,'Data Vlaue (Cr)'!$C:$FB,99)</f>
        <v>7098</v>
      </c>
      <c r="L88" s="81">
        <f>VLOOKUP(B88,'OI(Value)'!$A$7:$C$209,3,0)</f>
        <v>581</v>
      </c>
      <c r="M88" s="33">
        <f t="shared" si="22"/>
        <v>8.1854043392504927</v>
      </c>
      <c r="N88" s="5">
        <f>VLOOKUP($B88,'Data Vlaue (Cr)'!$C:$FB,67)</f>
        <v>17841</v>
      </c>
      <c r="O88" s="5">
        <f>VLOOKUP($B88,'Data Vlaue (Cr)'!$C:$FB,68)</f>
        <v>8013</v>
      </c>
      <c r="P88" s="5">
        <f t="shared" si="30"/>
        <v>55.086598284849508</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207.91</v>
      </c>
      <c r="D89" s="82">
        <f>VLOOKUP($B89,'Data shares'!$C:$FB,98)</f>
        <v>94841175</v>
      </c>
      <c r="E89" s="165">
        <f>VLOOKUP(B89,'Snapshot (Volume)'!$A$7:$G$168,7,0)</f>
        <v>94280625</v>
      </c>
      <c r="F89" s="165">
        <f t="shared" si="27"/>
        <v>560550</v>
      </c>
      <c r="G89" s="166">
        <f t="shared" si="28"/>
        <v>5.9455481972038263E-3</v>
      </c>
      <c r="H89" s="165">
        <f>VLOOKUP($B89,'Data shares'!$C:$FB,66)</f>
        <v>36424650</v>
      </c>
      <c r="I89" s="165">
        <f>VLOOKUP($B89,'Data shares'!$C:$FB,67)</f>
        <v>28255050</v>
      </c>
      <c r="J89" s="81">
        <f t="shared" si="29"/>
        <v>28.913769396975052</v>
      </c>
      <c r="K89" s="5">
        <f>VLOOKUP($B89,'Data Vlaue (Cr)'!$C:$FB,99)</f>
        <v>1972</v>
      </c>
      <c r="L89" s="81">
        <f>VLOOKUP(B89,'OI(Value)'!$A$7:$C$209,3,0)</f>
        <v>12</v>
      </c>
      <c r="M89" s="33">
        <f t="shared" si="22"/>
        <v>0.6085192697768762</v>
      </c>
      <c r="N89" s="5">
        <f>VLOOKUP($B89,'Data Vlaue (Cr)'!$C:$FB,67)</f>
        <v>757</v>
      </c>
      <c r="O89" s="5">
        <f>VLOOKUP($B89,'Data Vlaue (Cr)'!$C:$FB,68)</f>
        <v>587</v>
      </c>
      <c r="P89" s="5">
        <f t="shared" si="30"/>
        <v>22.457067371202115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1352.4</v>
      </c>
      <c r="D90" s="82">
        <f>VLOOKUP($B90,'Data shares'!$C:$FB,98)</f>
        <v>187032300</v>
      </c>
      <c r="E90" s="165">
        <f>VLOOKUP(B90,'Snapshot (Volume)'!$A$7:$G$168,7,0)</f>
        <v>178848600</v>
      </c>
      <c r="F90" s="165">
        <f t="shared" si="27"/>
        <v>8183700</v>
      </c>
      <c r="G90" s="166">
        <f t="shared" si="28"/>
        <v>4.5757696733438227E-2</v>
      </c>
      <c r="H90" s="165">
        <f>VLOOKUP($B90,'Data shares'!$C:$FB,66)</f>
        <v>106170400</v>
      </c>
      <c r="I90" s="165">
        <f>VLOOKUP($B90,'Data shares'!$C:$FB,67)</f>
        <v>58455600</v>
      </c>
      <c r="J90" s="81">
        <f t="shared" si="29"/>
        <v>81.625712506586183</v>
      </c>
      <c r="K90" s="5">
        <f>VLOOKUP($B90,'Data Vlaue (Cr)'!$C:$FB,99)</f>
        <v>25371</v>
      </c>
      <c r="L90" s="81">
        <f>VLOOKUP(B90,'OI(Value)'!$A$7:$C$209,3,0)</f>
        <v>1110</v>
      </c>
      <c r="M90" s="33">
        <f t="shared" si="22"/>
        <v>4.3750739032753927</v>
      </c>
      <c r="N90" s="5">
        <f>VLOOKUP($B90,'Data Vlaue (Cr)'!$C:$FB,67)</f>
        <v>14402</v>
      </c>
      <c r="O90" s="5">
        <f>VLOOKUP($B90,'Data Vlaue (Cr)'!$C:$FB,68)</f>
        <v>7930</v>
      </c>
      <c r="P90" s="5">
        <f t="shared" si="30"/>
        <v>44.938203027357311</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1947</v>
      </c>
      <c r="D91" s="82">
        <f>VLOOKUP($B91,'Data shares'!$C:$FB,98)</f>
        <v>8750625</v>
      </c>
      <c r="E91" s="165">
        <f>VLOOKUP(B91,'Snapshot (Volume)'!$A$7:$G$168,7,0)</f>
        <v>8671325</v>
      </c>
      <c r="F91" s="165">
        <f t="shared" si="27"/>
        <v>79300</v>
      </c>
      <c r="G91" s="166">
        <f t="shared" si="28"/>
        <v>9.1450845170720739E-3</v>
      </c>
      <c r="H91" s="165">
        <f>VLOOKUP($B91,'Data shares'!$C:$FB,66)</f>
        <v>1707550</v>
      </c>
      <c r="I91" s="165">
        <f>VLOOKUP($B91,'Data shares'!$C:$FB,67)</f>
        <v>1902550</v>
      </c>
      <c r="J91" s="81">
        <f t="shared" si="29"/>
        <v>-10.249402118209773</v>
      </c>
      <c r="K91" s="5">
        <f>VLOOKUP($B91,'Data Vlaue (Cr)'!$C:$FB,99)</f>
        <v>1704</v>
      </c>
      <c r="L91" s="81">
        <f>VLOOKUP(B91,'OI(Value)'!$A$7:$C$209,3,0)</f>
        <v>15</v>
      </c>
      <c r="M91" s="33">
        <f t="shared" si="22"/>
        <v>0.88028169014084512</v>
      </c>
      <c r="N91" s="5">
        <f>VLOOKUP($B91,'Data Vlaue (Cr)'!$C:$FB,67)</f>
        <v>332</v>
      </c>
      <c r="O91" s="5">
        <f>VLOOKUP($B91,'Data Vlaue (Cr)'!$C:$FB,68)</f>
        <v>370</v>
      </c>
      <c r="P91" s="5">
        <f t="shared" si="30"/>
        <v>-11.445783132530121</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630.5</v>
      </c>
      <c r="D92" s="82">
        <f>VLOOKUP($B92,'Data shares'!$C:$FB,98)</f>
        <v>23253575</v>
      </c>
      <c r="E92" s="165">
        <f>VLOOKUP(B92,'Snapshot (Volume)'!$A$7:$G$168,7,0)</f>
        <v>23290575</v>
      </c>
      <c r="F92" s="165">
        <f t="shared" si="27"/>
        <v>-37000</v>
      </c>
      <c r="G92" s="166">
        <f t="shared" si="28"/>
        <v>-1.5886254418364511E-3</v>
      </c>
      <c r="H92" s="165">
        <f>VLOOKUP($B92,'Data shares'!$C:$FB,66)</f>
        <v>5757200</v>
      </c>
      <c r="I92" s="165">
        <f>VLOOKUP($B92,'Data shares'!$C:$FB,67)</f>
        <v>9980750</v>
      </c>
      <c r="J92" s="81">
        <f t="shared" si="29"/>
        <v>-42.316960148285446</v>
      </c>
      <c r="K92" s="5">
        <f>VLOOKUP($B92,'Data Vlaue (Cr)'!$C:$FB,99)</f>
        <v>1468</v>
      </c>
      <c r="L92" s="81">
        <f>VLOOKUP(B92,'OI(Value)'!$A$7:$C$209,3,0)</f>
        <v>-2</v>
      </c>
      <c r="M92" s="33">
        <f t="shared" si="22"/>
        <v>-0.13623978201634876</v>
      </c>
      <c r="N92" s="5">
        <f>VLOOKUP($B92,'Data Vlaue (Cr)'!$C:$FB,67)</f>
        <v>363</v>
      </c>
      <c r="O92" s="5">
        <f>VLOOKUP($B92,'Data Vlaue (Cr)'!$C:$FB,68)</f>
        <v>630</v>
      </c>
      <c r="P92" s="5">
        <f t="shared" si="30"/>
        <v>-73.553719008264466</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11.13</v>
      </c>
      <c r="D93" s="82">
        <f>VLOOKUP($B93,'Data shares'!$C:$FB,98)</f>
        <v>10632906900</v>
      </c>
      <c r="E93" s="165">
        <f>VLOOKUP(B93,'Snapshot (Volume)'!$A$7:$G$168,7,0)</f>
        <v>10705954350</v>
      </c>
      <c r="F93" s="165">
        <f t="shared" si="27"/>
        <v>-73047450</v>
      </c>
      <c r="G93" s="166">
        <f t="shared" si="28"/>
        <v>-6.8230675764090103E-3</v>
      </c>
      <c r="H93" s="165">
        <f>VLOOKUP($B93,'Data shares'!$C:$FB,66)</f>
        <v>3211157325</v>
      </c>
      <c r="I93" s="165">
        <f>VLOOKUP($B93,'Data shares'!$C:$FB,67)</f>
        <v>4286856075</v>
      </c>
      <c r="J93" s="81">
        <f t="shared" si="29"/>
        <v>-25.092952298381043</v>
      </c>
      <c r="K93" s="5">
        <f>VLOOKUP($B93,'Data Vlaue (Cr)'!$C:$FB,99)</f>
        <v>11877</v>
      </c>
      <c r="L93" s="81">
        <f>VLOOKUP(B93,'OI(Value)'!$A$7:$C$209,3,0)</f>
        <v>-82</v>
      </c>
      <c r="M93" s="33">
        <f t="shared" si="22"/>
        <v>-0.69041003620442876</v>
      </c>
      <c r="N93" s="5">
        <f>VLOOKUP($B93,'Data Vlaue (Cr)'!$C:$FB,67)</f>
        <v>3587</v>
      </c>
      <c r="O93" s="5">
        <f>VLOOKUP($B93,'Data Vlaue (Cr)'!$C:$FB,68)</f>
        <v>4788</v>
      </c>
      <c r="P93" s="5">
        <f t="shared" si="30"/>
        <v>-33.482018399776976</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83.95</v>
      </c>
      <c r="D94" s="82">
        <f>VLOOKUP($B94,'Data shares'!$C:$FB,98)</f>
        <v>580744850</v>
      </c>
      <c r="E94" s="165">
        <f>VLOOKUP(B94,'Snapshot (Volume)'!$A$7:$G$168,7,0)</f>
        <v>578815650</v>
      </c>
      <c r="F94" s="165">
        <f t="shared" si="27"/>
        <v>1929200</v>
      </c>
      <c r="G94" s="166">
        <f t="shared" si="28"/>
        <v>3.3330128513283977E-3</v>
      </c>
      <c r="H94" s="165">
        <f>VLOOKUP($B94,'Data shares'!$C:$FB,66)</f>
        <v>167552875</v>
      </c>
      <c r="I94" s="165">
        <f>VLOOKUP($B94,'Data shares'!$C:$FB,67)</f>
        <v>218073800</v>
      </c>
      <c r="J94" s="81">
        <f t="shared" si="29"/>
        <v>-23.166893501190881</v>
      </c>
      <c r="K94" s="5">
        <f>VLOOKUP($B94,'Data Vlaue (Cr)'!$C:$FB,99)</f>
        <v>4879</v>
      </c>
      <c r="L94" s="81">
        <f>VLOOKUP(B94,'OI(Value)'!$A$7:$C$209,3,0)</f>
        <v>16</v>
      </c>
      <c r="M94" s="33">
        <f t="shared" ref="M94:M122" si="31">L94/K94*100</f>
        <v>0.32793605246976842</v>
      </c>
      <c r="N94" s="5">
        <f>VLOOKUP($B94,'Data Vlaue (Cr)'!$C:$FB,67)</f>
        <v>1408</v>
      </c>
      <c r="O94" s="5">
        <f>VLOOKUP($B94,'Data Vlaue (Cr)'!$C:$FB,68)</f>
        <v>1832</v>
      </c>
      <c r="P94" s="5">
        <f t="shared" si="30"/>
        <v>-30.113636363636363</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140.22</v>
      </c>
      <c r="D95" s="82">
        <f>VLOOKUP($B95,'Data shares'!$C:$FB,98)</f>
        <v>137433750</v>
      </c>
      <c r="E95" s="165">
        <f>VLOOKUP(B95,'Snapshot (Volume)'!$A$7:$G$168,7,0)</f>
        <v>136867500</v>
      </c>
      <c r="F95" s="165">
        <f t="shared" si="27"/>
        <v>566250</v>
      </c>
      <c r="G95" s="166">
        <f t="shared" si="28"/>
        <v>4.1372129979724915E-3</v>
      </c>
      <c r="H95" s="165">
        <f>VLOOKUP($B95,'Data shares'!$C:$FB,66)</f>
        <v>22845000</v>
      </c>
      <c r="I95" s="165">
        <f>VLOOKUP($B95,'Data shares'!$C:$FB,67)</f>
        <v>30135000</v>
      </c>
      <c r="J95" s="81">
        <f t="shared" si="29"/>
        <v>-24.191139870582379</v>
      </c>
      <c r="K95" s="5">
        <f>VLOOKUP($B95,'Data Vlaue (Cr)'!$C:$FB,99)</f>
        <v>1929</v>
      </c>
      <c r="L95" s="81">
        <f>VLOOKUP(B95,'OI(Value)'!$A$7:$C$209,3,0)</f>
        <v>8</v>
      </c>
      <c r="M95" s="33">
        <f t="shared" si="31"/>
        <v>0.41472265422498705</v>
      </c>
      <c r="N95" s="5">
        <f>VLOOKUP($B95,'Data Vlaue (Cr)'!$C:$FB,67)</f>
        <v>321</v>
      </c>
      <c r="O95" s="5">
        <f>VLOOKUP($B95,'Data Vlaue (Cr)'!$C:$FB,68)</f>
        <v>423</v>
      </c>
      <c r="P95" s="5">
        <f t="shared" si="30"/>
        <v>-31.775700934579437</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IIFL</v>
      </c>
      <c r="C96" s="4">
        <f>VLOOKUP($B96,'Data shares'!$C:$FB,7)</f>
        <v>563.1</v>
      </c>
      <c r="D96" s="82">
        <f>VLOOKUP($B96,'Data shares'!$C:$FB,98)</f>
        <v>24276450</v>
      </c>
      <c r="E96" s="165">
        <f>VLOOKUP(B96,'Snapshot (Volume)'!$A$7:$G$168,7,0)</f>
        <v>23804550</v>
      </c>
      <c r="F96" s="165">
        <f t="shared" si="27"/>
        <v>471900</v>
      </c>
      <c r="G96" s="166">
        <f t="shared" si="28"/>
        <v>1.9823941221321133E-2</v>
      </c>
      <c r="H96" s="165">
        <f>VLOOKUP($B96,'Data shares'!$C:$FB,66)</f>
        <v>13411200</v>
      </c>
      <c r="I96" s="165">
        <f>VLOOKUP($B96,'Data shares'!$C:$FB,67)</f>
        <v>16465350</v>
      </c>
      <c r="J96" s="81">
        <f t="shared" si="29"/>
        <v>-18.548952800881853</v>
      </c>
      <c r="K96" s="5">
        <f>VLOOKUP($B96,'Data Vlaue (Cr)'!$C:$FB,99)</f>
        <v>1368</v>
      </c>
      <c r="L96" s="81">
        <f>VLOOKUP(B96,'OI(Value)'!$A$7:$C$209,3,0)</f>
        <v>27</v>
      </c>
      <c r="M96" s="33">
        <f t="shared" si="31"/>
        <v>1.9736842105263157</v>
      </c>
      <c r="N96" s="5">
        <f>VLOOKUP($B96,'Data Vlaue (Cr)'!$C:$FB,67)</f>
        <v>756</v>
      </c>
      <c r="O96" s="5">
        <f>VLOOKUP($B96,'Data Vlaue (Cr)'!$C:$FB,68)</f>
        <v>928</v>
      </c>
      <c r="P96" s="5">
        <f t="shared" si="30"/>
        <v>-22.75132275132275</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Realty</v>
      </c>
      <c r="B97" s="79" t="str">
        <f>'Data shares'!C92</f>
        <v>INDHOTEL</v>
      </c>
      <c r="C97" s="4">
        <f>VLOOKUP($B97,'Data shares'!$C:$FB,7)</f>
        <v>713.2</v>
      </c>
      <c r="D97" s="82">
        <f>VLOOKUP($B97,'Data shares'!$C:$FB,98)</f>
        <v>44786000</v>
      </c>
      <c r="E97" s="165">
        <f>VLOOKUP(B97,'Snapshot (Volume)'!$A$7:$G$168,7,0)</f>
        <v>42341000</v>
      </c>
      <c r="F97" s="165">
        <f t="shared" ref="F97:F105" si="32">D97-E97</f>
        <v>2445000</v>
      </c>
      <c r="G97" s="166">
        <f t="shared" ref="G97:G105" si="33">F97/E97</f>
        <v>5.7745447674830544E-2</v>
      </c>
      <c r="H97" s="165">
        <f>VLOOKUP($B97,'Data shares'!$C:$FB,66)</f>
        <v>15794000</v>
      </c>
      <c r="I97" s="165">
        <f>VLOOKUP($B97,'Data shares'!$C:$FB,67)</f>
        <v>9348000</v>
      </c>
      <c r="J97" s="81">
        <f t="shared" ref="J97:J105" si="34">(H97-I97)/I97*100</f>
        <v>68.955926401369268</v>
      </c>
      <c r="K97" s="5">
        <f>VLOOKUP($B97,'Data Vlaue (Cr)'!$C:$FB,99)</f>
        <v>3206</v>
      </c>
      <c r="L97" s="81">
        <f>VLOOKUP(B97,'OI(Value)'!$A$7:$C$209,3,0)</f>
        <v>175</v>
      </c>
      <c r="M97" s="33">
        <f t="shared" si="31"/>
        <v>5.4585152838427948</v>
      </c>
      <c r="N97" s="5">
        <f>VLOOKUP($B97,'Data Vlaue (Cr)'!$C:$FB,67)</f>
        <v>1130</v>
      </c>
      <c r="O97" s="5">
        <f>VLOOKUP($B97,'Data Vlaue (Cr)'!$C:$FB,68)</f>
        <v>669</v>
      </c>
      <c r="P97" s="5">
        <f t="shared" ref="P97:P105" si="35">(N97-O97)/N97*100</f>
        <v>40.796460176991154</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INDIANB</v>
      </c>
      <c r="C98" s="4">
        <f>VLOOKUP($B98,'Data shares'!$C:$FB,7)</f>
        <v>775</v>
      </c>
      <c r="D98" s="82">
        <f>VLOOKUP($B98,'Data shares'!$C:$FB,98)</f>
        <v>29351000</v>
      </c>
      <c r="E98" s="165">
        <f>VLOOKUP(B98,'Snapshot (Volume)'!$A$7:$G$168,7,0)</f>
        <v>29281000</v>
      </c>
      <c r="F98" s="165">
        <f t="shared" si="32"/>
        <v>70000</v>
      </c>
      <c r="G98" s="166">
        <f t="shared" si="33"/>
        <v>2.3906287353573988E-3</v>
      </c>
      <c r="H98" s="165">
        <f>VLOOKUP($B98,'Data shares'!$C:$FB,66)</f>
        <v>8025000</v>
      </c>
      <c r="I98" s="165">
        <f>VLOOKUP($B98,'Data shares'!$C:$FB,67)</f>
        <v>13289000</v>
      </c>
      <c r="J98" s="81">
        <f t="shared" si="34"/>
        <v>-39.611708932199562</v>
      </c>
      <c r="K98" s="5">
        <f>VLOOKUP($B98,'Data Vlaue (Cr)'!$C:$FB,99)</f>
        <v>2279</v>
      </c>
      <c r="L98" s="81">
        <f>VLOOKUP(B98,'OI(Value)'!$A$7:$C$209,3,0)</f>
        <v>5</v>
      </c>
      <c r="M98" s="33">
        <f t="shared" si="31"/>
        <v>0.21939447125932429</v>
      </c>
      <c r="N98" s="5">
        <f>VLOOKUP($B98,'Data Vlaue (Cr)'!$C:$FB,67)</f>
        <v>623</v>
      </c>
      <c r="O98" s="5">
        <f>VLOOKUP($B98,'Data Vlaue (Cr)'!$C:$FB,68)</f>
        <v>1032</v>
      </c>
      <c r="P98" s="5">
        <f t="shared" si="35"/>
        <v>-65.650080256821823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Index</v>
      </c>
      <c r="B99" s="79" t="str">
        <f>'Data shares'!C94</f>
        <v>INDIAVIX</v>
      </c>
      <c r="C99" s="4">
        <f>VLOOKUP($B99,'Data shares'!$C:$FB,7)</f>
        <v>9.84</v>
      </c>
      <c r="D99" s="82">
        <f>VLOOKUP($B99,'Data shares'!$C:$FB,98)</f>
        <v>0</v>
      </c>
      <c r="E99" s="165">
        <f>VLOOKUP(B99,'Snapshot (Volume)'!$A$7:$G$168,7,0)</f>
        <v>0</v>
      </c>
      <c r="F99" s="165">
        <f t="shared" si="32"/>
        <v>0</v>
      </c>
      <c r="G99" s="166" t="e">
        <f t="shared" si="33"/>
        <v>#DIV/0!</v>
      </c>
      <c r="H99" s="165">
        <f>VLOOKUP($B99,'Data shares'!$C:$FB,66)</f>
        <v>0</v>
      </c>
      <c r="I99" s="165">
        <f>VLOOKUP($B99,'Data shares'!$C:$FB,67)</f>
        <v>0</v>
      </c>
      <c r="J99" s="81" t="e">
        <f t="shared" si="34"/>
        <v>#DIV/0!</v>
      </c>
      <c r="K99" s="5">
        <f>VLOOKUP($B99,'Data Vlaue (Cr)'!$C:$FB,99)</f>
        <v>0</v>
      </c>
      <c r="L99" s="81">
        <f>VLOOKUP(B99,'OI(Value)'!$A$7:$C$209,3,0)</f>
        <v>0</v>
      </c>
      <c r="M99" s="33" t="e">
        <f t="shared" si="31"/>
        <v>#DIV/0!</v>
      </c>
      <c r="N99" s="5">
        <f>VLOOKUP($B99,'Data Vlaue (Cr)'!$C:$FB,67)</f>
        <v>0</v>
      </c>
      <c r="O99" s="5">
        <f>VLOOKUP($B99,'Data Vlaue (Cr)'!$C:$FB,68)</f>
        <v>0</v>
      </c>
      <c r="P99" s="5" t="e">
        <f t="shared" si="35"/>
        <v>#DIV/0!</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Infrastructure</v>
      </c>
      <c r="B100" s="79" t="str">
        <f>'Data shares'!C95</f>
        <v>INDIGO</v>
      </c>
      <c r="C100" s="4">
        <f>VLOOKUP($B100,'Data shares'!$C:$FB,7)</f>
        <v>4980.5</v>
      </c>
      <c r="D100" s="82">
        <f>VLOOKUP($B100,'Data shares'!$C:$FB,98)</f>
        <v>37648500</v>
      </c>
      <c r="E100" s="165">
        <f>VLOOKUP(B100,'Snapshot (Volume)'!$A$7:$G$168,7,0)</f>
        <v>38605050</v>
      </c>
      <c r="F100" s="165">
        <f t="shared" si="32"/>
        <v>-956550</v>
      </c>
      <c r="G100" s="166">
        <f t="shared" si="33"/>
        <v>-2.4777846421646908E-2</v>
      </c>
      <c r="H100" s="165">
        <f>VLOOKUP($B100,'Data shares'!$C:$FB,66)</f>
        <v>14007300</v>
      </c>
      <c r="I100" s="165">
        <f>VLOOKUP($B100,'Data shares'!$C:$FB,67)</f>
        <v>20980950</v>
      </c>
      <c r="J100" s="81">
        <f t="shared" si="34"/>
        <v>-33.238008765094051</v>
      </c>
      <c r="K100" s="5">
        <f>VLOOKUP($B100,'Data Vlaue (Cr)'!$C:$FB,99)</f>
        <v>18764</v>
      </c>
      <c r="L100" s="81">
        <f>VLOOKUP(B100,'OI(Value)'!$A$7:$C$209,3,0)</f>
        <v>-477</v>
      </c>
      <c r="M100" s="33">
        <f t="shared" si="31"/>
        <v>-2.5421018972500531</v>
      </c>
      <c r="N100" s="5">
        <f>VLOOKUP($B100,'Data Vlaue (Cr)'!$C:$FB,67)</f>
        <v>6981</v>
      </c>
      <c r="O100" s="5">
        <f>VLOOKUP($B100,'Data Vlaue (Cr)'!$C:$FB,68)</f>
        <v>10457</v>
      </c>
      <c r="P100" s="5">
        <f t="shared" si="35"/>
        <v>-49.792293367712368</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Banking</v>
      </c>
      <c r="B101" s="79" t="str">
        <f>'Data shares'!C96</f>
        <v>INDUSINDBK</v>
      </c>
      <c r="C101" s="4">
        <f>VLOOKUP($B101,'Data shares'!$C:$FB,7)</f>
        <v>833.85</v>
      </c>
      <c r="D101" s="82">
        <f>VLOOKUP($B101,'Data shares'!$C:$FB,98)</f>
        <v>71937600</v>
      </c>
      <c r="E101" s="165">
        <f>VLOOKUP(B101,'Snapshot (Volume)'!$A$7:$G$168,7,0)</f>
        <v>71325100</v>
      </c>
      <c r="F101" s="165">
        <f t="shared" si="32"/>
        <v>612500</v>
      </c>
      <c r="G101" s="166">
        <f t="shared" si="33"/>
        <v>8.587439765243933E-3</v>
      </c>
      <c r="H101" s="165">
        <f>VLOOKUP($B101,'Data shares'!$C:$FB,66)</f>
        <v>40085500</v>
      </c>
      <c r="I101" s="165">
        <f>VLOOKUP($B101,'Data shares'!$C:$FB,67)</f>
        <v>19453000</v>
      </c>
      <c r="J101" s="81">
        <f t="shared" si="34"/>
        <v>106.0633321338611</v>
      </c>
      <c r="K101" s="5">
        <f>VLOOKUP($B101,'Data Vlaue (Cr)'!$C:$FB,99)</f>
        <v>6004</v>
      </c>
      <c r="L101" s="81">
        <f>VLOOKUP(B101,'OI(Value)'!$A$7:$C$209,3,0)</f>
        <v>51</v>
      </c>
      <c r="M101" s="33">
        <f t="shared" si="31"/>
        <v>0.84943371085942698</v>
      </c>
      <c r="N101" s="5">
        <f>VLOOKUP($B101,'Data Vlaue (Cr)'!$C:$FB,67)</f>
        <v>3346</v>
      </c>
      <c r="O101" s="5">
        <f>VLOOKUP($B101,'Data Vlaue (Cr)'!$C:$FB,68)</f>
        <v>1624</v>
      </c>
      <c r="P101" s="5">
        <f t="shared" si="35"/>
        <v>51.464435146443513</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Telecom</v>
      </c>
      <c r="B102" s="79" t="str">
        <f>'Data shares'!C97</f>
        <v>INDUSTOWER</v>
      </c>
      <c r="C102" s="4">
        <f>VLOOKUP($B102,'Data shares'!$C:$FB,7)</f>
        <v>407.2</v>
      </c>
      <c r="D102" s="82">
        <f>VLOOKUP($B102,'Data shares'!$C:$FB,98)</f>
        <v>126299800</v>
      </c>
      <c r="E102" s="165">
        <f>VLOOKUP(B102,'Snapshot (Volume)'!$A$7:$G$168,7,0)</f>
        <v>127314700</v>
      </c>
      <c r="F102" s="165">
        <f t="shared" si="32"/>
        <v>-1014900</v>
      </c>
      <c r="G102" s="166">
        <f t="shared" si="33"/>
        <v>-7.9715853707388075E-3</v>
      </c>
      <c r="H102" s="165">
        <f>VLOOKUP($B102,'Data shares'!$C:$FB,66)</f>
        <v>27801800</v>
      </c>
      <c r="I102" s="165">
        <f>VLOOKUP($B102,'Data shares'!$C:$FB,67)</f>
        <v>34282200</v>
      </c>
      <c r="J102" s="81">
        <f t="shared" si="34"/>
        <v>-18.903104234850741</v>
      </c>
      <c r="K102" s="5">
        <f>VLOOKUP($B102,'Data Vlaue (Cr)'!$C:$FB,99)</f>
        <v>5161</v>
      </c>
      <c r="L102" s="81">
        <f>VLOOKUP(B102,'OI(Value)'!$A$7:$C$209,3,0)</f>
        <v>-41</v>
      </c>
      <c r="M102" s="33">
        <f t="shared" si="31"/>
        <v>-0.79441968610734359</v>
      </c>
      <c r="N102" s="5">
        <f>VLOOKUP($B102,'Data Vlaue (Cr)'!$C:$FB,67)</f>
        <v>1136</v>
      </c>
      <c r="O102" s="5">
        <f>VLOOKUP($B102,'Data Vlaue (Cr)'!$C:$FB,68)</f>
        <v>1401</v>
      </c>
      <c r="P102" s="5">
        <f t="shared" si="35"/>
        <v>-23.327464788732392</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Technology</v>
      </c>
      <c r="B103" s="79" t="str">
        <f>'Data shares'!C98</f>
        <v>INFY</v>
      </c>
      <c r="C103" s="4">
        <f>VLOOKUP($B103,'Data shares'!$C:$FB,7)</f>
        <v>1602</v>
      </c>
      <c r="D103" s="82">
        <f>VLOOKUP($B103,'Data shares'!$C:$FB,98)</f>
        <v>116527200</v>
      </c>
      <c r="E103" s="165">
        <f>VLOOKUP(B103,'Snapshot (Volume)'!$A$7:$G$168,7,0)</f>
        <v>113867600</v>
      </c>
      <c r="F103" s="165">
        <f t="shared" si="32"/>
        <v>2659600</v>
      </c>
      <c r="G103" s="166">
        <f t="shared" si="33"/>
        <v>2.3356951406721491E-2</v>
      </c>
      <c r="H103" s="165">
        <f>VLOOKUP($B103,'Data shares'!$C:$FB,66)</f>
        <v>43017200</v>
      </c>
      <c r="I103" s="165">
        <f>VLOOKUP($B103,'Data shares'!$C:$FB,67)</f>
        <v>45612400</v>
      </c>
      <c r="J103" s="81">
        <f t="shared" si="34"/>
        <v>-5.6896808762529494</v>
      </c>
      <c r="K103" s="5">
        <f>VLOOKUP($B103,'Data Vlaue (Cr)'!$C:$FB,99)</f>
        <v>18712</v>
      </c>
      <c r="L103" s="81">
        <f>VLOOKUP(B103,'OI(Value)'!$A$7:$C$209,3,0)</f>
        <v>427</v>
      </c>
      <c r="M103" s="33">
        <f t="shared" si="31"/>
        <v>2.281958101752886</v>
      </c>
      <c r="N103" s="5">
        <f>VLOOKUP($B103,'Data Vlaue (Cr)'!$C:$FB,67)</f>
        <v>6908</v>
      </c>
      <c r="O103" s="5">
        <f>VLOOKUP($B103,'Data Vlaue (Cr)'!$C:$FB,68)</f>
        <v>7324</v>
      </c>
      <c r="P103" s="5">
        <f t="shared" si="35"/>
        <v>-6.0220034742327737</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Power</v>
      </c>
      <c r="B104" s="79" t="str">
        <f>'Data shares'!C99</f>
        <v>INOXWIND</v>
      </c>
      <c r="C104" s="4">
        <f>VLOOKUP($B104,'Data shares'!$C:$FB,7)</f>
        <v>126.04</v>
      </c>
      <c r="D104" s="82">
        <f>VLOOKUP($B104,'Data shares'!$C:$FB,98)</f>
        <v>157497562</v>
      </c>
      <c r="E104" s="165">
        <f>VLOOKUP(B104,'Snapshot (Volume)'!$A$7:$G$168,7,0)</f>
        <v>158855438</v>
      </c>
      <c r="F104" s="165">
        <f t="shared" si="32"/>
        <v>-1357876</v>
      </c>
      <c r="G104" s="166">
        <f t="shared" si="33"/>
        <v>-8.5478723114282059E-3</v>
      </c>
      <c r="H104" s="165">
        <f>VLOOKUP($B104,'Data shares'!$C:$FB,66)</f>
        <v>23807072</v>
      </c>
      <c r="I104" s="165">
        <f>VLOOKUP($B104,'Data shares'!$C:$FB,67)</f>
        <v>31905272</v>
      </c>
      <c r="J104" s="81">
        <f t="shared" si="34"/>
        <v>-25.382012101322942</v>
      </c>
      <c r="K104" s="5">
        <f>VLOOKUP($B104,'Data Vlaue (Cr)'!$C:$FB,99)</f>
        <v>1991</v>
      </c>
      <c r="L104" s="81">
        <f>VLOOKUP(B104,'OI(Value)'!$A$7:$C$209,3,0)</f>
        <v>-17</v>
      </c>
      <c r="M104" s="33">
        <f t="shared" si="31"/>
        <v>-0.8538422903063787</v>
      </c>
      <c r="N104" s="5">
        <f>VLOOKUP($B104,'Data Vlaue (Cr)'!$C:$FB,67)</f>
        <v>301</v>
      </c>
      <c r="O104" s="5">
        <f>VLOOKUP($B104,'Data Vlaue (Cr)'!$C:$FB,68)</f>
        <v>403</v>
      </c>
      <c r="P104" s="5">
        <f t="shared" si="35"/>
        <v>-33.887043189368768</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Oil_Gas</v>
      </c>
      <c r="B105" s="79" t="str">
        <f>'Data shares'!C100</f>
        <v>IOC</v>
      </c>
      <c r="C105" s="4">
        <f>VLOOKUP($B105,'Data shares'!$C:$FB,7)</f>
        <v>168.16</v>
      </c>
      <c r="D105" s="82">
        <f>VLOOKUP($B105,'Data shares'!$C:$FB,98)</f>
        <v>201781125</v>
      </c>
      <c r="E105" s="165">
        <f>VLOOKUP(B105,'Snapshot (Volume)'!$A$7:$G$168,7,0)</f>
        <v>199358250</v>
      </c>
      <c r="F105" s="165">
        <f t="shared" si="32"/>
        <v>2422875</v>
      </c>
      <c r="G105" s="166">
        <f t="shared" si="33"/>
        <v>1.2153372132831223E-2</v>
      </c>
      <c r="H105" s="165">
        <f>VLOOKUP($B105,'Data shares'!$C:$FB,66)</f>
        <v>170483625</v>
      </c>
      <c r="I105" s="165">
        <f>VLOOKUP($B105,'Data shares'!$C:$FB,67)</f>
        <v>216328125</v>
      </c>
      <c r="J105" s="81">
        <f t="shared" si="34"/>
        <v>-21.192112676056336</v>
      </c>
      <c r="K105" s="5">
        <f>VLOOKUP($B105,'Data Vlaue (Cr)'!$C:$FB,99)</f>
        <v>3403</v>
      </c>
      <c r="L105" s="81">
        <f>VLOOKUP(B105,'OI(Value)'!$A$7:$C$209,3,0)</f>
        <v>41</v>
      </c>
      <c r="M105" s="33">
        <f t="shared" si="31"/>
        <v>1.2048192771084338</v>
      </c>
      <c r="N105" s="5">
        <f>VLOOKUP($B105,'Data Vlaue (Cr)'!$C:$FB,67)</f>
        <v>2875</v>
      </c>
      <c r="O105" s="5">
        <f>VLOOKUP($B105,'Data Vlaue (Cr)'!$C:$FB,68)</f>
        <v>3648</v>
      </c>
      <c r="P105" s="5">
        <f t="shared" si="35"/>
        <v>-26.88695652173913</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Infrastructure</v>
      </c>
      <c r="B106" s="79" t="str">
        <f>'Data shares'!C101</f>
        <v>IRCTC</v>
      </c>
      <c r="C106" s="79">
        <f>VLOOKUP($B106,'Data shares'!$C:$FB,7)</f>
        <v>666.1</v>
      </c>
      <c r="D106" s="80">
        <f>VLOOKUP($B106,'Data shares'!$C:$FB,98)</f>
        <v>38381875</v>
      </c>
      <c r="E106" s="165">
        <f>VLOOKUP(B106,'Snapshot (Volume)'!$A$7:$G$168,7,0)</f>
        <v>37681000</v>
      </c>
      <c r="F106" s="165">
        <f t="shared" ref="F106:F114" si="36">D106-E106</f>
        <v>700875</v>
      </c>
      <c r="G106" s="166">
        <f t="shared" ref="G106:G114" si="37">F106/E106</f>
        <v>1.8600222924020061E-2</v>
      </c>
      <c r="H106" s="165">
        <f>VLOOKUP($B106,'Data shares'!$C:$FB,66)</f>
        <v>10350375</v>
      </c>
      <c r="I106" s="165">
        <f>VLOOKUP($B106,'Data shares'!$C:$FB,67)</f>
        <v>6327125</v>
      </c>
      <c r="J106" s="81">
        <f t="shared" ref="J106:J114" si="38">(H106-I106)/I106*100</f>
        <v>63.5873323191813</v>
      </c>
      <c r="K106" s="81">
        <f>VLOOKUP($B106,'Data Vlaue (Cr)'!$C:$FB,99)</f>
        <v>2561</v>
      </c>
      <c r="L106" s="81">
        <f>VLOOKUP(B106,'OI(Value)'!$A$7:$C$209,3,0)</f>
        <v>47</v>
      </c>
      <c r="M106" s="81">
        <f t="shared" si="31"/>
        <v>1.8352206169465053</v>
      </c>
      <c r="N106" s="81">
        <f>VLOOKUP($B106,'Data Vlaue (Cr)'!$C:$FB,67)</f>
        <v>691</v>
      </c>
      <c r="O106" s="81">
        <f>VLOOKUP($B106,'Data Vlaue (Cr)'!$C:$FB,68)</f>
        <v>422</v>
      </c>
      <c r="P106" s="81">
        <f t="shared" ref="P106:P114" si="39">(N106-O106)/N106*100</f>
        <v>38.929088277858177</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Finance</v>
      </c>
      <c r="B107" s="79" t="str">
        <f>'Data shares'!C102</f>
        <v>IREDA</v>
      </c>
      <c r="C107" s="79">
        <f>VLOOKUP($B107,'Data shares'!$C:$FB,7)</f>
        <v>131.43</v>
      </c>
      <c r="D107" s="80">
        <f>VLOOKUP($B107,'Data shares'!$C:$FB,98)</f>
        <v>112787400</v>
      </c>
      <c r="E107" s="165">
        <f>VLOOKUP(B107,'Snapshot (Volume)'!$A$7:$G$168,7,0)</f>
        <v>109106250</v>
      </c>
      <c r="F107" s="165">
        <f t="shared" si="36"/>
        <v>3681150</v>
      </c>
      <c r="G107" s="166">
        <f t="shared" si="37"/>
        <v>3.3739130434782612E-2</v>
      </c>
      <c r="H107" s="165">
        <f>VLOOKUP($B107,'Data shares'!$C:$FB,66)</f>
        <v>29266350</v>
      </c>
      <c r="I107" s="165">
        <f>VLOOKUP($B107,'Data shares'!$C:$FB,67)</f>
        <v>19999650</v>
      </c>
      <c r="J107" s="81">
        <f t="shared" si="38"/>
        <v>46.334310850439877</v>
      </c>
      <c r="K107" s="81">
        <f>VLOOKUP($B107,'Data Vlaue (Cr)'!$C:$FB,99)</f>
        <v>1479</v>
      </c>
      <c r="L107" s="81">
        <f>VLOOKUP(B107,'OI(Value)'!$A$7:$C$209,3,0)</f>
        <v>48</v>
      </c>
      <c r="M107" s="81">
        <f t="shared" si="31"/>
        <v>3.2454361054766734</v>
      </c>
      <c r="N107" s="81">
        <f>VLOOKUP($B107,'Data Vlaue (Cr)'!$C:$FB,67)</f>
        <v>384</v>
      </c>
      <c r="O107" s="81">
        <f>VLOOKUP($B107,'Data Vlaue (Cr)'!$C:$FB,68)</f>
        <v>262</v>
      </c>
      <c r="P107" s="81">
        <f t="shared" si="39"/>
        <v>31.770833333333332</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Infrastructure</v>
      </c>
      <c r="B108" s="79" t="str">
        <f>'Data shares'!C103</f>
        <v>IRFC</v>
      </c>
      <c r="C108" s="4">
        <f>VLOOKUP($B108,'Data shares'!$C:$FB,7)</f>
        <v>111.08</v>
      </c>
      <c r="D108" s="82">
        <f>VLOOKUP($B108,'Data shares'!$C:$FB,98)</f>
        <v>112935250</v>
      </c>
      <c r="E108" s="165">
        <f>VLOOKUP(B108,'Snapshot (Volume)'!$A$7:$G$168,7,0)</f>
        <v>110997250</v>
      </c>
      <c r="F108" s="165">
        <f t="shared" si="36"/>
        <v>1938000</v>
      </c>
      <c r="G108" s="166">
        <f t="shared" si="37"/>
        <v>1.7459892024351956E-2</v>
      </c>
      <c r="H108" s="165">
        <f>VLOOKUP($B108,'Data shares'!$C:$FB,66)</f>
        <v>36435250</v>
      </c>
      <c r="I108" s="165">
        <f>VLOOKUP($B108,'Data shares'!$C:$FB,67)</f>
        <v>24433250</v>
      </c>
      <c r="J108" s="81">
        <f t="shared" si="38"/>
        <v>49.121586362845719</v>
      </c>
      <c r="K108" s="5">
        <f>VLOOKUP($B108,'Data Vlaue (Cr)'!$C:$FB,99)</f>
        <v>1256</v>
      </c>
      <c r="L108" s="81">
        <f>VLOOKUP(B108,'OI(Value)'!$A$7:$C$209,3,0)</f>
        <v>22</v>
      </c>
      <c r="M108" s="33">
        <f t="shared" si="31"/>
        <v>1.7515923566878981</v>
      </c>
      <c r="N108" s="5">
        <f>VLOOKUP($B108,'Data Vlaue (Cr)'!$C:$FB,67)</f>
        <v>405</v>
      </c>
      <c r="O108" s="5">
        <f>VLOOKUP($B108,'Data Vlaue (Cr)'!$C:$FB,68)</f>
        <v>272</v>
      </c>
      <c r="P108" s="5">
        <f t="shared" si="39"/>
        <v>32.839506172839506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FMCG</v>
      </c>
      <c r="B109" s="79" t="str">
        <f>'Data shares'!C104</f>
        <v>ITC</v>
      </c>
      <c r="C109" s="4">
        <f>VLOOKUP($B109,'Data shares'!$C:$FB,7)</f>
        <v>399.8</v>
      </c>
      <c r="D109" s="82">
        <f>VLOOKUP($B109,'Data shares'!$C:$FB,98)</f>
        <v>276201600</v>
      </c>
      <c r="E109" s="165">
        <f>VLOOKUP(B109,'Snapshot (Volume)'!$A$7:$G$168,7,0)</f>
        <v>271793600</v>
      </c>
      <c r="F109" s="165">
        <f t="shared" si="36"/>
        <v>4408000</v>
      </c>
      <c r="G109" s="166">
        <f t="shared" si="37"/>
        <v>1.6218189096431999E-2</v>
      </c>
      <c r="H109" s="165">
        <f>VLOOKUP($B109,'Data shares'!$C:$FB,66)</f>
        <v>72676800</v>
      </c>
      <c r="I109" s="165">
        <f>VLOOKUP($B109,'Data shares'!$C:$FB,67)</f>
        <v>109088000</v>
      </c>
      <c r="J109" s="81">
        <f t="shared" si="38"/>
        <v>-33.377823408624231</v>
      </c>
      <c r="K109" s="5">
        <f>VLOOKUP($B109,'Data Vlaue (Cr)'!$C:$FB,99)</f>
        <v>11077</v>
      </c>
      <c r="L109" s="81">
        <f>VLOOKUP(B109,'OI(Value)'!$A$7:$C$209,3,0)</f>
        <v>177</v>
      </c>
      <c r="M109" s="33">
        <f t="shared" si="31"/>
        <v>1.5979055701002074</v>
      </c>
      <c r="N109" s="5">
        <f>VLOOKUP($B109,'Data Vlaue (Cr)'!$C:$FB,67)</f>
        <v>2915</v>
      </c>
      <c r="O109" s="5">
        <f>VLOOKUP($B109,'Data Vlaue (Cr)'!$C:$FB,68)</f>
        <v>4375</v>
      </c>
      <c r="P109" s="5">
        <f t="shared" si="39"/>
        <v>-50.085763293310457</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Metals</v>
      </c>
      <c r="B110" s="79" t="str">
        <f>'Data shares'!C105</f>
        <v>JINDALSTEL</v>
      </c>
      <c r="C110" s="4">
        <f>VLOOKUP($B110,'Data shares'!$C:$FB,7)</f>
        <v>1001.5</v>
      </c>
      <c r="D110" s="82">
        <f>VLOOKUP($B110,'Data shares'!$C:$FB,98)</f>
        <v>22001250</v>
      </c>
      <c r="E110" s="165">
        <f>VLOOKUP(B110,'Snapshot (Volume)'!$A$7:$G$168,7,0)</f>
        <v>21503750</v>
      </c>
      <c r="F110" s="165">
        <f t="shared" si="36"/>
        <v>497500</v>
      </c>
      <c r="G110" s="166">
        <f t="shared" si="37"/>
        <v>2.3135499622158925E-2</v>
      </c>
      <c r="H110" s="165">
        <f>VLOOKUP($B110,'Data shares'!$C:$FB,66)</f>
        <v>8147500</v>
      </c>
      <c r="I110" s="165">
        <f>VLOOKUP($B110,'Data shares'!$C:$FB,67)</f>
        <v>8810625</v>
      </c>
      <c r="J110" s="81">
        <f t="shared" si="38"/>
        <v>-7.5264240618571332</v>
      </c>
      <c r="K110" s="5">
        <f>VLOOKUP($B110,'Data Vlaue (Cr)'!$C:$FB,99)</f>
        <v>2209</v>
      </c>
      <c r="L110" s="81">
        <f>VLOOKUP(B110,'OI(Value)'!$A$7:$C$209,3,0)</f>
        <v>50</v>
      </c>
      <c r="M110" s="33">
        <f t="shared" si="31"/>
        <v>2.2634676324128562</v>
      </c>
      <c r="N110" s="5">
        <f>VLOOKUP($B110,'Data Vlaue (Cr)'!$C:$FB,67)</f>
        <v>818</v>
      </c>
      <c r="O110" s="5">
        <f>VLOOKUP($B110,'Data Vlaue (Cr)'!$C:$FB,68)</f>
        <v>884</v>
      </c>
      <c r="P110" s="5">
        <f t="shared" si="39"/>
        <v>-8.0684596577017107</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Finance</v>
      </c>
      <c r="B111" s="79" t="str">
        <f>'Data shares'!C106</f>
        <v>JIOFIN</v>
      </c>
      <c r="C111" s="4">
        <f>VLOOKUP($B111,'Data shares'!$C:$FB,7)</f>
        <v>293.14999999999998</v>
      </c>
      <c r="D111" s="82">
        <f>VLOOKUP($B111,'Data shares'!$C:$FB,98)</f>
        <v>274621000</v>
      </c>
      <c r="E111" s="165">
        <f>VLOOKUP(B111,'Snapshot (Volume)'!$A$7:$G$168,7,0)</f>
        <v>271436750</v>
      </c>
      <c r="F111" s="165">
        <f t="shared" si="36"/>
        <v>3184250</v>
      </c>
      <c r="G111" s="166">
        <f t="shared" si="37"/>
        <v>1.1731093892039305E-2</v>
      </c>
      <c r="H111" s="165">
        <f>VLOOKUP($B111,'Data shares'!$C:$FB,66)</f>
        <v>59607750</v>
      </c>
      <c r="I111" s="165">
        <f>VLOOKUP($B111,'Data shares'!$C:$FB,67)</f>
        <v>60152950</v>
      </c>
      <c r="J111" s="81">
        <f t="shared" si="38"/>
        <v>-0.90635621361878338</v>
      </c>
      <c r="K111" s="5">
        <f>VLOOKUP($B111,'Data Vlaue (Cr)'!$C:$FB,99)</f>
        <v>8066</v>
      </c>
      <c r="L111" s="81">
        <f>VLOOKUP(B111,'OI(Value)'!$A$7:$C$209,3,0)</f>
        <v>94</v>
      </c>
      <c r="M111" s="33">
        <f t="shared" si="31"/>
        <v>1.1653855690552939</v>
      </c>
      <c r="N111" s="5">
        <f>VLOOKUP($B111,'Data Vlaue (Cr)'!$C:$FB,67)</f>
        <v>1751</v>
      </c>
      <c r="O111" s="5">
        <f>VLOOKUP($B111,'Data Vlaue (Cr)'!$C:$FB,68)</f>
        <v>1767</v>
      </c>
      <c r="P111" s="5">
        <f t="shared" si="39"/>
        <v>-0.91376356367789835</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Power</v>
      </c>
      <c r="B112" s="79" t="str">
        <f>'Data shares'!C107</f>
        <v>JSWENERGY</v>
      </c>
      <c r="C112" s="4">
        <f>VLOOKUP($B112,'Data shares'!$C:$FB,7)</f>
        <v>475.25</v>
      </c>
      <c r="D112" s="82">
        <f>VLOOKUP($B112,'Data shares'!$C:$FB,98)</f>
        <v>73213000</v>
      </c>
      <c r="E112" s="165">
        <f>VLOOKUP(B112,'Snapshot (Volume)'!$A$7:$G$168,7,0)</f>
        <v>73960000</v>
      </c>
      <c r="F112" s="165">
        <f t="shared" si="36"/>
        <v>-747000</v>
      </c>
      <c r="G112" s="166">
        <f t="shared" si="37"/>
        <v>-1.0100054083288264E-2</v>
      </c>
      <c r="H112" s="165">
        <f>VLOOKUP($B112,'Data shares'!$C:$FB,66)</f>
        <v>19059000</v>
      </c>
      <c r="I112" s="165">
        <f>VLOOKUP($B112,'Data shares'!$C:$FB,67)</f>
        <v>28837000</v>
      </c>
      <c r="J112" s="81">
        <f t="shared" si="38"/>
        <v>-33.907826750355447</v>
      </c>
      <c r="K112" s="5">
        <f>VLOOKUP($B112,'Data Vlaue (Cr)'!$C:$FB,99)</f>
        <v>3483</v>
      </c>
      <c r="L112" s="81">
        <f>VLOOKUP(B112,'OI(Value)'!$A$7:$C$209,3,0)</f>
        <v>-36</v>
      </c>
      <c r="M112" s="33">
        <f t="shared" si="31"/>
        <v>-1.03359173126615</v>
      </c>
      <c r="N112" s="5">
        <f>VLOOKUP($B112,'Data Vlaue (Cr)'!$C:$FB,67)</f>
        <v>907</v>
      </c>
      <c r="O112" s="5">
        <f>VLOOKUP($B112,'Data Vlaue (Cr)'!$C:$FB,68)</f>
        <v>1372</v>
      </c>
      <c r="P112" s="5">
        <f t="shared" si="39"/>
        <v>-51.267916207276734</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Metals</v>
      </c>
      <c r="B113" s="79" t="str">
        <f>'Data shares'!C108</f>
        <v>JSWSTEEL</v>
      </c>
      <c r="C113" s="4">
        <f>VLOOKUP($B113,'Data shares'!$C:$FB,7)</f>
        <v>1079.3</v>
      </c>
      <c r="D113" s="82">
        <f>VLOOKUP($B113,'Data shares'!$C:$FB,98)</f>
        <v>80272350</v>
      </c>
      <c r="E113" s="165">
        <f>VLOOKUP(B113,'Snapshot (Volume)'!$A$7:$G$168,7,0)</f>
        <v>79795800</v>
      </c>
      <c r="F113" s="165">
        <f t="shared" si="36"/>
        <v>476550</v>
      </c>
      <c r="G113" s="166">
        <f t="shared" si="37"/>
        <v>5.9721188333220548E-3</v>
      </c>
      <c r="H113" s="165">
        <f>VLOOKUP($B113,'Data shares'!$C:$FB,66)</f>
        <v>22331025</v>
      </c>
      <c r="I113" s="165">
        <f>VLOOKUP($B113,'Data shares'!$C:$FB,67)</f>
        <v>37509075</v>
      </c>
      <c r="J113" s="81">
        <f t="shared" si="38"/>
        <v>-40.465007468192695</v>
      </c>
      <c r="K113" s="5">
        <f>VLOOKUP($B113,'Data Vlaue (Cr)'!$C:$FB,99)</f>
        <v>8695</v>
      </c>
      <c r="L113" s="81">
        <f>VLOOKUP(B113,'OI(Value)'!$A$7:$C$209,3,0)</f>
        <v>52</v>
      </c>
      <c r="M113" s="33">
        <f t="shared" si="31"/>
        <v>0.59804485336400226</v>
      </c>
      <c r="N113" s="5">
        <f>VLOOKUP($B113,'Data Vlaue (Cr)'!$C:$FB,67)</f>
        <v>2419</v>
      </c>
      <c r="O113" s="5">
        <f>VLOOKUP($B113,'Data Vlaue (Cr)'!$C:$FB,68)</f>
        <v>4063</v>
      </c>
      <c r="P113" s="5">
        <f t="shared" si="39"/>
        <v>-67.961967755270763</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FMCG</v>
      </c>
      <c r="B114" s="79" t="str">
        <f>'Data shares'!C109</f>
        <v>JUBLFOOD</v>
      </c>
      <c r="C114" s="4">
        <f>VLOOKUP($B114,'Data shares'!$C:$FB,7)</f>
        <v>554.04999999999995</v>
      </c>
      <c r="D114" s="82">
        <f>VLOOKUP($B114,'Data shares'!$C:$FB,98)</f>
        <v>44898750</v>
      </c>
      <c r="E114" s="165">
        <f>VLOOKUP(B114,'Snapshot (Volume)'!$A$7:$G$168,7,0)</f>
        <v>42521250</v>
      </c>
      <c r="F114" s="165">
        <f t="shared" si="36"/>
        <v>2377500</v>
      </c>
      <c r="G114" s="166">
        <f t="shared" si="37"/>
        <v>5.5913219860657906E-2</v>
      </c>
      <c r="H114" s="165">
        <f>VLOOKUP($B114,'Data shares'!$C:$FB,66)</f>
        <v>27065000</v>
      </c>
      <c r="I114" s="165">
        <f>VLOOKUP($B114,'Data shares'!$C:$FB,67)</f>
        <v>38727500</v>
      </c>
      <c r="J114" s="81">
        <f t="shared" si="38"/>
        <v>-30.114259892841005</v>
      </c>
      <c r="K114" s="5">
        <f>VLOOKUP($B114,'Data Vlaue (Cr)'!$C:$FB,99)</f>
        <v>2491</v>
      </c>
      <c r="L114" s="81">
        <f>VLOOKUP(B114,'OI(Value)'!$A$7:$C$209,3,0)</f>
        <v>132</v>
      </c>
      <c r="M114" s="33">
        <f t="shared" si="31"/>
        <v>5.2990766760337209</v>
      </c>
      <c r="N114" s="5">
        <f>VLOOKUP($B114,'Data Vlaue (Cr)'!$C:$FB,67)</f>
        <v>1501</v>
      </c>
      <c r="O114" s="5">
        <f>VLOOKUP($B114,'Data Vlaue (Cr)'!$C:$FB,68)</f>
        <v>2148</v>
      </c>
      <c r="P114" s="5">
        <f t="shared" si="39"/>
        <v>-43.104596935376414</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KALYANKJIL</v>
      </c>
      <c r="C115" s="79">
        <f>VLOOKUP($B115,'Data shares'!$C:$FB,7)</f>
        <v>474.85</v>
      </c>
      <c r="D115" s="80">
        <f>VLOOKUP($B115,'Data shares'!$C:$FB,98)</f>
        <v>51778725</v>
      </c>
      <c r="E115" s="165">
        <f>VLOOKUP(B115,'Snapshot (Volume)'!$A$7:$G$168,7,0)</f>
        <v>50624875</v>
      </c>
      <c r="F115" s="165">
        <f t="shared" ref="F115:F126" si="40">D115-E115</f>
        <v>1153850</v>
      </c>
      <c r="G115" s="166">
        <f t="shared" ref="G115:G126" si="41">F115/E115</f>
        <v>2.2792155042358129E-2</v>
      </c>
      <c r="H115" s="165">
        <f>VLOOKUP($B115,'Data shares'!$C:$FB,66)</f>
        <v>19448600</v>
      </c>
      <c r="I115" s="165">
        <f>VLOOKUP($B115,'Data shares'!$C:$FB,67)</f>
        <v>10423425</v>
      </c>
      <c r="J115" s="81">
        <f t="shared" ref="J115:J126" si="42">(H115-I115)/I115*100</f>
        <v>86.585503325442446</v>
      </c>
      <c r="K115" s="81">
        <f>VLOOKUP($B115,'Data Vlaue (Cr)'!$C:$FB,99)</f>
        <v>2461</v>
      </c>
      <c r="L115" s="81">
        <f>VLOOKUP(B115,'OI(Value)'!$A$7:$C$209,3,0)</f>
        <v>55</v>
      </c>
      <c r="M115" s="81">
        <f t="shared" si="31"/>
        <v>2.2348638764729785</v>
      </c>
      <c r="N115" s="81">
        <f>VLOOKUP($B115,'Data Vlaue (Cr)'!$C:$FB,67)</f>
        <v>924</v>
      </c>
      <c r="O115" s="81">
        <f>VLOOKUP($B115,'Data Vlaue (Cr)'!$C:$FB,68)</f>
        <v>495</v>
      </c>
      <c r="P115" s="81">
        <f t="shared" ref="P115:P126" si="43">(N115-O115)/N115*100</f>
        <v>46.428571428571431</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Capital_Goods</v>
      </c>
      <c r="B116" s="79" t="str">
        <f>'Data shares'!C111</f>
        <v>KAYNES</v>
      </c>
      <c r="C116" s="4">
        <f>VLOOKUP($B116,'Data shares'!$C:$FB,7)</f>
        <v>4093.5</v>
      </c>
      <c r="D116" s="82">
        <f>VLOOKUP($B116,'Data shares'!$C:$FB,98)</f>
        <v>15503000</v>
      </c>
      <c r="E116" s="165">
        <f>VLOOKUP(B116,'Snapshot (Volume)'!$A$7:$G$168,7,0)</f>
        <v>15241000</v>
      </c>
      <c r="F116" s="165">
        <f t="shared" si="40"/>
        <v>262000</v>
      </c>
      <c r="G116" s="166">
        <f t="shared" si="41"/>
        <v>1.7190473066071781E-2</v>
      </c>
      <c r="H116" s="165">
        <f>VLOOKUP($B116,'Data shares'!$C:$FB,66)</f>
        <v>16644400</v>
      </c>
      <c r="I116" s="165">
        <f>VLOOKUP($B116,'Data shares'!$C:$FB,67)</f>
        <v>11990900</v>
      </c>
      <c r="J116" s="81">
        <f t="shared" si="42"/>
        <v>38.808596519026928</v>
      </c>
      <c r="K116" s="5">
        <f>VLOOKUP($B116,'Data Vlaue (Cr)'!$C:$FB,99)</f>
        <v>6354</v>
      </c>
      <c r="L116" s="81">
        <f>VLOOKUP(B116,'OI(Value)'!$A$7:$C$209,3,0)</f>
        <v>107</v>
      </c>
      <c r="M116" s="33">
        <f t="shared" si="31"/>
        <v>1.6839785961598994</v>
      </c>
      <c r="N116" s="5">
        <f>VLOOKUP($B116,'Data Vlaue (Cr)'!$C:$FB,67)</f>
        <v>6822</v>
      </c>
      <c r="O116" s="5">
        <f>VLOOKUP($B116,'Data Vlaue (Cr)'!$C:$FB,68)</f>
        <v>4914</v>
      </c>
      <c r="P116" s="5">
        <f t="shared" si="43"/>
        <v>27.968337730870712</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Power</v>
      </c>
      <c r="B117" s="79" t="str">
        <f>'Data shares'!C112</f>
        <v>KEI</v>
      </c>
      <c r="C117" s="4">
        <f>VLOOKUP($B117,'Data shares'!$C:$FB,7)</f>
        <v>4106.6000000000004</v>
      </c>
      <c r="D117" s="82">
        <f>VLOOKUP($B117,'Data shares'!$C:$FB,98)</f>
        <v>2301425</v>
      </c>
      <c r="E117" s="165">
        <f>VLOOKUP(B117,'Snapshot (Volume)'!$A$7:$G$168,7,0)</f>
        <v>2098775</v>
      </c>
      <c r="F117" s="165">
        <f t="shared" si="40"/>
        <v>202650</v>
      </c>
      <c r="G117" s="166">
        <f t="shared" si="41"/>
        <v>9.6556324522638209E-2</v>
      </c>
      <c r="H117" s="165">
        <f>VLOOKUP($B117,'Data shares'!$C:$FB,66)</f>
        <v>2246825</v>
      </c>
      <c r="I117" s="165">
        <f>VLOOKUP($B117,'Data shares'!$C:$FB,67)</f>
        <v>861175</v>
      </c>
      <c r="J117" s="81">
        <f t="shared" si="42"/>
        <v>160.90225563909775</v>
      </c>
      <c r="K117" s="5">
        <f>VLOOKUP($B117,'Data Vlaue (Cr)'!$C:$FB,99)</f>
        <v>948</v>
      </c>
      <c r="L117" s="81">
        <f>VLOOKUP(B117,'OI(Value)'!$A$7:$C$209,3,0)</f>
        <v>83</v>
      </c>
      <c r="M117" s="33">
        <f t="shared" si="31"/>
        <v>8.7552742616033754</v>
      </c>
      <c r="N117" s="5">
        <f>VLOOKUP($B117,'Data Vlaue (Cr)'!$C:$FB,67)</f>
        <v>926</v>
      </c>
      <c r="O117" s="5">
        <f>VLOOKUP($B117,'Data Vlaue (Cr)'!$C:$FB,68)</f>
        <v>355</v>
      </c>
      <c r="P117" s="5">
        <f t="shared" si="43"/>
        <v>61.663066954643632</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Finance</v>
      </c>
      <c r="B118" s="79" t="str">
        <f>'Data shares'!C113</f>
        <v>KFINTECH</v>
      </c>
      <c r="C118" s="4">
        <f>VLOOKUP($B118,'Data shares'!$C:$FB,7)</f>
        <v>1031.3</v>
      </c>
      <c r="D118" s="82">
        <f>VLOOKUP($B118,'Data shares'!$C:$FB,98)</f>
        <v>8595300</v>
      </c>
      <c r="E118" s="165">
        <f>VLOOKUP(B118,'Snapshot (Volume)'!$A$7:$G$168,7,0)</f>
        <v>8579700</v>
      </c>
      <c r="F118" s="165">
        <f t="shared" si="40"/>
        <v>15600</v>
      </c>
      <c r="G118" s="166">
        <f t="shared" si="41"/>
        <v>1.8182453931955662E-3</v>
      </c>
      <c r="H118" s="165">
        <f>VLOOKUP($B118,'Data shares'!$C:$FB,66)</f>
        <v>2422800</v>
      </c>
      <c r="I118" s="165">
        <f>VLOOKUP($B118,'Data shares'!$C:$FB,67)</f>
        <v>3429900</v>
      </c>
      <c r="J118" s="81">
        <f t="shared" si="42"/>
        <v>-29.362372080818684</v>
      </c>
      <c r="K118" s="5">
        <f>VLOOKUP($B118,'Data Vlaue (Cr)'!$C:$FB,99)</f>
        <v>887</v>
      </c>
      <c r="L118" s="81">
        <f>VLOOKUP(B118,'OI(Value)'!$A$7:$C$209,3,0)</f>
        <v>2</v>
      </c>
      <c r="M118" s="33">
        <f t="shared" si="31"/>
        <v>0.22547914317925591</v>
      </c>
      <c r="N118" s="5">
        <f>VLOOKUP($B118,'Data Vlaue (Cr)'!$C:$FB,67)</f>
        <v>250</v>
      </c>
      <c r="O118" s="5">
        <f>VLOOKUP($B118,'Data Vlaue (Cr)'!$C:$FB,68)</f>
        <v>354</v>
      </c>
      <c r="P118" s="5">
        <f t="shared" si="43"/>
        <v>-41.6</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Banking</v>
      </c>
      <c r="B119" s="79" t="str">
        <f>'Data shares'!C114</f>
        <v>KOTAKBANK</v>
      </c>
      <c r="C119" s="4">
        <f>VLOOKUP($B119,'Data shares'!$C:$FB,7)</f>
        <v>2173.1999999999998</v>
      </c>
      <c r="D119" s="82">
        <f>VLOOKUP($B119,'Data shares'!$C:$FB,98)</f>
        <v>57025600</v>
      </c>
      <c r="E119" s="165">
        <f>VLOOKUP(B119,'Snapshot (Volume)'!$A$7:$G$168,7,0)</f>
        <v>57104800</v>
      </c>
      <c r="F119" s="165">
        <f t="shared" si="40"/>
        <v>-79200</v>
      </c>
      <c r="G119" s="166">
        <f t="shared" si="41"/>
        <v>-1.3869236911783248E-3</v>
      </c>
      <c r="H119" s="165">
        <f>VLOOKUP($B119,'Data shares'!$C:$FB,66)</f>
        <v>16645200</v>
      </c>
      <c r="I119" s="165">
        <f>VLOOKUP($B119,'Data shares'!$C:$FB,67)</f>
        <v>22315600</v>
      </c>
      <c r="J119" s="81">
        <f t="shared" si="42"/>
        <v>-25.410027066267542</v>
      </c>
      <c r="K119" s="5">
        <f>VLOOKUP($B119,'Data Vlaue (Cr)'!$C:$FB,99)</f>
        <v>12412</v>
      </c>
      <c r="L119" s="81">
        <f>VLOOKUP(B119,'OI(Value)'!$A$7:$C$209,3,0)</f>
        <v>-17</v>
      </c>
      <c r="M119" s="33">
        <f t="shared" si="31"/>
        <v>-0.1369642281662907</v>
      </c>
      <c r="N119" s="5">
        <f>VLOOKUP($B119,'Data Vlaue (Cr)'!$C:$FB,67)</f>
        <v>3623</v>
      </c>
      <c r="O119" s="5">
        <f>VLOOKUP($B119,'Data Vlaue (Cr)'!$C:$FB,68)</f>
        <v>4857</v>
      </c>
      <c r="P119" s="5">
        <f t="shared" si="43"/>
        <v>-34.060171128898702</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Technology</v>
      </c>
      <c r="B120" s="79" t="str">
        <f>'Data shares'!C115</f>
        <v>KPITTECH</v>
      </c>
      <c r="C120" s="4">
        <f>VLOOKUP($B120,'Data shares'!$C:$FB,7)</f>
        <v>1168.9000000000001</v>
      </c>
      <c r="D120" s="82">
        <f>VLOOKUP($B120,'Data shares'!$C:$FB,98)</f>
        <v>8094650</v>
      </c>
      <c r="E120" s="165">
        <f>VLOOKUP(B120,'Snapshot (Volume)'!$A$7:$G$168,7,0)</f>
        <v>7880725</v>
      </c>
      <c r="F120" s="165">
        <f t="shared" si="40"/>
        <v>213925</v>
      </c>
      <c r="G120" s="166">
        <f t="shared" si="41"/>
        <v>2.7145345130048314E-2</v>
      </c>
      <c r="H120" s="165">
        <f>VLOOKUP($B120,'Data shares'!$C:$FB,66)</f>
        <v>2969200</v>
      </c>
      <c r="I120" s="165">
        <f>VLOOKUP($B120,'Data shares'!$C:$FB,67)</f>
        <v>8979600</v>
      </c>
      <c r="J120" s="81">
        <f t="shared" si="42"/>
        <v>-66.933939150964406</v>
      </c>
      <c r="K120" s="5">
        <f>VLOOKUP($B120,'Data Vlaue (Cr)'!$C:$FB,99)</f>
        <v>950</v>
      </c>
      <c r="L120" s="81">
        <f>VLOOKUP(B120,'OI(Value)'!$A$7:$C$209,3,0)</f>
        <v>25</v>
      </c>
      <c r="M120" s="33">
        <f t="shared" si="31"/>
        <v>2.6315789473684208</v>
      </c>
      <c r="N120" s="5">
        <f>VLOOKUP($B120,'Data Vlaue (Cr)'!$C:$FB,67)</f>
        <v>348</v>
      </c>
      <c r="O120" s="5">
        <f>VLOOKUP($B120,'Data Vlaue (Cr)'!$C:$FB,68)</f>
        <v>1054</v>
      </c>
      <c r="P120" s="5">
        <f t="shared" si="43"/>
        <v>-202.87356321839081</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Pharma</v>
      </c>
      <c r="B121" s="79" t="str">
        <f>'Data shares'!C116</f>
        <v>LAURUSLABS</v>
      </c>
      <c r="C121" s="4">
        <f>VLOOKUP($B121,'Data shares'!$C:$FB,7)</f>
        <v>1010</v>
      </c>
      <c r="D121" s="82">
        <f>VLOOKUP($B121,'Data shares'!$C:$FB,98)</f>
        <v>30004150</v>
      </c>
      <c r="E121" s="165">
        <f>VLOOKUP(B121,'Snapshot (Volume)'!$A$7:$G$168,7,0)</f>
        <v>30239600</v>
      </c>
      <c r="F121" s="165">
        <f t="shared" si="40"/>
        <v>-235450</v>
      </c>
      <c r="G121" s="166">
        <f t="shared" si="41"/>
        <v>-7.7861479649201709E-3</v>
      </c>
      <c r="H121" s="165">
        <f>VLOOKUP($B121,'Data shares'!$C:$FB,66)</f>
        <v>13636550</v>
      </c>
      <c r="I121" s="165">
        <f>VLOOKUP($B121,'Data shares'!$C:$FB,67)</f>
        <v>11455450</v>
      </c>
      <c r="J121" s="81">
        <f t="shared" si="42"/>
        <v>19.039845662981374</v>
      </c>
      <c r="K121" s="5">
        <f>VLOOKUP($B121,'Data Vlaue (Cr)'!$C:$FB,99)</f>
        <v>3032</v>
      </c>
      <c r="L121" s="81">
        <f>VLOOKUP(B121,'OI(Value)'!$A$7:$C$209,3,0)</f>
        <v>-24</v>
      </c>
      <c r="M121" s="33">
        <f t="shared" si="31"/>
        <v>-0.79155672823219003</v>
      </c>
      <c r="N121" s="5">
        <f>VLOOKUP($B121,'Data Vlaue (Cr)'!$C:$FB,67)</f>
        <v>1378</v>
      </c>
      <c r="O121" s="5">
        <f>VLOOKUP($B121,'Data Vlaue (Cr)'!$C:$FB,68)</f>
        <v>1158</v>
      </c>
      <c r="P121" s="5">
        <f t="shared" si="43"/>
        <v>15.965166908563136</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Finance</v>
      </c>
      <c r="B122" s="79" t="str">
        <f>'Data shares'!C117</f>
        <v>LICHSGFIN</v>
      </c>
      <c r="C122" s="4">
        <f>VLOOKUP($B122,'Data shares'!$C:$FB,7)</f>
        <v>524.79999999999995</v>
      </c>
      <c r="D122" s="82">
        <f>VLOOKUP($B122,'Data shares'!$C:$FB,98)</f>
        <v>54515000</v>
      </c>
      <c r="E122" s="165">
        <f>VLOOKUP(B122,'Snapshot (Volume)'!$A$7:$G$168,7,0)</f>
        <v>54339000</v>
      </c>
      <c r="F122" s="165">
        <f t="shared" si="40"/>
        <v>176000</v>
      </c>
      <c r="G122" s="166">
        <f t="shared" si="41"/>
        <v>3.2389260015826572E-3</v>
      </c>
      <c r="H122" s="165">
        <f>VLOOKUP($B122,'Data shares'!$C:$FB,66)</f>
        <v>9153000</v>
      </c>
      <c r="I122" s="165">
        <f>VLOOKUP($B122,'Data shares'!$C:$FB,67)</f>
        <v>10759000</v>
      </c>
      <c r="J122" s="81">
        <f t="shared" si="42"/>
        <v>-14.927037828794498</v>
      </c>
      <c r="K122" s="5">
        <f>VLOOKUP($B122,'Data Vlaue (Cr)'!$C:$FB,99)</f>
        <v>2861</v>
      </c>
      <c r="L122" s="81">
        <f>VLOOKUP(B122,'OI(Value)'!$A$7:$C$209,3,0)</f>
        <v>9</v>
      </c>
      <c r="M122" s="33">
        <f t="shared" si="31"/>
        <v>0.31457532331352672</v>
      </c>
      <c r="N122" s="5">
        <f>VLOOKUP($B122,'Data Vlaue (Cr)'!$C:$FB,67)</f>
        <v>480</v>
      </c>
      <c r="O122" s="5">
        <f>VLOOKUP($B122,'Data Vlaue (Cr)'!$C:$FB,68)</f>
        <v>565</v>
      </c>
      <c r="P122" s="5">
        <f t="shared" si="43"/>
        <v>-17.708333333333336</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LICI</v>
      </c>
      <c r="C123" s="4">
        <f>VLOOKUP($B123,'Data shares'!$C:$FB,7)</f>
        <v>844.55</v>
      </c>
      <c r="D123" s="82">
        <f>VLOOKUP($B123,'Data shares'!$C:$FB,98)</f>
        <v>25594100</v>
      </c>
      <c r="E123" s="165">
        <f>VLOOKUP(B123,'Snapshot (Volume)'!$A$7:$G$168,7,0)</f>
        <v>25495400</v>
      </c>
      <c r="F123" s="165">
        <f t="shared" si="40"/>
        <v>98700</v>
      </c>
      <c r="G123" s="166">
        <f t="shared" si="41"/>
        <v>3.8712865850310252E-3</v>
      </c>
      <c r="H123" s="165">
        <f>VLOOKUP($B123,'Data shares'!$C:$FB,66)</f>
        <v>8952300</v>
      </c>
      <c r="I123" s="165">
        <f>VLOOKUP($B123,'Data shares'!$C:$FB,67)</f>
        <v>11610200</v>
      </c>
      <c r="J123" s="81">
        <f t="shared" si="42"/>
        <v>-22.892801157602797</v>
      </c>
      <c r="K123" s="5">
        <f>VLOOKUP($B123,'Data Vlaue (Cr)'!$C:$FB,99)</f>
        <v>2168</v>
      </c>
      <c r="L123" s="81">
        <f>VLOOKUP(B123,'OI(Value)'!$A$7:$C$209,3,0)</f>
        <v>8</v>
      </c>
      <c r="M123" s="33">
        <f t="shared" ref="M123:M144" si="44">L123/K123*100</f>
        <v>0.36900369003690037</v>
      </c>
      <c r="N123" s="5">
        <f>VLOOKUP($B123,'Data Vlaue (Cr)'!$C:$FB,67)</f>
        <v>758</v>
      </c>
      <c r="O123" s="5">
        <f>VLOOKUP($B123,'Data Vlaue (Cr)'!$C:$FB,68)</f>
        <v>984</v>
      </c>
      <c r="P123" s="5">
        <f t="shared" si="43"/>
        <v>-29.815303430079155</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Realty</v>
      </c>
      <c r="B124" s="79" t="str">
        <f>'Data shares'!C119</f>
        <v>LODHA</v>
      </c>
      <c r="C124" s="4">
        <f>VLOOKUP($B124,'Data shares'!$C:$FB,7)</f>
        <v>1063.8</v>
      </c>
      <c r="D124" s="82">
        <f>VLOOKUP($B124,'Data shares'!$C:$FB,98)</f>
        <v>21223800</v>
      </c>
      <c r="E124" s="165">
        <f>VLOOKUP(B124,'Snapshot (Volume)'!$A$7:$G$168,7,0)</f>
        <v>19919700</v>
      </c>
      <c r="F124" s="165">
        <f t="shared" si="40"/>
        <v>1304100</v>
      </c>
      <c r="G124" s="166">
        <f t="shared" si="41"/>
        <v>6.5467853431527584E-2</v>
      </c>
      <c r="H124" s="165">
        <f>VLOOKUP($B124,'Data shares'!$C:$FB,66)</f>
        <v>11263050</v>
      </c>
      <c r="I124" s="165">
        <f>VLOOKUP($B124,'Data shares'!$C:$FB,67)</f>
        <v>4714200</v>
      </c>
      <c r="J124" s="81">
        <f t="shared" si="42"/>
        <v>138.91752577319588</v>
      </c>
      <c r="K124" s="5">
        <f>VLOOKUP($B124,'Data Vlaue (Cr)'!$C:$FB,99)</f>
        <v>2260</v>
      </c>
      <c r="L124" s="81">
        <f>VLOOKUP(B124,'OI(Value)'!$A$7:$C$209,3,0)</f>
        <v>139</v>
      </c>
      <c r="M124" s="33">
        <f t="shared" si="44"/>
        <v>6.1504424778761067</v>
      </c>
      <c r="N124" s="5">
        <f>VLOOKUP($B124,'Data Vlaue (Cr)'!$C:$FB,67)</f>
        <v>1199</v>
      </c>
      <c r="O124" s="5">
        <f>VLOOKUP($B124,'Data Vlaue (Cr)'!$C:$FB,68)</f>
        <v>502</v>
      </c>
      <c r="P124" s="5">
        <f t="shared" si="43"/>
        <v>58.131776480400333</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Capital_Goods</v>
      </c>
      <c r="B125" s="79" t="str">
        <f>'Data shares'!C120</f>
        <v>LT</v>
      </c>
      <c r="C125" s="4">
        <f>VLOOKUP($B125,'Data shares'!$C:$FB,7)</f>
        <v>4062.4</v>
      </c>
      <c r="D125" s="82">
        <f>VLOOKUP($B125,'Data shares'!$C:$FB,98)</f>
        <v>22598275</v>
      </c>
      <c r="E125" s="165">
        <f>VLOOKUP(B125,'Snapshot (Volume)'!$A$7:$G$168,7,0)</f>
        <v>22812825</v>
      </c>
      <c r="F125" s="165">
        <f t="shared" si="40"/>
        <v>-214550</v>
      </c>
      <c r="G125" s="166">
        <f t="shared" si="41"/>
        <v>-9.4047975206928563E-3</v>
      </c>
      <c r="H125" s="165">
        <f>VLOOKUP($B125,'Data shares'!$C:$FB,66)</f>
        <v>6798400</v>
      </c>
      <c r="I125" s="165">
        <f>VLOOKUP($B125,'Data shares'!$C:$FB,67)</f>
        <v>7261100</v>
      </c>
      <c r="J125" s="81">
        <f t="shared" si="42"/>
        <v>-6.3723127349850568</v>
      </c>
      <c r="K125" s="5">
        <f>VLOOKUP($B125,'Data Vlaue (Cr)'!$C:$FB,99)</f>
        <v>9195</v>
      </c>
      <c r="L125" s="81">
        <f>VLOOKUP(B125,'OI(Value)'!$A$7:$C$209,3,0)</f>
        <v>-87</v>
      </c>
      <c r="M125" s="33">
        <f t="shared" si="44"/>
        <v>-0.9461663947797716</v>
      </c>
      <c r="N125" s="5">
        <f>VLOOKUP($B125,'Data Vlaue (Cr)'!$C:$FB,67)</f>
        <v>2766</v>
      </c>
      <c r="O125" s="5">
        <f>VLOOKUP($B125,'Data Vlaue (Cr)'!$C:$FB,68)</f>
        <v>2954</v>
      </c>
      <c r="P125" s="5">
        <f t="shared" si="43"/>
        <v>-6.7968185104844538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Finance</v>
      </c>
      <c r="B126" s="79" t="str">
        <f>'Data shares'!C121</f>
        <v>LTF</v>
      </c>
      <c r="C126" s="4">
        <f>VLOOKUP($B126,'Data shares'!$C:$FB,7)</f>
        <v>301.89999999999998</v>
      </c>
      <c r="D126" s="82">
        <f>VLOOKUP($B126,'Data shares'!$C:$FB,98)</f>
        <v>102118206</v>
      </c>
      <c r="E126" s="165">
        <f>VLOOKUP(B126,'Snapshot (Volume)'!$A$7:$G$168,7,0)</f>
        <v>100274200</v>
      </c>
      <c r="F126" s="165">
        <f t="shared" si="40"/>
        <v>1844006</v>
      </c>
      <c r="G126" s="166">
        <f t="shared" si="41"/>
        <v>1.8389635619132341E-2</v>
      </c>
      <c r="H126" s="165">
        <f>VLOOKUP($B126,'Data shares'!$C:$FB,66)</f>
        <v>65127352</v>
      </c>
      <c r="I126" s="165">
        <f>VLOOKUP($B126,'Data shares'!$C:$FB,67)</f>
        <v>52138470</v>
      </c>
      <c r="J126" s="81">
        <f t="shared" si="42"/>
        <v>24.912280701754387</v>
      </c>
      <c r="K126" s="5">
        <f>VLOOKUP($B126,'Data Vlaue (Cr)'!$C:$FB,99)</f>
        <v>3095</v>
      </c>
      <c r="L126" s="81">
        <f>VLOOKUP(B126,'OI(Value)'!$A$7:$C$209,3,0)</f>
        <v>56</v>
      </c>
      <c r="M126" s="33">
        <f t="shared" si="44"/>
        <v>1.8093699515347335</v>
      </c>
      <c r="N126" s="5">
        <f>VLOOKUP($B126,'Data Vlaue (Cr)'!$C:$FB,67)</f>
        <v>1974</v>
      </c>
      <c r="O126" s="5">
        <f>VLOOKUP($B126,'Data Vlaue (Cr)'!$C:$FB,68)</f>
        <v>1580</v>
      </c>
      <c r="P126" s="5">
        <f t="shared" si="43"/>
        <v>19.959473150962513</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Technology</v>
      </c>
      <c r="B127" s="79" t="str">
        <f>'Data shares'!C122</f>
        <v>LTIM</v>
      </c>
      <c r="C127" s="4">
        <f>VLOOKUP($B127,'Data shares'!$C:$FB,7)</f>
        <v>6252.5</v>
      </c>
      <c r="D127" s="82">
        <f>VLOOKUP($B127,'Data shares'!$C:$FB,98)</f>
        <v>3959850</v>
      </c>
      <c r="E127" s="165">
        <f>VLOOKUP(B127,'Snapshot (Volume)'!$A$7:$G$168,7,0)</f>
        <v>3853800</v>
      </c>
      <c r="F127" s="165">
        <f>D127-E127</f>
        <v>106050</v>
      </c>
      <c r="G127" s="166">
        <f>F127/E127</f>
        <v>2.7518293632259067E-2</v>
      </c>
      <c r="H127" s="165">
        <f>VLOOKUP($B127,'Data shares'!$C:$FB,66)</f>
        <v>2610600</v>
      </c>
      <c r="I127" s="165">
        <f>VLOOKUP($B127,'Data shares'!$C:$FB,67)</f>
        <v>1625850</v>
      </c>
      <c r="J127" s="81">
        <f>(H127-I127)/I127*100</f>
        <v>60.568318110526796</v>
      </c>
      <c r="K127" s="5">
        <f>VLOOKUP($B127,'Data Vlaue (Cr)'!$C:$FB,99)</f>
        <v>2483</v>
      </c>
      <c r="L127" s="81">
        <f>VLOOKUP(B127,'OI(Value)'!$A$7:$C$209,3,0)</f>
        <v>66</v>
      </c>
      <c r="M127" s="33">
        <f t="shared" si="44"/>
        <v>2.6580749093838096</v>
      </c>
      <c r="N127" s="5">
        <f>VLOOKUP($B127,'Data Vlaue (Cr)'!$C:$FB,67)</f>
        <v>1637</v>
      </c>
      <c r="O127" s="5">
        <f>VLOOKUP($B127,'Data Vlaue (Cr)'!$C:$FB,68)</f>
        <v>1019</v>
      </c>
      <c r="P127" s="5">
        <f>(N127-O127)/N127*100</f>
        <v>37.751985339034825</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LUPIN</v>
      </c>
      <c r="C128" s="4">
        <f>VLOOKUP($B128,'Data shares'!$C:$FB,7)</f>
        <v>2113.1</v>
      </c>
      <c r="D128" s="82">
        <f>VLOOKUP($B128,'Data shares'!$C:$FB,98)</f>
        <v>12523475</v>
      </c>
      <c r="E128" s="165">
        <f>VLOOKUP(B128,'Snapshot (Volume)'!$A$7:$G$168,7,0)</f>
        <v>12620800</v>
      </c>
      <c r="F128" s="165">
        <f>D128-E128</f>
        <v>-97325</v>
      </c>
      <c r="G128" s="166">
        <f>F128/E128</f>
        <v>-7.7114762931034479E-3</v>
      </c>
      <c r="H128" s="165">
        <f>VLOOKUP($B128,'Data shares'!$C:$FB,66)</f>
        <v>9213575</v>
      </c>
      <c r="I128" s="165">
        <f>VLOOKUP($B128,'Data shares'!$C:$FB,67)</f>
        <v>3461625</v>
      </c>
      <c r="J128" s="81">
        <f>(H128-I128)/I128*100</f>
        <v>166.16329036218539</v>
      </c>
      <c r="K128" s="5">
        <f>VLOOKUP($B128,'Data Vlaue (Cr)'!$C:$FB,99)</f>
        <v>2647</v>
      </c>
      <c r="L128" s="81">
        <f>VLOOKUP(B128,'OI(Value)'!$A$7:$C$209,3,0)</f>
        <v>-21</v>
      </c>
      <c r="M128" s="33">
        <f t="shared" si="44"/>
        <v>-0.7933509633547412</v>
      </c>
      <c r="N128" s="5">
        <f>VLOOKUP($B128,'Data Vlaue (Cr)'!$C:$FB,67)</f>
        <v>1948</v>
      </c>
      <c r="O128" s="5">
        <f>VLOOKUP($B128,'Data Vlaue (Cr)'!$C:$FB,68)</f>
        <v>732</v>
      </c>
      <c r="P128" s="5">
        <f>(N128-O128)/N128*100</f>
        <v>62.422997946611915</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Automobile</v>
      </c>
      <c r="B129" s="79" t="str">
        <f>'Data shares'!C124</f>
        <v>M&amp;M</v>
      </c>
      <c r="C129" s="4">
        <f>VLOOKUP($B129,'Data shares'!$C:$FB,7)</f>
        <v>3612.8</v>
      </c>
      <c r="D129" s="82">
        <f>VLOOKUP($B129,'Data shares'!$C:$FB,98)</f>
        <v>28718400</v>
      </c>
      <c r="E129" s="165">
        <f>VLOOKUP(B129,'Snapshot (Volume)'!$A$7:$G$168,7,0)</f>
        <v>28991200</v>
      </c>
      <c r="F129" s="165">
        <f>D129-E129</f>
        <v>-272800</v>
      </c>
      <c r="G129" s="166">
        <f>F129/E129</f>
        <v>-9.4097519247219839E-3</v>
      </c>
      <c r="H129" s="165">
        <f>VLOOKUP($B129,'Data shares'!$C:$FB,66)</f>
        <v>8533200</v>
      </c>
      <c r="I129" s="165">
        <f>VLOOKUP($B129,'Data shares'!$C:$FB,67)</f>
        <v>10707400</v>
      </c>
      <c r="J129" s="81">
        <f>(H129-I129)/I129*100</f>
        <v>-20.305583054709828</v>
      </c>
      <c r="K129" s="5">
        <f>VLOOKUP($B129,'Data Vlaue (Cr)'!$C:$FB,99)</f>
        <v>10390</v>
      </c>
      <c r="L129" s="81">
        <f>VLOOKUP(B129,'OI(Value)'!$A$7:$C$209,3,0)</f>
        <v>-99</v>
      </c>
      <c r="M129" s="33">
        <f t="shared" si="44"/>
        <v>-0.95283926852743028</v>
      </c>
      <c r="N129" s="5">
        <f>VLOOKUP($B129,'Data Vlaue (Cr)'!$C:$FB,67)</f>
        <v>3087</v>
      </c>
      <c r="O129" s="5">
        <f>VLOOKUP($B129,'Data Vlaue (Cr)'!$C:$FB,68)</f>
        <v>3874</v>
      </c>
      <c r="P129" s="5">
        <f>(N129-O129)/N129*100</f>
        <v>-25.49400712666019</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Finance</v>
      </c>
      <c r="B130" s="79" t="str">
        <f>'Data shares'!C125</f>
        <v>MANAPPURAM</v>
      </c>
      <c r="C130" s="4">
        <f>VLOOKUP($B130,'Data shares'!$C:$FB,7)</f>
        <v>286.25</v>
      </c>
      <c r="D130" s="82">
        <f>VLOOKUP($B130,'Data shares'!$C:$FB,98)</f>
        <v>69012000</v>
      </c>
      <c r="E130" s="165">
        <f>VLOOKUP(B130,'Snapshot (Volume)'!$A$7:$G$168,7,0)</f>
        <v>69210000</v>
      </c>
      <c r="F130" s="165">
        <f>D130-E130</f>
        <v>-198000</v>
      </c>
      <c r="G130" s="166">
        <f>F130/E130</f>
        <v>-2.8608582574772431E-3</v>
      </c>
      <c r="H130" s="165">
        <f>VLOOKUP($B130,'Data shares'!$C:$FB,66)</f>
        <v>26625000</v>
      </c>
      <c r="I130" s="165">
        <f>VLOOKUP($B130,'Data shares'!$C:$FB,67)</f>
        <v>16566000</v>
      </c>
      <c r="J130" s="81">
        <f>(H130-I130)/I130*100</f>
        <v>60.720753350235427</v>
      </c>
      <c r="K130" s="5">
        <f>VLOOKUP($B130,'Data Vlaue (Cr)'!$C:$FB,99)</f>
        <v>1977</v>
      </c>
      <c r="L130" s="81">
        <f>VLOOKUP(B130,'OI(Value)'!$A$7:$C$209,3,0)</f>
        <v>-6</v>
      </c>
      <c r="M130" s="33">
        <f t="shared" si="44"/>
        <v>-0.30349013657056145</v>
      </c>
      <c r="N130" s="5">
        <f>VLOOKUP($B130,'Data Vlaue (Cr)'!$C:$FB,67)</f>
        <v>763</v>
      </c>
      <c r="O130" s="5">
        <f>VLOOKUP($B130,'Data Vlaue (Cr)'!$C:$FB,68)</f>
        <v>475</v>
      </c>
      <c r="P130" s="5">
        <f>(N130-O130)/N130*100</f>
        <v>37.745740498034074</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Pharma</v>
      </c>
      <c r="B131" s="79" t="str">
        <f>'Data shares'!C126</f>
        <v>MANKIND</v>
      </c>
      <c r="C131" s="4">
        <f>VLOOKUP($B131,'Data shares'!$C:$FB,7)</f>
        <v>2111.1999999999998</v>
      </c>
      <c r="D131" s="82">
        <f>VLOOKUP($B131,'Data shares'!$C:$FB,98)</f>
        <v>4409100</v>
      </c>
      <c r="E131" s="165">
        <f>VLOOKUP(B131,'Snapshot (Volume)'!$A$7:$G$168,7,0)</f>
        <v>4324500</v>
      </c>
      <c r="F131" s="165">
        <f>D131-E131</f>
        <v>84600</v>
      </c>
      <c r="G131" s="166">
        <f>F131/E131</f>
        <v>1.9562955254942768E-2</v>
      </c>
      <c r="H131" s="165">
        <f>VLOOKUP($B131,'Data shares'!$C:$FB,66)</f>
        <v>1764450</v>
      </c>
      <c r="I131" s="165">
        <f>VLOOKUP($B131,'Data shares'!$C:$FB,67)</f>
        <v>1884600</v>
      </c>
      <c r="J131" s="81">
        <f>(H131-I131)/I131*100</f>
        <v>-6.3753581661891117</v>
      </c>
      <c r="K131" s="5">
        <f>VLOOKUP($B131,'Data Vlaue (Cr)'!$C:$FB,99)</f>
        <v>934</v>
      </c>
      <c r="L131" s="81">
        <f>VLOOKUP(B131,'OI(Value)'!$A$7:$C$209,3,0)</f>
        <v>18</v>
      </c>
      <c r="M131" s="33">
        <f t="shared" si="44"/>
        <v>1.9271948608137044</v>
      </c>
      <c r="N131" s="5">
        <f>VLOOKUP($B131,'Data Vlaue (Cr)'!$C:$FB,67)</f>
        <v>374</v>
      </c>
      <c r="O131" s="5">
        <f>VLOOKUP($B131,'Data Vlaue (Cr)'!$C:$FB,68)</f>
        <v>399</v>
      </c>
      <c r="P131" s="5">
        <f>(N131-O131)/N131*100</f>
        <v>-6.6844919786096257</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FMCG</v>
      </c>
      <c r="B132" s="79" t="str">
        <f>'Data shares'!C127</f>
        <v>MARICO</v>
      </c>
      <c r="C132" s="79">
        <f>VLOOKUP($B132,'Data shares'!$C:$FB,7)</f>
        <v>738.15</v>
      </c>
      <c r="D132" s="165">
        <f>VLOOKUP($B132,'Data shares'!$C:$FB,98)</f>
        <v>44415600</v>
      </c>
      <c r="E132" s="165">
        <f>VLOOKUP(B132,'Snapshot (Volume)'!$A$7:$G$168,7,0)</f>
        <v>44305200</v>
      </c>
      <c r="F132" s="165">
        <f t="shared" ref="F132:F139" si="45">D132-E132</f>
        <v>110400</v>
      </c>
      <c r="G132" s="166">
        <f t="shared" ref="G132:G139" si="46">F132/E132</f>
        <v>2.4918068308008991E-3</v>
      </c>
      <c r="H132" s="165">
        <f>VLOOKUP($B132,'Data shares'!$C:$FB,66)</f>
        <v>7419600</v>
      </c>
      <c r="I132" s="165">
        <f>VLOOKUP($B132,'Data shares'!$C:$FB,67)</f>
        <v>29834400</v>
      </c>
      <c r="J132" s="81">
        <f t="shared" ref="J132:J139" si="47">(H132-I132)/I132*100</f>
        <v>-75.130721583138921</v>
      </c>
      <c r="K132" s="81">
        <f>VLOOKUP($B132,'Data Vlaue (Cr)'!$C:$FB,99)</f>
        <v>3282</v>
      </c>
      <c r="L132" s="81">
        <f>VLOOKUP(B132,'OI(Value)'!$A$7:$C$209,3,0)</f>
        <v>8</v>
      </c>
      <c r="M132" s="81">
        <f t="shared" si="44"/>
        <v>0.24375380865326021</v>
      </c>
      <c r="N132" s="81">
        <f>VLOOKUP($B132,'Data Vlaue (Cr)'!$C:$FB,67)</f>
        <v>548</v>
      </c>
      <c r="O132" s="81">
        <f>VLOOKUP($B132,'Data Vlaue (Cr)'!$C:$FB,68)</f>
        <v>2205</v>
      </c>
      <c r="P132" s="81">
        <f t="shared" ref="P132:P139" si="48">(N132-O132)/N132*100</f>
        <v>-302.37226277372264</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Automobile</v>
      </c>
      <c r="B133" s="79" t="str">
        <f>'Data shares'!C128</f>
        <v>MARUTI</v>
      </c>
      <c r="C133" s="79">
        <f>VLOOKUP($B133,'Data shares'!$C:$FB,7)</f>
        <v>16398</v>
      </c>
      <c r="D133" s="165">
        <f>VLOOKUP($B133,'Data shares'!$C:$FB,98)</f>
        <v>6002100</v>
      </c>
      <c r="E133" s="165">
        <f>VLOOKUP(B133,'Snapshot (Volume)'!$A$7:$G$168,7,0)</f>
        <v>5984700</v>
      </c>
      <c r="F133" s="165">
        <f t="shared" si="45"/>
        <v>17400</v>
      </c>
      <c r="G133" s="166">
        <f t="shared" si="46"/>
        <v>2.9074139054589203E-3</v>
      </c>
      <c r="H133" s="165">
        <f>VLOOKUP($B133,'Data shares'!$C:$FB,66)</f>
        <v>3743800</v>
      </c>
      <c r="I133" s="165">
        <f>VLOOKUP($B133,'Data shares'!$C:$FB,67)</f>
        <v>2972350</v>
      </c>
      <c r="J133" s="81">
        <f t="shared" si="47"/>
        <v>25.954211314279945</v>
      </c>
      <c r="K133" s="81">
        <f>VLOOKUP($B133,'Data Vlaue (Cr)'!$C:$FB,99)</f>
        <v>9849</v>
      </c>
      <c r="L133" s="81">
        <f>VLOOKUP(B133,'OI(Value)'!$A$7:$C$209,3,0)</f>
        <v>29</v>
      </c>
      <c r="M133" s="81">
        <f t="shared" si="44"/>
        <v>0.29444613666362068</v>
      </c>
      <c r="N133" s="81">
        <f>VLOOKUP($B133,'Data Vlaue (Cr)'!$C:$FB,67)</f>
        <v>6143</v>
      </c>
      <c r="O133" s="81">
        <f>VLOOKUP($B133,'Data Vlaue (Cr)'!$C:$FB,68)</f>
        <v>4877</v>
      </c>
      <c r="P133" s="81">
        <f t="shared" si="48"/>
        <v>20.608823050626729</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Pharma</v>
      </c>
      <c r="B134" s="79" t="str">
        <f>'Data shares'!C129</f>
        <v>MAXHEALTH</v>
      </c>
      <c r="C134" s="4">
        <f>VLOOKUP($B134,'Data shares'!$C:$FB,7)</f>
        <v>1031.0999999999999</v>
      </c>
      <c r="D134" s="82">
        <f>VLOOKUP($B134,'Data shares'!$C:$FB,98)</f>
        <v>30875250</v>
      </c>
      <c r="E134" s="165">
        <f>VLOOKUP(B134,'Snapshot (Volume)'!$A$7:$G$168,7,0)</f>
        <v>27195000</v>
      </c>
      <c r="F134" s="165">
        <f t="shared" si="45"/>
        <v>3680250</v>
      </c>
      <c r="G134" s="166">
        <f t="shared" si="46"/>
        <v>0.13532818532818533</v>
      </c>
      <c r="H134" s="165">
        <f>VLOOKUP($B134,'Data shares'!$C:$FB,66)</f>
        <v>37061325</v>
      </c>
      <c r="I134" s="165">
        <f>VLOOKUP($B134,'Data shares'!$C:$FB,67)</f>
        <v>5500950</v>
      </c>
      <c r="J134" s="81">
        <f t="shared" si="47"/>
        <v>573.72590188967354</v>
      </c>
      <c r="K134" s="5">
        <f>VLOOKUP($B134,'Data Vlaue (Cr)'!$C:$FB,99)</f>
        <v>3192</v>
      </c>
      <c r="L134" s="81">
        <f>VLOOKUP(B134,'OI(Value)'!$A$7:$C$209,3,0)</f>
        <v>380</v>
      </c>
      <c r="M134" s="33">
        <f t="shared" si="44"/>
        <v>11.904761904761903</v>
      </c>
      <c r="N134" s="5">
        <f>VLOOKUP($B134,'Data Vlaue (Cr)'!$C:$FB,67)</f>
        <v>3831</v>
      </c>
      <c r="O134" s="5">
        <f>VLOOKUP($B134,'Data Vlaue (Cr)'!$C:$FB,68)</f>
        <v>569</v>
      </c>
      <c r="P134" s="5">
        <f t="shared" si="48"/>
        <v>85.147481075437227</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Infrastructure</v>
      </c>
      <c r="B135" s="79" t="str">
        <f>'Data shares'!C130</f>
        <v>MAZDOCK</v>
      </c>
      <c r="C135" s="4">
        <f>VLOOKUP($B135,'Data shares'!$C:$FB,7)</f>
        <v>2356.6</v>
      </c>
      <c r="D135" s="82">
        <f>VLOOKUP($B135,'Data shares'!$C:$FB,98)</f>
        <v>10580050</v>
      </c>
      <c r="E135" s="165">
        <f>VLOOKUP(B135,'Snapshot (Volume)'!$A$7:$G$168,7,0)</f>
        <v>10501500</v>
      </c>
      <c r="F135" s="165">
        <f t="shared" si="45"/>
        <v>78550</v>
      </c>
      <c r="G135" s="166">
        <f t="shared" si="46"/>
        <v>7.4798838261200783E-3</v>
      </c>
      <c r="H135" s="165">
        <f>VLOOKUP($B135,'Data shares'!$C:$FB,66)</f>
        <v>6462575</v>
      </c>
      <c r="I135" s="165">
        <f>VLOOKUP($B135,'Data shares'!$C:$FB,67)</f>
        <v>4281025</v>
      </c>
      <c r="J135" s="81">
        <f t="shared" si="47"/>
        <v>50.958590524465521</v>
      </c>
      <c r="K135" s="5">
        <f>VLOOKUP($B135,'Data Vlaue (Cr)'!$C:$FB,99)</f>
        <v>2500</v>
      </c>
      <c r="L135" s="81">
        <f>VLOOKUP(B135,'OI(Value)'!$A$7:$C$209,3,0)</f>
        <v>19</v>
      </c>
      <c r="M135" s="33">
        <f t="shared" si="44"/>
        <v>0.76</v>
      </c>
      <c r="N135" s="5">
        <f>VLOOKUP($B135,'Data Vlaue (Cr)'!$C:$FB,67)</f>
        <v>1527</v>
      </c>
      <c r="O135" s="5">
        <f>VLOOKUP($B135,'Data Vlaue (Cr)'!$C:$FB,68)</f>
        <v>1011</v>
      </c>
      <c r="P135" s="5">
        <f t="shared" si="48"/>
        <v>33.791748526522589</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MCX</v>
      </c>
      <c r="C136" s="4">
        <f>VLOOKUP($B136,'Data shares'!$C:$FB,7)</f>
        <v>10025</v>
      </c>
      <c r="D136" s="82">
        <f>VLOOKUP($B136,'Data shares'!$C:$FB,98)</f>
        <v>8026500</v>
      </c>
      <c r="E136" s="165">
        <f>VLOOKUP(B136,'Snapshot (Volume)'!$A$7:$G$168,7,0)</f>
        <v>7671750</v>
      </c>
      <c r="F136" s="165">
        <f t="shared" si="45"/>
        <v>354750</v>
      </c>
      <c r="G136" s="166">
        <f t="shared" si="46"/>
        <v>4.6241079284387525E-2</v>
      </c>
      <c r="H136" s="165">
        <f>VLOOKUP($B136,'Data shares'!$C:$FB,66)</f>
        <v>6345000</v>
      </c>
      <c r="I136" s="165">
        <f>VLOOKUP($B136,'Data shares'!$C:$FB,67)</f>
        <v>8445500</v>
      </c>
      <c r="J136" s="81">
        <f t="shared" si="47"/>
        <v>-24.871233201113018</v>
      </c>
      <c r="K136" s="5">
        <f>VLOOKUP($B136,'Data Vlaue (Cr)'!$C:$FB,99)</f>
        <v>8079</v>
      </c>
      <c r="L136" s="81">
        <f>VLOOKUP(B136,'OI(Value)'!$A$7:$C$209,3,0)</f>
        <v>357</v>
      </c>
      <c r="M136" s="33">
        <f t="shared" si="44"/>
        <v>4.4188637207575194</v>
      </c>
      <c r="N136" s="5">
        <f>VLOOKUP($B136,'Data Vlaue (Cr)'!$C:$FB,67)</f>
        <v>6387</v>
      </c>
      <c r="O136" s="5">
        <f>VLOOKUP($B136,'Data Vlaue (Cr)'!$C:$FB,68)</f>
        <v>8501</v>
      </c>
      <c r="P136" s="5">
        <f t="shared" si="48"/>
        <v>-33.09848129012056</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MFSL</v>
      </c>
      <c r="C137" s="4">
        <f>VLOOKUP($B137,'Data shares'!$C:$FB,7)</f>
        <v>1663.9</v>
      </c>
      <c r="D137" s="82">
        <f>VLOOKUP($B137,'Data shares'!$C:$FB,98)</f>
        <v>10808800</v>
      </c>
      <c r="E137" s="165">
        <f>VLOOKUP(B137,'Snapshot (Volume)'!$A$7:$G$168,7,0)</f>
        <v>10749600</v>
      </c>
      <c r="F137" s="165">
        <f t="shared" si="45"/>
        <v>59200</v>
      </c>
      <c r="G137" s="166">
        <f t="shared" si="46"/>
        <v>5.5071816625734907E-3</v>
      </c>
      <c r="H137" s="165">
        <f>VLOOKUP($B137,'Data shares'!$C:$FB,66)</f>
        <v>3749600</v>
      </c>
      <c r="I137" s="165">
        <f>VLOOKUP($B137,'Data shares'!$C:$FB,67)</f>
        <v>4150800</v>
      </c>
      <c r="J137" s="81">
        <f t="shared" si="47"/>
        <v>-9.6656066300472201</v>
      </c>
      <c r="K137" s="5">
        <f>VLOOKUP($B137,'Data Vlaue (Cr)'!$C:$FB,99)</f>
        <v>1803</v>
      </c>
      <c r="L137" s="81">
        <f>VLOOKUP(B137,'OI(Value)'!$A$7:$C$209,3,0)</f>
        <v>10</v>
      </c>
      <c r="M137" s="33">
        <f t="shared" si="44"/>
        <v>0.55463117027176934</v>
      </c>
      <c r="N137" s="5">
        <f>VLOOKUP($B137,'Data Vlaue (Cr)'!$C:$FB,67)</f>
        <v>626</v>
      </c>
      <c r="O137" s="5">
        <f>VLOOKUP($B137,'Data Vlaue (Cr)'!$C:$FB,68)</f>
        <v>693</v>
      </c>
      <c r="P137" s="5">
        <f t="shared" si="48"/>
        <v>-10.702875399361023</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Index</v>
      </c>
      <c r="B138" s="79" t="str">
        <f>'Data shares'!C133</f>
        <v>MIDCPNIFTY</v>
      </c>
      <c r="C138" s="4">
        <f>VLOOKUP($B138,'Data shares'!$C:$FB,7)</f>
        <v>13652.3</v>
      </c>
      <c r="D138" s="82">
        <f>VLOOKUP($B138,'Data shares'!$C:$FB,98)</f>
        <v>22432160</v>
      </c>
      <c r="E138" s="165">
        <f>VLOOKUP(B138,'Snapshot (Volume)'!$A$7:$G$168,7,0)</f>
        <v>21434460</v>
      </c>
      <c r="F138" s="165">
        <f t="shared" si="45"/>
        <v>997700</v>
      </c>
      <c r="G138" s="166">
        <f t="shared" si="46"/>
        <v>4.6546542343497338E-2</v>
      </c>
      <c r="H138" s="165">
        <f>VLOOKUP($B138,'Data shares'!$C:$FB,66)</f>
        <v>43679300</v>
      </c>
      <c r="I138" s="165">
        <f>VLOOKUP($B138,'Data shares'!$C:$FB,67)</f>
        <v>38596600</v>
      </c>
      <c r="J138" s="81">
        <f t="shared" si="47"/>
        <v>13.168776524357067</v>
      </c>
      <c r="K138" s="5">
        <f>VLOOKUP($B138,'Data Vlaue (Cr)'!$C:$FB,99)</f>
        <v>30701</v>
      </c>
      <c r="L138" s="81">
        <f>VLOOKUP(B138,'OI(Value)'!$A$7:$C$209,3,0)</f>
        <v>1365</v>
      </c>
      <c r="M138" s="33">
        <f t="shared" si="44"/>
        <v>4.4461092472557899</v>
      </c>
      <c r="N138" s="5">
        <f>VLOOKUP($B138,'Data Vlaue (Cr)'!$C:$FB,67)</f>
        <v>59780</v>
      </c>
      <c r="O138" s="5">
        <f>VLOOKUP($B138,'Data Vlaue (Cr)'!$C:$FB,68)</f>
        <v>52823</v>
      </c>
      <c r="P138" s="5">
        <f t="shared" si="48"/>
        <v>11.637671462027434</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Automobile</v>
      </c>
      <c r="B139" s="79" t="str">
        <f>'Data shares'!C134</f>
        <v>MOTHERSON</v>
      </c>
      <c r="C139" s="4">
        <f>VLOOKUP($B139,'Data shares'!$C:$FB,7)</f>
        <v>119.56</v>
      </c>
      <c r="D139" s="82">
        <f>VLOOKUP($B139,'Data shares'!$C:$FB,98)</f>
        <v>299191350</v>
      </c>
      <c r="E139" s="165">
        <f>VLOOKUP(B139,'Snapshot (Volume)'!$A$7:$G$168,7,0)</f>
        <v>297850650</v>
      </c>
      <c r="F139" s="165">
        <f t="shared" si="45"/>
        <v>1340700</v>
      </c>
      <c r="G139" s="166">
        <f t="shared" si="46"/>
        <v>4.5012491998926308E-3</v>
      </c>
      <c r="H139" s="165">
        <f>VLOOKUP($B139,'Data shares'!$C:$FB,66)</f>
        <v>71260050</v>
      </c>
      <c r="I139" s="165">
        <f>VLOOKUP($B139,'Data shares'!$C:$FB,67)</f>
        <v>46543200</v>
      </c>
      <c r="J139" s="81">
        <f t="shared" si="47"/>
        <v>53.105179704016912</v>
      </c>
      <c r="K139" s="5">
        <f>VLOOKUP($B139,'Data Vlaue (Cr)'!$C:$FB,99)</f>
        <v>3582</v>
      </c>
      <c r="L139" s="81">
        <f>VLOOKUP(B139,'OI(Value)'!$A$7:$C$209,3,0)</f>
        <v>16</v>
      </c>
      <c r="M139" s="33">
        <f t="shared" si="44"/>
        <v>0.44667783361250701</v>
      </c>
      <c r="N139" s="5">
        <f>VLOOKUP($B139,'Data Vlaue (Cr)'!$C:$FB,67)</f>
        <v>853</v>
      </c>
      <c r="O139" s="5">
        <f>VLOOKUP($B139,'Data Vlaue (Cr)'!$C:$FB,68)</f>
        <v>557</v>
      </c>
      <c r="P139" s="5">
        <f t="shared" si="48"/>
        <v>34.7010550996483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Technology</v>
      </c>
      <c r="B140" s="79" t="str">
        <f>'Data shares'!C135</f>
        <v>MPHASIS</v>
      </c>
      <c r="C140" s="79">
        <f>VLOOKUP($B140,'Data shares'!$C:$FB,7)</f>
        <v>2865.3</v>
      </c>
      <c r="D140" s="165">
        <f>VLOOKUP($B140,'Data shares'!$C:$FB,98)</f>
        <v>8825300</v>
      </c>
      <c r="E140" s="165">
        <f>VLOOKUP(B140,'Snapshot (Volume)'!$A$7:$G$168,7,0)</f>
        <v>8731800</v>
      </c>
      <c r="F140" s="165">
        <f>D140-E140</f>
        <v>93500</v>
      </c>
      <c r="G140" s="166">
        <f>F140/E140</f>
        <v>1.070798689846309E-2</v>
      </c>
      <c r="H140" s="165">
        <f>VLOOKUP($B140,'Data shares'!$C:$FB,66)</f>
        <v>2127125</v>
      </c>
      <c r="I140" s="165">
        <f>VLOOKUP($B140,'Data shares'!$C:$FB,67)</f>
        <v>2759900</v>
      </c>
      <c r="J140" s="81">
        <f>(H140-I140)/I140*100</f>
        <v>-22.927461139896373</v>
      </c>
      <c r="K140" s="81">
        <f>VLOOKUP($B140,'Data Vlaue (Cr)'!$C:$FB,99)</f>
        <v>2531</v>
      </c>
      <c r="L140" s="81">
        <f>VLOOKUP(B140,'OI(Value)'!$A$7:$C$209,3,0)</f>
        <v>27</v>
      </c>
      <c r="M140" s="81">
        <f t="shared" si="44"/>
        <v>1.066772026866851</v>
      </c>
      <c r="N140" s="81">
        <f>VLOOKUP($B140,'Data Vlaue (Cr)'!$C:$FB,67)</f>
        <v>610</v>
      </c>
      <c r="O140" s="81">
        <f>VLOOKUP($B140,'Data Vlaue (Cr)'!$C:$FB,68)</f>
        <v>792</v>
      </c>
      <c r="P140" s="81">
        <f>(N140-O140)/N140*100</f>
        <v>-29.836065573770494</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Finance</v>
      </c>
      <c r="B141" s="79" t="str">
        <f>'Data shares'!C136</f>
        <v>MUTHOOTFIN</v>
      </c>
      <c r="C141" s="4">
        <f>VLOOKUP($B141,'Data shares'!$C:$FB,7)</f>
        <v>3766.5</v>
      </c>
      <c r="D141" s="82">
        <f>VLOOKUP($B141,'Data shares'!$C:$FB,98)</f>
        <v>8446075</v>
      </c>
      <c r="E141" s="165">
        <f>VLOOKUP(B141,'Snapshot (Volume)'!$A$7:$G$168,7,0)</f>
        <v>8115250</v>
      </c>
      <c r="F141" s="165">
        <f>D141-E141</f>
        <v>330825</v>
      </c>
      <c r="G141" s="166">
        <f>F141/E141</f>
        <v>4.0765842087427992E-2</v>
      </c>
      <c r="H141" s="165">
        <f>VLOOKUP($B141,'Data shares'!$C:$FB,66)</f>
        <v>11112750</v>
      </c>
      <c r="I141" s="165">
        <f>VLOOKUP($B141,'Data shares'!$C:$FB,67)</f>
        <v>5038825</v>
      </c>
      <c r="J141" s="81">
        <f>(H141-I141)/I141*100</f>
        <v>120.54248758391093</v>
      </c>
      <c r="K141" s="5">
        <f>VLOOKUP($B141,'Data Vlaue (Cr)'!$C:$FB,99)</f>
        <v>3183</v>
      </c>
      <c r="L141" s="81">
        <f>VLOOKUP(B141,'OI(Value)'!$A$7:$C$209,3,0)</f>
        <v>125</v>
      </c>
      <c r="M141" s="33">
        <f t="shared" si="44"/>
        <v>3.9271127866792335</v>
      </c>
      <c r="N141" s="5">
        <f>VLOOKUP($B141,'Data Vlaue (Cr)'!$C:$FB,67)</f>
        <v>4189</v>
      </c>
      <c r="O141" s="5">
        <f>VLOOKUP($B141,'Data Vlaue (Cr)'!$C:$FB,68)</f>
        <v>1899</v>
      </c>
      <c r="P141" s="5">
        <f>(N141-O141)/N141*100</f>
        <v>54.666984960611117</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Metals</v>
      </c>
      <c r="B142" s="79" t="str">
        <f>'Data shares'!C137</f>
        <v>NATIONALUM</v>
      </c>
      <c r="C142" s="4">
        <f>VLOOKUP($B142,'Data shares'!$C:$FB,7)</f>
        <v>279.45</v>
      </c>
      <c r="D142" s="82">
        <f>VLOOKUP($B142,'Data shares'!$C:$FB,98)</f>
        <v>121065000</v>
      </c>
      <c r="E142" s="165">
        <f>VLOOKUP(B142,'Snapshot (Volume)'!$A$7:$G$168,7,0)</f>
        <v>119587500</v>
      </c>
      <c r="F142" s="165">
        <f>D142-E142</f>
        <v>1477500</v>
      </c>
      <c r="G142" s="166">
        <f>F142/E142</f>
        <v>1.2354970210097209E-2</v>
      </c>
      <c r="H142" s="165">
        <f>VLOOKUP($B142,'Data shares'!$C:$FB,66)</f>
        <v>98197500</v>
      </c>
      <c r="I142" s="165">
        <f>VLOOKUP($B142,'Data shares'!$C:$FB,67)</f>
        <v>64965000</v>
      </c>
      <c r="J142" s="81">
        <f>(H142-I142)/I142*100</f>
        <v>51.154467790348647</v>
      </c>
      <c r="K142" s="5">
        <f>VLOOKUP($B142,'Data Vlaue (Cr)'!$C:$FB,99)</f>
        <v>3386</v>
      </c>
      <c r="L142" s="81">
        <f>VLOOKUP(B142,'OI(Value)'!$A$7:$C$209,3,0)</f>
        <v>41</v>
      </c>
      <c r="M142" s="33">
        <f t="shared" si="44"/>
        <v>1.2108682811577083</v>
      </c>
      <c r="N142" s="5">
        <f>VLOOKUP($B142,'Data Vlaue (Cr)'!$C:$FB,67)</f>
        <v>2747</v>
      </c>
      <c r="O142" s="5">
        <f>VLOOKUP($B142,'Data Vlaue (Cr)'!$C:$FB,68)</f>
        <v>1817</v>
      </c>
      <c r="P142" s="5">
        <f>(N142-O142)/N142*100</f>
        <v>33.855114670549689</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New_Age</v>
      </c>
      <c r="B143" s="79" t="str">
        <f>'Data shares'!C138</f>
        <v>NAUKRI</v>
      </c>
      <c r="C143" s="4">
        <f>VLOOKUP($B143,'Data shares'!$C:$FB,7)</f>
        <v>1338.2</v>
      </c>
      <c r="D143" s="82">
        <f>VLOOKUP($B143,'Data shares'!$C:$FB,98)</f>
        <v>13599000</v>
      </c>
      <c r="E143" s="165">
        <f>VLOOKUP(B143,'Snapshot (Volume)'!$A$7:$G$168,7,0)</f>
        <v>13423875</v>
      </c>
      <c r="F143" s="165">
        <f>D143-E143</f>
        <v>175125</v>
      </c>
      <c r="G143" s="166">
        <f>F143/E143</f>
        <v>1.3045785959717294E-2</v>
      </c>
      <c r="H143" s="165">
        <f>VLOOKUP($B143,'Data shares'!$C:$FB,66)</f>
        <v>3103125</v>
      </c>
      <c r="I143" s="165">
        <f>VLOOKUP($B143,'Data shares'!$C:$FB,67)</f>
        <v>3079500</v>
      </c>
      <c r="J143" s="81">
        <f>(H143-I143)/I143*100</f>
        <v>0.76716999512907946</v>
      </c>
      <c r="K143" s="5">
        <f>VLOOKUP($B143,'Data Vlaue (Cr)'!$C:$FB,99)</f>
        <v>1827</v>
      </c>
      <c r="L143" s="81">
        <f>VLOOKUP(B143,'OI(Value)'!$A$7:$C$209,3,0)</f>
        <v>24</v>
      </c>
      <c r="M143" s="33">
        <f t="shared" si="44"/>
        <v>1.3136288998357963</v>
      </c>
      <c r="N143" s="5">
        <f>VLOOKUP($B143,'Data Vlaue (Cr)'!$C:$FB,67)</f>
        <v>417</v>
      </c>
      <c r="O143" s="5">
        <f>VLOOKUP($B143,'Data Vlaue (Cr)'!$C:$FB,68)</f>
        <v>414</v>
      </c>
      <c r="P143" s="5">
        <f>(N143-O143)/N143*100</f>
        <v>0.71942446043165476</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Realty</v>
      </c>
      <c r="B144" s="79" t="str">
        <f>'Data shares'!C139</f>
        <v>NBCC</v>
      </c>
      <c r="C144" s="4">
        <f>VLOOKUP($B144,'Data shares'!$C:$FB,7)</f>
        <v>109.56</v>
      </c>
      <c r="D144" s="82">
        <f>VLOOKUP($B144,'Data shares'!$C:$FB,98)</f>
        <v>169097500</v>
      </c>
      <c r="E144" s="165">
        <f>VLOOKUP(B144,'Snapshot (Volume)'!$A$7:$G$168,7,0)</f>
        <v>156123500</v>
      </c>
      <c r="F144" s="165">
        <f>D144-E144</f>
        <v>12974000</v>
      </c>
      <c r="G144" s="166">
        <f>F144/E144</f>
        <v>8.3100878471210296E-2</v>
      </c>
      <c r="H144" s="165">
        <f>VLOOKUP($B144,'Data shares'!$C:$FB,66)</f>
        <v>79319500</v>
      </c>
      <c r="I144" s="165">
        <f>VLOOKUP($B144,'Data shares'!$C:$FB,67)</f>
        <v>107594500</v>
      </c>
      <c r="J144" s="81">
        <f>(H144-I144)/I144*100</f>
        <v>-26.279224309792788</v>
      </c>
      <c r="K144" s="5">
        <f>VLOOKUP($B144,'Data Vlaue (Cr)'!$C:$FB,99)</f>
        <v>1855</v>
      </c>
      <c r="L144" s="81">
        <f>VLOOKUP(B144,'OI(Value)'!$A$7:$C$209,3,0)</f>
        <v>142</v>
      </c>
      <c r="M144" s="33">
        <f t="shared" si="44"/>
        <v>7.6549865229110514</v>
      </c>
      <c r="N144" s="5">
        <f>VLOOKUP($B144,'Data Vlaue (Cr)'!$C:$FB,67)</f>
        <v>870</v>
      </c>
      <c r="O144" s="5">
        <f>VLOOKUP($B144,'Data Vlaue (Cr)'!$C:$FB,68)</f>
        <v>1180</v>
      </c>
      <c r="P144" s="5">
        <f>(N144-O144)/N144*100</f>
        <v>-35.632183908045981</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Infrastructure</v>
      </c>
      <c r="B145" s="79" t="str">
        <f>'Data shares'!C140</f>
        <v>NCC</v>
      </c>
      <c r="C145" s="4">
        <f>VLOOKUP($B145,'Data shares'!$C:$FB,7)</f>
        <v>155.32</v>
      </c>
      <c r="D145" s="82">
        <f>VLOOKUP($B145,'Data shares'!$C:$FB,98)</f>
        <v>55995300</v>
      </c>
      <c r="E145" s="165">
        <f>VLOOKUP(B145,'Snapshot (Volume)'!$A$7:$G$168,7,0)</f>
        <v>56897100</v>
      </c>
      <c r="F145" s="165">
        <f t="shared" ref="F145:F152" si="49">D145-E145</f>
        <v>-901800</v>
      </c>
      <c r="G145" s="166">
        <f t="shared" ref="G145:G153" si="50">F145/E145</f>
        <v>-1.5849665448678402E-2</v>
      </c>
      <c r="H145" s="165">
        <f>VLOOKUP($B145,'Data shares'!$C:$FB,66)</f>
        <v>20160900</v>
      </c>
      <c r="I145" s="165">
        <f>VLOOKUP($B145,'Data shares'!$C:$FB,67)</f>
        <v>19402200</v>
      </c>
      <c r="J145" s="81">
        <f t="shared" ref="J145:J153" si="51">(H145-I145)/I145*100</f>
        <v>3.9103812969663232</v>
      </c>
      <c r="K145" s="5">
        <f>VLOOKUP($B145,'Data Vlaue (Cr)'!$C:$FB,99)</f>
        <v>873</v>
      </c>
      <c r="L145" s="81">
        <f>VLOOKUP(B145,'OI(Value)'!$A$7:$C$209,3,0)</f>
        <v>-14</v>
      </c>
      <c r="M145" s="33">
        <f t="shared" ref="M145:M153" si="52">L145/K145*100</f>
        <v>-1.6036655211912942</v>
      </c>
      <c r="N145" s="5">
        <f>VLOOKUP($B145,'Data Vlaue (Cr)'!$C:$FB,67)</f>
        <v>314</v>
      </c>
      <c r="O145" s="5">
        <f>VLOOKUP($B145,'Data Vlaue (Cr)'!$C:$FB,68)</f>
        <v>303</v>
      </c>
      <c r="P145" s="5">
        <f t="shared" ref="P145:P152" si="53">(N145-O145)/N145*100</f>
        <v>3.5031847133757963</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FMCG</v>
      </c>
      <c r="B146" s="79" t="str">
        <f>'Data shares'!C141</f>
        <v>NESTLEIND</v>
      </c>
      <c r="C146" s="4">
        <f>VLOOKUP($B146,'Data shares'!$C:$FB,7)</f>
        <v>1234.5999999999999</v>
      </c>
      <c r="D146" s="82">
        <f>VLOOKUP($B146,'Data shares'!$C:$FB,98)</f>
        <v>26070000</v>
      </c>
      <c r="E146" s="165">
        <f>VLOOKUP(B146,'Snapshot (Volume)'!$A$7:$G$168,7,0)</f>
        <v>25681500</v>
      </c>
      <c r="F146" s="165">
        <f t="shared" si="49"/>
        <v>388500</v>
      </c>
      <c r="G146" s="166">
        <f t="shared" si="50"/>
        <v>1.5127621050172303E-2</v>
      </c>
      <c r="H146" s="165">
        <f>VLOOKUP($B146,'Data shares'!$C:$FB,66)</f>
        <v>8468000</v>
      </c>
      <c r="I146" s="165">
        <f>VLOOKUP($B146,'Data shares'!$C:$FB,67)</f>
        <v>14764000</v>
      </c>
      <c r="J146" s="81">
        <f t="shared" si="51"/>
        <v>-42.644269845570307</v>
      </c>
      <c r="K146" s="5">
        <f>VLOOKUP($B146,'Data Vlaue (Cr)'!$C:$FB,99)</f>
        <v>3222</v>
      </c>
      <c r="L146" s="81">
        <f>VLOOKUP(B146,'OI(Value)'!$A$7:$C$209,3,0)</f>
        <v>48</v>
      </c>
      <c r="M146" s="33">
        <f t="shared" si="52"/>
        <v>1.4897579143389199</v>
      </c>
      <c r="N146" s="5">
        <f>VLOOKUP($B146,'Data Vlaue (Cr)'!$C:$FB,67)</f>
        <v>1047</v>
      </c>
      <c r="O146" s="5">
        <f>VLOOKUP($B146,'Data Vlaue (Cr)'!$C:$FB,68)</f>
        <v>1825</v>
      </c>
      <c r="P146" s="5">
        <f t="shared" si="53"/>
        <v>-74.307545367717282</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Power</v>
      </c>
      <c r="B147" s="79" t="str">
        <f>'Data shares'!C142</f>
        <v>NHPC</v>
      </c>
      <c r="C147" s="4">
        <f>VLOOKUP($B147,'Data shares'!$C:$FB,7)</f>
        <v>75.39</v>
      </c>
      <c r="D147" s="82">
        <f>VLOOKUP($B147,'Data shares'!$C:$FB,98)</f>
        <v>141932800</v>
      </c>
      <c r="E147" s="165">
        <f>VLOOKUP(B147,'Snapshot (Volume)'!$A$7:$G$168,7,0)</f>
        <v>142201600</v>
      </c>
      <c r="F147" s="165">
        <f t="shared" si="49"/>
        <v>-268800</v>
      </c>
      <c r="G147" s="166">
        <f t="shared" si="50"/>
        <v>-1.8902740897430127E-3</v>
      </c>
      <c r="H147" s="165">
        <f>VLOOKUP($B147,'Data shares'!$C:$FB,66)</f>
        <v>38329600</v>
      </c>
      <c r="I147" s="165">
        <f>VLOOKUP($B147,'Data shares'!$C:$FB,67)</f>
        <v>31648000</v>
      </c>
      <c r="J147" s="81">
        <f t="shared" si="51"/>
        <v>21.112234580384225</v>
      </c>
      <c r="K147" s="5">
        <f>VLOOKUP($B147,'Data Vlaue (Cr)'!$C:$FB,99)</f>
        <v>1073</v>
      </c>
      <c r="L147" s="81">
        <f>VLOOKUP(B147,'OI(Value)'!$A$7:$C$209,3,0)</f>
        <v>-2</v>
      </c>
      <c r="M147" s="33">
        <f t="shared" si="52"/>
        <v>-0.1863932898415657</v>
      </c>
      <c r="N147" s="5">
        <f>VLOOKUP($B147,'Data Vlaue (Cr)'!$C:$FB,67)</f>
        <v>290</v>
      </c>
      <c r="O147" s="5">
        <f>VLOOKUP($B147,'Data Vlaue (Cr)'!$C:$FB,68)</f>
        <v>239</v>
      </c>
      <c r="P147" s="5">
        <f t="shared" si="53"/>
        <v>17.586206896551722</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Index</v>
      </c>
      <c r="B148" s="79" t="str">
        <f>'Data shares'!C143</f>
        <v>NIFTY</v>
      </c>
      <c r="C148" s="4">
        <f>VLOOKUP($B148,'Data shares'!$C:$FB,7)</f>
        <v>25818.55</v>
      </c>
      <c r="D148" s="82">
        <f>VLOOKUP($B148,'Data shares'!$C:$FB,98)</f>
        <v>453053130</v>
      </c>
      <c r="E148" s="165">
        <f>VLOOKUP(B148,'Snapshot (Volume)'!$A$7:$G$168,7,0)</f>
        <v>645404035</v>
      </c>
      <c r="F148" s="165">
        <f t="shared" si="49"/>
        <v>-192350905</v>
      </c>
      <c r="G148" s="166">
        <f t="shared" si="50"/>
        <v>-0.29803176703101958</v>
      </c>
      <c r="H148" s="165">
        <f>VLOOKUP($B148,'Data shares'!$C:$FB,66)</f>
        <v>3543722625</v>
      </c>
      <c r="I148" s="165">
        <f>VLOOKUP($B148,'Data shares'!$C:$FB,67)</f>
        <v>19877074800</v>
      </c>
      <c r="J148" s="81">
        <f t="shared" si="51"/>
        <v>-82.171810185068068</v>
      </c>
      <c r="K148" s="5">
        <f>VLOOKUP($B148,'Data Vlaue (Cr)'!$C:$FB,99)</f>
        <v>1173308</v>
      </c>
      <c r="L148" s="81">
        <f>VLOOKUP(B148,'OI(Value)'!$A$7:$C$209,3,0)</f>
        <v>-498147</v>
      </c>
      <c r="M148" s="33">
        <f t="shared" si="52"/>
        <v>-42.456626904444526</v>
      </c>
      <c r="N148" s="5">
        <f>VLOOKUP($B148,'Data Vlaue (Cr)'!$C:$FB,67)</f>
        <v>9177462</v>
      </c>
      <c r="O148" s="5">
        <f>VLOOKUP($B148,'Data Vlaue (Cr)'!$C:$FB,68)</f>
        <v>51477251</v>
      </c>
      <c r="P148" s="5">
        <f t="shared" si="53"/>
        <v>-460.90944315541702</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NIFTYNXT50</v>
      </c>
      <c r="C149" s="4">
        <f>VLOOKUP($B149,'Data shares'!$C:$FB,7)</f>
        <v>68076.850000000006</v>
      </c>
      <c r="D149" s="82">
        <f>VLOOKUP($B149,'Data shares'!$C:$FB,98)</f>
        <v>60700</v>
      </c>
      <c r="E149" s="165">
        <f>VLOOKUP(B149,'Snapshot (Volume)'!$A$7:$G$168,7,0)</f>
        <v>58275</v>
      </c>
      <c r="F149" s="165">
        <f t="shared" si="49"/>
        <v>2425</v>
      </c>
      <c r="G149" s="166">
        <f t="shared" si="50"/>
        <v>4.1613041613041614E-2</v>
      </c>
      <c r="H149" s="165">
        <f>VLOOKUP($B149,'Data shares'!$C:$FB,66)</f>
        <v>26775</v>
      </c>
      <c r="I149" s="165">
        <f>VLOOKUP($B149,'Data shares'!$C:$FB,67)</f>
        <v>19800</v>
      </c>
      <c r="J149" s="81">
        <f t="shared" si="51"/>
        <v>35.227272727272727</v>
      </c>
      <c r="K149" s="5">
        <f>VLOOKUP($B149,'Data Vlaue (Cr)'!$C:$FB,99)</f>
        <v>414</v>
      </c>
      <c r="L149" s="81">
        <f>VLOOKUP(B149,'OI(Value)'!$A$7:$C$209,3,0)</f>
        <v>17</v>
      </c>
      <c r="M149" s="33">
        <f t="shared" si="52"/>
        <v>4.1062801932367154</v>
      </c>
      <c r="N149" s="5">
        <f>VLOOKUP($B149,'Data Vlaue (Cr)'!$C:$FB,67)</f>
        <v>183</v>
      </c>
      <c r="O149" s="5">
        <f>VLOOKUP($B149,'Data Vlaue (Cr)'!$C:$FB,68)</f>
        <v>135</v>
      </c>
      <c r="P149" s="5">
        <f t="shared" si="53"/>
        <v>26.229508196721312</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Metals</v>
      </c>
      <c r="B150" s="79" t="str">
        <f>'Data shares'!C145</f>
        <v>NMDC</v>
      </c>
      <c r="C150" s="4">
        <f>VLOOKUP($B150,'Data shares'!$C:$FB,7)</f>
        <v>77.28</v>
      </c>
      <c r="D150" s="82">
        <f>VLOOKUP($B150,'Data shares'!$C:$FB,98)</f>
        <v>517880250</v>
      </c>
      <c r="E150" s="165">
        <f>VLOOKUP(B150,'Snapshot (Volume)'!$A$7:$G$168,7,0)</f>
        <v>506297250</v>
      </c>
      <c r="F150" s="165">
        <f t="shared" si="49"/>
        <v>11583000</v>
      </c>
      <c r="G150" s="166">
        <f t="shared" si="50"/>
        <v>2.2877864732624955E-2</v>
      </c>
      <c r="H150" s="165">
        <f>VLOOKUP($B150,'Data shares'!$C:$FB,66)</f>
        <v>122688000</v>
      </c>
      <c r="I150" s="165">
        <f>VLOOKUP($B150,'Data shares'!$C:$FB,67)</f>
        <v>137929500</v>
      </c>
      <c r="J150" s="81">
        <f t="shared" si="51"/>
        <v>-11.050210433591074</v>
      </c>
      <c r="K150" s="5">
        <f>VLOOKUP($B150,'Data Vlaue (Cr)'!$C:$FB,99)</f>
        <v>4006</v>
      </c>
      <c r="L150" s="81">
        <f>VLOOKUP(B150,'OI(Value)'!$A$7:$C$209,3,0)</f>
        <v>90</v>
      </c>
      <c r="M150" s="33">
        <f t="shared" si="52"/>
        <v>2.2466300549176239</v>
      </c>
      <c r="N150" s="5">
        <f>VLOOKUP($B150,'Data Vlaue (Cr)'!$C:$FB,67)</f>
        <v>949</v>
      </c>
      <c r="O150" s="5">
        <f>VLOOKUP($B150,'Data Vlaue (Cr)'!$C:$FB,68)</f>
        <v>1067</v>
      </c>
      <c r="P150" s="5">
        <f t="shared" si="53"/>
        <v>-12.434141201264488</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Power</v>
      </c>
      <c r="B151" s="79" t="str">
        <f>'Data shares'!C146</f>
        <v>NTPC</v>
      </c>
      <c r="C151" s="4">
        <f>VLOOKUP($B151,'Data shares'!$C:$FB,7)</f>
        <v>321.25</v>
      </c>
      <c r="D151" s="82">
        <f>VLOOKUP($B151,'Data shares'!$C:$FB,98)</f>
        <v>148477500</v>
      </c>
      <c r="E151" s="165">
        <f>VLOOKUP(B151,'Snapshot (Volume)'!$A$7:$G$168,7,0)</f>
        <v>148848000</v>
      </c>
      <c r="F151" s="165">
        <f t="shared" si="49"/>
        <v>-370500</v>
      </c>
      <c r="G151" s="166">
        <f t="shared" si="50"/>
        <v>-2.4891164140599807E-3</v>
      </c>
      <c r="H151" s="165">
        <f>VLOOKUP($B151,'Data shares'!$C:$FB,66)</f>
        <v>27538500</v>
      </c>
      <c r="I151" s="165">
        <f>VLOOKUP($B151,'Data shares'!$C:$FB,67)</f>
        <v>37863000</v>
      </c>
      <c r="J151" s="81">
        <f t="shared" si="51"/>
        <v>-27.268045321289915</v>
      </c>
      <c r="K151" s="5">
        <f>VLOOKUP($B151,'Data Vlaue (Cr)'!$C:$FB,99)</f>
        <v>4774</v>
      </c>
      <c r="L151" s="81">
        <f>VLOOKUP(B151,'OI(Value)'!$A$7:$C$209,3,0)</f>
        <v>-12</v>
      </c>
      <c r="M151" s="33">
        <f t="shared" si="52"/>
        <v>-0.25136154168412234</v>
      </c>
      <c r="N151" s="5">
        <f>VLOOKUP($B151,'Data Vlaue (Cr)'!$C:$FB,67)</f>
        <v>885</v>
      </c>
      <c r="O151" s="5">
        <f>VLOOKUP($B151,'Data Vlaue (Cr)'!$C:$FB,68)</f>
        <v>1217</v>
      </c>
      <c r="P151" s="5">
        <f t="shared" si="53"/>
        <v>-37.514124293785315</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Finance</v>
      </c>
      <c r="B152" s="79" t="str">
        <f>'Data shares'!C147</f>
        <v>NUVAMA</v>
      </c>
      <c r="C152" s="4">
        <f>VLOOKUP($B152,'Data shares'!$C:$FB,7)</f>
        <v>7171</v>
      </c>
      <c r="D152" s="82">
        <f>VLOOKUP($B152,'Data shares'!$C:$FB,98)</f>
        <v>882575</v>
      </c>
      <c r="E152" s="165">
        <f>VLOOKUP(B152,'Snapshot (Volume)'!$A$7:$G$168,7,0)</f>
        <v>842450</v>
      </c>
      <c r="F152" s="165">
        <f t="shared" si="49"/>
        <v>40125</v>
      </c>
      <c r="G152" s="166">
        <f t="shared" si="50"/>
        <v>4.7628939402931926E-2</v>
      </c>
      <c r="H152" s="165">
        <f>VLOOKUP($B152,'Data shares'!$C:$FB,66)</f>
        <v>553725</v>
      </c>
      <c r="I152" s="165">
        <f>VLOOKUP($B152,'Data shares'!$C:$FB,67)</f>
        <v>446100</v>
      </c>
      <c r="J152" s="81">
        <f t="shared" si="51"/>
        <v>24.125756556825824</v>
      </c>
      <c r="K152" s="5">
        <f>VLOOKUP($B152,'Data Vlaue (Cr)'!$C:$FB,99)</f>
        <v>636</v>
      </c>
      <c r="L152" s="81">
        <f>VLOOKUP(B152,'OI(Value)'!$A$7:$C$209,3,0)</f>
        <v>29</v>
      </c>
      <c r="M152" s="33">
        <f t="shared" si="52"/>
        <v>4.5597484276729556</v>
      </c>
      <c r="N152" s="5">
        <f>VLOOKUP($B152,'Data Vlaue (Cr)'!$C:$FB,67)</f>
        <v>399</v>
      </c>
      <c r="O152" s="5">
        <f>VLOOKUP($B152,'Data Vlaue (Cr)'!$C:$FB,68)</f>
        <v>321</v>
      </c>
      <c r="P152" s="5">
        <f t="shared" si="53"/>
        <v>19.548872180451127</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New_Age</v>
      </c>
      <c r="B153" s="79" t="str">
        <f>'Data shares'!C148</f>
        <v>NYKAA</v>
      </c>
      <c r="C153" s="4">
        <f>VLOOKUP($B153,'Data shares'!$C:$FB,7)</f>
        <v>245.1</v>
      </c>
      <c r="D153" s="82">
        <f>VLOOKUP($B153,'Data shares'!$C:$FB,98)</f>
        <v>88103125</v>
      </c>
      <c r="E153" s="165">
        <f>VLOOKUP(B153,'Snapshot (Volume)'!$A$7:$G$168,7,0)</f>
        <v>88065625</v>
      </c>
      <c r="F153" s="165">
        <f>D153-E153</f>
        <v>37500</v>
      </c>
      <c r="G153" s="166">
        <f t="shared" si="50"/>
        <v>4.2581881409460277E-4</v>
      </c>
      <c r="H153" s="165">
        <f>VLOOKUP($B153,'Data shares'!$C:$FB,66)</f>
        <v>21200000</v>
      </c>
      <c r="I153" s="165">
        <f>VLOOKUP($B153,'Data shares'!$C:$FB,67)</f>
        <v>29740625</v>
      </c>
      <c r="J153" s="81">
        <f t="shared" si="51"/>
        <v>-28.71703267836503</v>
      </c>
      <c r="K153" s="5">
        <f>VLOOKUP($B153,'Data Vlaue (Cr)'!$C:$FB,99)</f>
        <v>2168</v>
      </c>
      <c r="L153" s="81">
        <f>VLOOKUP(B153,'OI(Value)'!$A$7:$C$209,3,0)</f>
        <v>1</v>
      </c>
      <c r="M153" s="33">
        <f t="shared" si="52"/>
        <v>4.6125461254612546E-2</v>
      </c>
      <c r="N153" s="5">
        <f>VLOOKUP($B153,'Data Vlaue (Cr)'!$C:$FB,67)</f>
        <v>522</v>
      </c>
      <c r="O153" s="5">
        <f>VLOOKUP($B153,'Data Vlaue (Cr)'!$C:$FB,68)</f>
        <v>732</v>
      </c>
      <c r="P153" s="5">
        <f>(N153-O153)/N153*100</f>
        <v>-40.229885057471265</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Realty</v>
      </c>
      <c r="B154" s="79" t="str">
        <f>'Data shares'!C149</f>
        <v>OBEROIRLTY</v>
      </c>
      <c r="C154" s="4">
        <f>VLOOKUP($B154,'Data shares'!$C:$FB,7)</f>
        <v>1609.9</v>
      </c>
      <c r="D154" s="82">
        <f>VLOOKUP($B154,'Data shares'!$C:$FB,98)</f>
        <v>8207150</v>
      </c>
      <c r="E154" s="165">
        <f>VLOOKUP(B154,'Snapshot (Volume)'!$A$7:$G$168,7,0)</f>
        <v>8111950</v>
      </c>
      <c r="F154" s="165">
        <f t="shared" ref="F154:F166" si="54">D154-E154</f>
        <v>95200</v>
      </c>
      <c r="G154" s="166">
        <f t="shared" ref="G154:G166" si="55">F154/E154</f>
        <v>1.1735772533114726E-2</v>
      </c>
      <c r="H154" s="165">
        <f>VLOOKUP($B154,'Data shares'!$C:$FB,66)</f>
        <v>2490600</v>
      </c>
      <c r="I154" s="165">
        <f>VLOOKUP($B154,'Data shares'!$C:$FB,67)</f>
        <v>2061500</v>
      </c>
      <c r="J154" s="81">
        <f t="shared" ref="J154:J166" si="56">(H154-I154)/I154*100</f>
        <v>20.814940577249573</v>
      </c>
      <c r="K154" s="5">
        <f>VLOOKUP($B154,'Data Vlaue (Cr)'!$C:$FB,99)</f>
        <v>1321</v>
      </c>
      <c r="L154" s="81">
        <f>VLOOKUP(B154,'OI(Value)'!$A$7:$C$209,3,0)</f>
        <v>15</v>
      </c>
      <c r="M154" s="33">
        <f t="shared" ref="M154:M166" si="57">L154/K154*100</f>
        <v>1.1355034065102196</v>
      </c>
      <c r="N154" s="5">
        <f>VLOOKUP($B154,'Data Vlaue (Cr)'!$C:$FB,67)</f>
        <v>401</v>
      </c>
      <c r="O154" s="5">
        <f>VLOOKUP($B154,'Data Vlaue (Cr)'!$C:$FB,68)</f>
        <v>332</v>
      </c>
      <c r="P154" s="5">
        <f t="shared" ref="P154:P161" si="58">(N154-O154)/N154*100</f>
        <v>17.206982543640898</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Technology</v>
      </c>
      <c r="B155" s="79" t="str">
        <f>'Data shares'!C150</f>
        <v>OFSS</v>
      </c>
      <c r="C155" s="4">
        <f>VLOOKUP($B155,'Data shares'!$C:$FB,7)</f>
        <v>7712.5</v>
      </c>
      <c r="D155" s="82">
        <f>VLOOKUP($B155,'Data shares'!$C:$FB,98)</f>
        <v>2753925</v>
      </c>
      <c r="E155" s="165">
        <f>VLOOKUP(B155,'Snapshot (Volume)'!$A$7:$G$168,7,0)</f>
        <v>2710650</v>
      </c>
      <c r="F155" s="165">
        <f t="shared" si="54"/>
        <v>43275</v>
      </c>
      <c r="G155" s="166">
        <f t="shared" si="55"/>
        <v>1.5964805489458247E-2</v>
      </c>
      <c r="H155" s="165">
        <f>VLOOKUP($B155,'Data shares'!$C:$FB,66)</f>
        <v>1397925</v>
      </c>
      <c r="I155" s="165">
        <f>VLOOKUP($B155,'Data shares'!$C:$FB,67)</f>
        <v>1529850</v>
      </c>
      <c r="J155" s="81">
        <f t="shared" si="56"/>
        <v>-8.6233944504363169</v>
      </c>
      <c r="K155" s="5">
        <f>VLOOKUP($B155,'Data Vlaue (Cr)'!$C:$FB,99)</f>
        <v>2128</v>
      </c>
      <c r="L155" s="81">
        <f>VLOOKUP(B155,'OI(Value)'!$A$7:$C$209,3,0)</f>
        <v>33</v>
      </c>
      <c r="M155" s="33">
        <f t="shared" si="57"/>
        <v>1.5507518796992481</v>
      </c>
      <c r="N155" s="5">
        <f>VLOOKUP($B155,'Data Vlaue (Cr)'!$C:$FB,67)</f>
        <v>1080</v>
      </c>
      <c r="O155" s="5">
        <f>VLOOKUP($B155,'Data Vlaue (Cr)'!$C:$FB,68)</f>
        <v>1182</v>
      </c>
      <c r="P155" s="5">
        <f t="shared" si="58"/>
        <v>-9.4444444444444446</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Oil_Gas</v>
      </c>
      <c r="B156" s="79" t="str">
        <f>'Data shares'!C151</f>
        <v>OIL</v>
      </c>
      <c r="C156" s="4">
        <f>VLOOKUP($B156,'Data shares'!$C:$FB,7)</f>
        <v>398.15</v>
      </c>
      <c r="D156" s="82">
        <f>VLOOKUP($B156,'Data shares'!$C:$FB,98)</f>
        <v>22303400</v>
      </c>
      <c r="E156" s="165">
        <f>VLOOKUP(B156,'Snapshot (Volume)'!$A$7:$G$168,7,0)</f>
        <v>21478800</v>
      </c>
      <c r="F156" s="165">
        <f t="shared" si="54"/>
        <v>824600</v>
      </c>
      <c r="G156" s="166">
        <f t="shared" si="55"/>
        <v>3.8391344022943551E-2</v>
      </c>
      <c r="H156" s="165">
        <f>VLOOKUP($B156,'Data shares'!$C:$FB,66)</f>
        <v>6237000</v>
      </c>
      <c r="I156" s="165">
        <f>VLOOKUP($B156,'Data shares'!$C:$FB,67)</f>
        <v>3932600</v>
      </c>
      <c r="J156" s="81">
        <f t="shared" si="56"/>
        <v>58.597365610537558</v>
      </c>
      <c r="K156" s="5">
        <f>VLOOKUP($B156,'Data Vlaue (Cr)'!$C:$FB,99)</f>
        <v>888</v>
      </c>
      <c r="L156" s="81">
        <f>VLOOKUP(B156,'OI(Value)'!$A$7:$C$209,3,0)</f>
        <v>33</v>
      </c>
      <c r="M156" s="33">
        <f t="shared" si="57"/>
        <v>3.7162162162162162</v>
      </c>
      <c r="N156" s="5">
        <f>VLOOKUP($B156,'Data Vlaue (Cr)'!$C:$FB,67)</f>
        <v>248</v>
      </c>
      <c r="O156" s="5">
        <f>VLOOKUP($B156,'Data Vlaue (Cr)'!$C:$FB,68)</f>
        <v>157</v>
      </c>
      <c r="P156" s="5">
        <f t="shared" si="58"/>
        <v>36.693548387096776</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ONGC</v>
      </c>
      <c r="C157" s="4">
        <f>VLOOKUP($B157,'Data shares'!$C:$FB,7)</f>
        <v>232.91</v>
      </c>
      <c r="D157" s="82">
        <f>VLOOKUP($B157,'Data shares'!$C:$FB,98)</f>
        <v>191153250</v>
      </c>
      <c r="E157" s="165">
        <f>VLOOKUP(B157,'Snapshot (Volume)'!$A$7:$G$168,7,0)</f>
        <v>187094250</v>
      </c>
      <c r="F157" s="165">
        <f t="shared" si="54"/>
        <v>4059000</v>
      </c>
      <c r="G157" s="166">
        <f t="shared" si="55"/>
        <v>2.1694947867184587E-2</v>
      </c>
      <c r="H157" s="165">
        <f>VLOOKUP($B157,'Data shares'!$C:$FB,66)</f>
        <v>68886000</v>
      </c>
      <c r="I157" s="165">
        <f>VLOOKUP($B157,'Data shares'!$C:$FB,67)</f>
        <v>62286750</v>
      </c>
      <c r="J157" s="81">
        <f t="shared" si="56"/>
        <v>10.594949969295236</v>
      </c>
      <c r="K157" s="5">
        <f>VLOOKUP($B157,'Data Vlaue (Cr)'!$C:$FB,99)</f>
        <v>4457</v>
      </c>
      <c r="L157" s="81">
        <f>VLOOKUP(B157,'OI(Value)'!$A$7:$C$209,3,0)</f>
        <v>95</v>
      </c>
      <c r="M157" s="33">
        <f t="shared" si="57"/>
        <v>2.1314785730311869</v>
      </c>
      <c r="N157" s="5">
        <f>VLOOKUP($B157,'Data Vlaue (Cr)'!$C:$FB,67)</f>
        <v>1606</v>
      </c>
      <c r="O157" s="5">
        <f>VLOOKUP($B157,'Data Vlaue (Cr)'!$C:$FB,68)</f>
        <v>1452</v>
      </c>
      <c r="P157" s="5">
        <f t="shared" si="58"/>
        <v>9.5890410958904102</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Textile</v>
      </c>
      <c r="B158" s="79" t="str">
        <f>'Data shares'!C153</f>
        <v>PAGEIND</v>
      </c>
      <c r="C158" s="4">
        <f>VLOOKUP($B158,'Data shares'!$C:$FB,7)</f>
        <v>36055</v>
      </c>
      <c r="D158" s="82">
        <f>VLOOKUP($B158,'Data shares'!$C:$FB,98)</f>
        <v>455415</v>
      </c>
      <c r="E158" s="165">
        <f>VLOOKUP(B158,'Snapshot (Volume)'!$A$7:$G$168,7,0)</f>
        <v>436785</v>
      </c>
      <c r="F158" s="165">
        <f t="shared" si="54"/>
        <v>18630</v>
      </c>
      <c r="G158" s="166">
        <f t="shared" si="55"/>
        <v>4.2652563618256124E-2</v>
      </c>
      <c r="H158" s="165">
        <f>VLOOKUP($B158,'Data shares'!$C:$FB,66)</f>
        <v>216180</v>
      </c>
      <c r="I158" s="165">
        <f>VLOOKUP($B158,'Data shares'!$C:$FB,67)</f>
        <v>148770</v>
      </c>
      <c r="J158" s="81">
        <f t="shared" si="56"/>
        <v>45.311554748941319</v>
      </c>
      <c r="K158" s="5">
        <f>VLOOKUP($B158,'Data Vlaue (Cr)'!$C:$FB,99)</f>
        <v>1643</v>
      </c>
      <c r="L158" s="81">
        <f>VLOOKUP(B158,'OI(Value)'!$A$7:$C$209,3,0)</f>
        <v>67</v>
      </c>
      <c r="M158" s="33">
        <f t="shared" si="57"/>
        <v>4.0779062690200849</v>
      </c>
      <c r="N158" s="5">
        <f>VLOOKUP($B158,'Data Vlaue (Cr)'!$C:$FB,67)</f>
        <v>780</v>
      </c>
      <c r="O158" s="5">
        <f>VLOOKUP($B158,'Data Vlaue (Cr)'!$C:$FB,68)</f>
        <v>537</v>
      </c>
      <c r="P158" s="5">
        <f t="shared" si="58"/>
        <v>31.153846153846153</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FMCG</v>
      </c>
      <c r="B159" s="79" t="str">
        <f>'Data shares'!C154</f>
        <v>PATANJALI</v>
      </c>
      <c r="C159" s="4">
        <f>VLOOKUP($B159,'Data shares'!$C:$FB,7)</f>
        <v>543.9</v>
      </c>
      <c r="D159" s="82">
        <f>VLOOKUP($B159,'Data shares'!$C:$FB,98)</f>
        <v>49038300</v>
      </c>
      <c r="E159" s="165">
        <f>VLOOKUP(B159,'Snapshot (Volume)'!$A$7:$G$168,7,0)</f>
        <v>47429100</v>
      </c>
      <c r="F159" s="165">
        <f t="shared" si="54"/>
        <v>1609200</v>
      </c>
      <c r="G159" s="166">
        <f t="shared" si="55"/>
        <v>3.3928537543406898E-2</v>
      </c>
      <c r="H159" s="165">
        <f>VLOOKUP($B159,'Data shares'!$C:$FB,66)</f>
        <v>24479100</v>
      </c>
      <c r="I159" s="165">
        <f>VLOOKUP($B159,'Data shares'!$C:$FB,67)</f>
        <v>16521300</v>
      </c>
      <c r="J159" s="81">
        <f t="shared" si="56"/>
        <v>48.166911804761128</v>
      </c>
      <c r="K159" s="5">
        <f>VLOOKUP($B159,'Data Vlaue (Cr)'!$C:$FB,99)</f>
        <v>2671</v>
      </c>
      <c r="L159" s="81">
        <f>VLOOKUP(B159,'OI(Value)'!$A$7:$C$209,3,0)</f>
        <v>88</v>
      </c>
      <c r="M159" s="33">
        <f t="shared" si="57"/>
        <v>3.294646199925122</v>
      </c>
      <c r="N159" s="5">
        <f>VLOOKUP($B159,'Data Vlaue (Cr)'!$C:$FB,67)</f>
        <v>1333</v>
      </c>
      <c r="O159" s="5">
        <f>VLOOKUP($B159,'Data Vlaue (Cr)'!$C:$FB,68)</f>
        <v>900</v>
      </c>
      <c r="P159" s="5">
        <f t="shared" si="58"/>
        <v>32.483120780195044</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New_Age</v>
      </c>
      <c r="B160" s="79" t="str">
        <f>'Data shares'!C155</f>
        <v>PAYTM</v>
      </c>
      <c r="C160" s="4">
        <f>VLOOKUP($B160,'Data shares'!$C:$FB,7)</f>
        <v>1268.5999999999999</v>
      </c>
      <c r="D160" s="82">
        <f>VLOOKUP($B160,'Data shares'!$C:$FB,98)</f>
        <v>35577200</v>
      </c>
      <c r="E160" s="165">
        <f>VLOOKUP(B160,'Snapshot (Volume)'!$A$7:$G$168,7,0)</f>
        <v>34075725</v>
      </c>
      <c r="F160" s="165">
        <f t="shared" si="54"/>
        <v>1501475</v>
      </c>
      <c r="G160" s="166">
        <f t="shared" si="55"/>
        <v>4.4062892278887683E-2</v>
      </c>
      <c r="H160" s="165">
        <f>VLOOKUP($B160,'Data shares'!$C:$FB,66)</f>
        <v>15566475</v>
      </c>
      <c r="I160" s="165">
        <f>VLOOKUP($B160,'Data shares'!$C:$FB,67)</f>
        <v>17048375</v>
      </c>
      <c r="J160" s="81">
        <f t="shared" si="56"/>
        <v>-8.6923240484796942</v>
      </c>
      <c r="K160" s="5">
        <f>VLOOKUP($B160,'Data Vlaue (Cr)'!$C:$FB,99)</f>
        <v>4528</v>
      </c>
      <c r="L160" s="81">
        <f>VLOOKUP(B160,'OI(Value)'!$A$7:$C$209,3,0)</f>
        <v>191</v>
      </c>
      <c r="M160" s="33">
        <f t="shared" si="57"/>
        <v>4.218197879858657</v>
      </c>
      <c r="N160" s="5">
        <f>VLOOKUP($B160,'Data Vlaue (Cr)'!$C:$FB,67)</f>
        <v>1981</v>
      </c>
      <c r="O160" s="5">
        <f>VLOOKUP($B160,'Data Vlaue (Cr)'!$C:$FB,68)</f>
        <v>2170</v>
      </c>
      <c r="P160" s="5">
        <f t="shared" si="58"/>
        <v>-9.5406360424028271</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Technology</v>
      </c>
      <c r="B161" s="79" t="str">
        <f>'Data shares'!C156</f>
        <v>PERSISTENT</v>
      </c>
      <c r="C161" s="4">
        <f>VLOOKUP($B161,'Data shares'!$C:$FB,7)</f>
        <v>6282.5</v>
      </c>
      <c r="D161" s="82">
        <f>VLOOKUP($B161,'Data shares'!$C:$FB,98)</f>
        <v>4053400</v>
      </c>
      <c r="E161" s="165">
        <f>VLOOKUP(B161,'Snapshot (Volume)'!$A$7:$G$168,7,0)</f>
        <v>3934300</v>
      </c>
      <c r="F161" s="165">
        <f t="shared" si="54"/>
        <v>119100</v>
      </c>
      <c r="G161" s="166">
        <f t="shared" si="55"/>
        <v>3.0272221233764583E-2</v>
      </c>
      <c r="H161" s="165">
        <f>VLOOKUP($B161,'Data shares'!$C:$FB,66)</f>
        <v>2317100</v>
      </c>
      <c r="I161" s="165">
        <f>VLOOKUP($B161,'Data shares'!$C:$FB,67)</f>
        <v>2388300</v>
      </c>
      <c r="J161" s="81">
        <f t="shared" si="56"/>
        <v>-2.9812000167483146</v>
      </c>
      <c r="K161" s="5">
        <f>VLOOKUP($B161,'Data Vlaue (Cr)'!$C:$FB,99)</f>
        <v>2549</v>
      </c>
      <c r="L161" s="81">
        <f>VLOOKUP(B161,'OI(Value)'!$A$7:$C$209,3,0)</f>
        <v>75</v>
      </c>
      <c r="M161" s="33">
        <f t="shared" si="57"/>
        <v>2.9423303256178897</v>
      </c>
      <c r="N161" s="5">
        <f>VLOOKUP($B161,'Data Vlaue (Cr)'!$C:$FB,67)</f>
        <v>1457</v>
      </c>
      <c r="O161" s="5">
        <f>VLOOKUP($B161,'Data Vlaue (Cr)'!$C:$FB,68)</f>
        <v>1502</v>
      </c>
      <c r="P161" s="5">
        <f t="shared" si="58"/>
        <v>-3.0885380919698009</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Oil_Gas</v>
      </c>
      <c r="B162" s="79" t="str">
        <f>'Data shares'!C157</f>
        <v>PETRONET</v>
      </c>
      <c r="C162" s="4">
        <f>VLOOKUP($B162,'Data shares'!$C:$FB,7)</f>
        <v>268.64999999999998</v>
      </c>
      <c r="D162" s="82">
        <f>VLOOKUP($B162,'Data shares'!$C:$FB,98)</f>
        <v>81948200</v>
      </c>
      <c r="E162" s="165">
        <f>VLOOKUP(B162,'Snapshot (Volume)'!$A$7:$G$168,7,0)</f>
        <v>82902000</v>
      </c>
      <c r="F162" s="165">
        <f t="shared" si="54"/>
        <v>-953800</v>
      </c>
      <c r="G162" s="166">
        <f t="shared" si="55"/>
        <v>-1.1505150659815203E-2</v>
      </c>
      <c r="H162" s="165">
        <f>VLOOKUP($B162,'Data shares'!$C:$FB,66)</f>
        <v>13039200</v>
      </c>
      <c r="I162" s="165">
        <f>VLOOKUP($B162,'Data shares'!$C:$FB,67)</f>
        <v>16588800</v>
      </c>
      <c r="J162" s="81">
        <f t="shared" si="56"/>
        <v>-21.397569444444446</v>
      </c>
      <c r="K162" s="5">
        <f>VLOOKUP($B162,'Data Vlaue (Cr)'!$C:$FB,99)</f>
        <v>2208</v>
      </c>
      <c r="L162" s="81">
        <f>VLOOKUP(B162,'OI(Value)'!$A$7:$C$209,3,0)</f>
        <v>-26</v>
      </c>
      <c r="M162" s="33">
        <f t="shared" si="57"/>
        <v>-1.1775362318840581</v>
      </c>
      <c r="N162" s="5">
        <f>VLOOKUP($B162,'Data Vlaue (Cr)'!$C:$FB,67)</f>
        <v>351</v>
      </c>
      <c r="O162" s="5">
        <f>VLOOKUP($B162,'Data Vlaue (Cr)'!$C:$FB,68)</f>
        <v>447</v>
      </c>
      <c r="P162" s="5">
        <f>(N162-O162)/N162*100</f>
        <v>-27.350427350427353</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Finance</v>
      </c>
      <c r="B163" s="79" t="str">
        <f>'Data shares'!C158</f>
        <v>PFC</v>
      </c>
      <c r="C163" s="4">
        <f>VLOOKUP($B163,'Data shares'!$C:$FB,7)</f>
        <v>335.65</v>
      </c>
      <c r="D163" s="82">
        <f>VLOOKUP($B163,'Data shares'!$C:$FB,98)</f>
        <v>165958000</v>
      </c>
      <c r="E163" s="165">
        <f>VLOOKUP(B163,'Snapshot (Volume)'!$A$7:$G$168,7,0)</f>
        <v>167108500</v>
      </c>
      <c r="F163" s="165">
        <f t="shared" si="54"/>
        <v>-1150500</v>
      </c>
      <c r="G163" s="166">
        <f t="shared" si="55"/>
        <v>-6.8847485316426158E-3</v>
      </c>
      <c r="H163" s="165">
        <f>VLOOKUP($B163,'Data shares'!$C:$FB,66)</f>
        <v>41528500</v>
      </c>
      <c r="I163" s="165">
        <f>VLOOKUP($B163,'Data shares'!$C:$FB,67)</f>
        <v>47490300</v>
      </c>
      <c r="J163" s="81">
        <f t="shared" si="56"/>
        <v>-12.553721496810926</v>
      </c>
      <c r="K163" s="5">
        <f>VLOOKUP($B163,'Data Vlaue (Cr)'!$C:$FB,99)</f>
        <v>5589</v>
      </c>
      <c r="L163" s="81">
        <f>VLOOKUP(B163,'OI(Value)'!$A$7:$C$209,3,0)</f>
        <v>-39</v>
      </c>
      <c r="M163" s="33">
        <f t="shared" si="57"/>
        <v>-0.6977992485238862</v>
      </c>
      <c r="N163" s="5">
        <f>VLOOKUP($B163,'Data Vlaue (Cr)'!$C:$FB,67)</f>
        <v>1398</v>
      </c>
      <c r="O163" s="5">
        <f>VLOOKUP($B163,'Data Vlaue (Cr)'!$C:$FB,68)</f>
        <v>1599</v>
      </c>
      <c r="P163" s="5">
        <f>(N163-O163)/N163*100</f>
        <v>-14.377682403433475</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Capital_Goods</v>
      </c>
      <c r="B164" s="79" t="str">
        <f>'Data shares'!C159</f>
        <v>PGEL</v>
      </c>
      <c r="C164" s="4">
        <f>VLOOKUP($B164,'Data shares'!$C:$FB,7)</f>
        <v>563.75</v>
      </c>
      <c r="D164" s="82">
        <f>VLOOKUP($B164,'Data shares'!$C:$FB,98)</f>
        <v>24563650</v>
      </c>
      <c r="E164" s="165">
        <f>VLOOKUP(B164,'Snapshot (Volume)'!$A$7:$G$168,7,0)</f>
        <v>24331000</v>
      </c>
      <c r="F164" s="165">
        <f t="shared" si="54"/>
        <v>232650</v>
      </c>
      <c r="G164" s="166">
        <f t="shared" si="55"/>
        <v>9.5618757963092348E-3</v>
      </c>
      <c r="H164" s="165">
        <f>VLOOKUP($B164,'Data shares'!$C:$FB,66)</f>
        <v>11981200</v>
      </c>
      <c r="I164" s="165">
        <f>VLOOKUP($B164,'Data shares'!$C:$FB,67)</f>
        <v>17891300</v>
      </c>
      <c r="J164" s="81">
        <f t="shared" si="56"/>
        <v>-33.03337376266677</v>
      </c>
      <c r="K164" s="5">
        <f>VLOOKUP($B164,'Data Vlaue (Cr)'!$C:$FB,99)</f>
        <v>1385</v>
      </c>
      <c r="L164" s="81">
        <f>VLOOKUP(B164,'OI(Value)'!$A$7:$C$209,3,0)</f>
        <v>13</v>
      </c>
      <c r="M164" s="33">
        <f t="shared" si="57"/>
        <v>0.93862815884476536</v>
      </c>
      <c r="N164" s="5">
        <f>VLOOKUP($B164,'Data Vlaue (Cr)'!$C:$FB,67)</f>
        <v>675</v>
      </c>
      <c r="O164" s="5">
        <f>VLOOKUP($B164,'Data Vlaue (Cr)'!$C:$FB,68)</f>
        <v>1008</v>
      </c>
      <c r="P164" s="5">
        <f>(N164-O164)/N164*100</f>
        <v>-49.333333333333336</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shares'!B215</f>
        <v>Pharma</v>
      </c>
      <c r="B166" s="79" t="str">
        <f>'Data shares'!C215</f>
        <v>ZYDUSLIFE</v>
      </c>
      <c r="C166" s="4">
        <f>VLOOKUP($B166,'Data shares'!$C:$FB,7)</f>
        <v>918.1</v>
      </c>
      <c r="D166" s="82">
        <f>VLOOKUP($B166,'Data shares'!$C:$FB,98)</f>
        <v>18909900</v>
      </c>
      <c r="E166" s="165" t="e">
        <f>VLOOKUP(B166,'Snapshot (Volume)'!$A$7:$G$168,7,0)</f>
        <v>#N/A</v>
      </c>
      <c r="F166" s="165" t="e">
        <f t="shared" si="54"/>
        <v>#N/A</v>
      </c>
      <c r="G166" s="166" t="e">
        <f t="shared" si="55"/>
        <v>#N/A</v>
      </c>
      <c r="H166" s="165">
        <f>VLOOKUP($B166,'Data shares'!$C:$FB,66)</f>
        <v>3155400</v>
      </c>
      <c r="I166" s="165">
        <f>VLOOKUP($B166,'Data shares'!$C:$FB,67)</f>
        <v>6210900</v>
      </c>
      <c r="J166" s="81">
        <f t="shared" si="56"/>
        <v>-49.195768729169686</v>
      </c>
      <c r="K166" s="5">
        <f>VLOOKUP($B166,'Data Vlaue (Cr)'!$C:$FB,99)</f>
        <v>1738</v>
      </c>
      <c r="L166" s="81">
        <f>VLOOKUP(B166,'OI(Value)'!$A$7:$C$209,3,0)</f>
        <v>-9</v>
      </c>
      <c r="M166" s="33">
        <f t="shared" si="57"/>
        <v>-0.51783659378596081</v>
      </c>
      <c r="N166" s="5">
        <f>VLOOKUP($B166,'Data Vlaue (Cr)'!$C:$FB,67)</f>
        <v>290</v>
      </c>
      <c r="O166" s="5">
        <f>VLOOKUP($B166,'Data Vlaue (Cr)'!$C:$FB,68)</f>
        <v>571</v>
      </c>
      <c r="P166" s="5">
        <f>(N166-O166)/N166*100</f>
        <v>-96.896551724137936</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42" activePane="bottomLeft" state="frozen"/>
      <selection pane="bottomLeft" activeCell="A148" sqref="A148"/>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46008</v>
      </c>
      <c r="C6" s="71" t="s">
        <v>333</v>
      </c>
      <c r="D6" s="71" t="s">
        <v>328</v>
      </c>
      <c r="E6" s="66">
        <f>B6</f>
        <v>46008</v>
      </c>
      <c r="F6" s="71" t="s">
        <v>333</v>
      </c>
      <c r="G6" s="71" t="s">
        <v>328</v>
      </c>
      <c r="H6" s="66">
        <f>B6</f>
        <v>46008</v>
      </c>
      <c r="I6" s="71" t="s">
        <v>333</v>
      </c>
      <c r="J6" s="71" t="s">
        <v>328</v>
      </c>
      <c r="K6" s="66">
        <f>B6</f>
        <v>46008</v>
      </c>
      <c r="L6" s="71" t="s">
        <v>333</v>
      </c>
      <c r="M6" s="71" t="s">
        <v>328</v>
      </c>
      <c r="N6" s="71" t="s">
        <v>339</v>
      </c>
      <c r="O6" s="71" t="s">
        <v>328</v>
      </c>
    </row>
    <row r="7" spans="1:15" x14ac:dyDescent="0.25">
      <c r="A7" s="100" t="str">
        <f>'OI(Value)'!A7</f>
        <v>360ONE</v>
      </c>
      <c r="B7" s="82">
        <f>VLOOKUP(A7,'Data shares'!$C$2:$CV$215,98,0)</f>
        <v>4733500</v>
      </c>
      <c r="C7" s="82">
        <f>VLOOKUP(A7,'Data shares'!$C$2:$CX$215,100,0)</f>
        <v>243500</v>
      </c>
      <c r="D7" s="141">
        <f>VLOOKUP(A7,'Data shares'!$C$2:$CY$538,101,0)</f>
        <v>5.4199999999999998E-2</v>
      </c>
      <c r="E7" s="86">
        <f>VLOOKUP($A7,'Data shares'!$C:$FA,74)</f>
        <v>1926500</v>
      </c>
      <c r="F7" s="86">
        <f>VLOOKUP($A7,'Data shares'!$C:$FA,76)</f>
        <v>94000</v>
      </c>
      <c r="G7" s="87">
        <f>VLOOKUP(A7,'Data shares'!$C$2:$CA$215,77,0)</f>
        <v>5.1299999999999998E-2</v>
      </c>
      <c r="H7" s="86">
        <f>VLOOKUP($A7,'Data shares'!$C:$FA,90)</f>
        <v>1722000</v>
      </c>
      <c r="I7" s="86">
        <f>VLOOKUP($A7,'Data shares'!$C:$FA,92)</f>
        <v>85500</v>
      </c>
      <c r="J7" s="87">
        <f>VLOOKUP($A7,'Data shares'!$C:$FA,93)</f>
        <v>5.2200000000000003E-2</v>
      </c>
      <c r="K7" s="86">
        <f>VLOOKUP($A7,'Data shares'!$C:$FA,94)</f>
        <v>1085000</v>
      </c>
      <c r="L7" s="86">
        <f>VLOOKUP($A7,'Data shares'!$C:$FA,96)</f>
        <v>64000</v>
      </c>
      <c r="M7" s="87">
        <f>VLOOKUP($A7,'Data shares'!$C:$FA,97)</f>
        <v>6.2700000000000006E-2</v>
      </c>
      <c r="N7" s="86">
        <f>VLOOKUP($A7,'Data shares'!$C:$FA,78)</f>
        <v>1805500</v>
      </c>
      <c r="O7" s="87">
        <f>VLOOKUP($A7,'Data shares'!$C:$FA,81)</f>
        <v>3.4099999999999998E-2</v>
      </c>
    </row>
    <row r="8" spans="1:15" x14ac:dyDescent="0.25">
      <c r="A8" s="100" t="str">
        <f>'OI(Value)'!A8</f>
        <v>ABB</v>
      </c>
      <c r="B8" s="82">
        <f>VLOOKUP(A8,'Data shares'!$C$2:$CV$215,98,0)</f>
        <v>4053125</v>
      </c>
      <c r="C8" s="82">
        <f>VLOOKUP(A8,'Data shares'!$C$2:$CX$215,100,0)</f>
        <v>51750</v>
      </c>
      <c r="D8" s="141">
        <f>VLOOKUP(A8,'Data shares'!$C$2:$CY$538,101,0)</f>
        <v>1.29E-2</v>
      </c>
      <c r="E8" s="86">
        <f>VLOOKUP($A8,'Data shares'!$C:$FA,74)</f>
        <v>2505250</v>
      </c>
      <c r="F8" s="86">
        <f>VLOOKUP($A8,'Data shares'!$C:$FA,76)</f>
        <v>22625</v>
      </c>
      <c r="G8" s="87">
        <f>VLOOKUP(A8,'Data shares'!$C$2:$CA$215,77,0)</f>
        <v>9.1000000000000004E-3</v>
      </c>
      <c r="H8" s="86">
        <f>VLOOKUP($A8,'Data shares'!$C:$FA,90)</f>
        <v>871875</v>
      </c>
      <c r="I8" s="86">
        <f>VLOOKUP($A8,'Data shares'!$C:$FA,92)</f>
        <v>43625</v>
      </c>
      <c r="J8" s="87">
        <f>VLOOKUP($A8,'Data shares'!$C:$FA,93)</f>
        <v>5.2699999999999997E-2</v>
      </c>
      <c r="K8" s="86">
        <f>VLOOKUP($A8,'Data shares'!$C:$FA,94)</f>
        <v>676000</v>
      </c>
      <c r="L8" s="86">
        <f>VLOOKUP($A8,'Data shares'!$C:$FA,96)</f>
        <v>-14500</v>
      </c>
      <c r="M8" s="87">
        <f>VLOOKUP($A8,'Data shares'!$C:$FA,97)</f>
        <v>-2.1000000000000001E-2</v>
      </c>
      <c r="N8" s="86">
        <f>VLOOKUP($A8,'Data shares'!$C:$FA,78)</f>
        <v>2221000</v>
      </c>
      <c r="O8" s="87">
        <f>VLOOKUP($A8,'Data shares'!$C:$FA,81)</f>
        <v>-1.55E-2</v>
      </c>
    </row>
    <row r="9" spans="1:15" x14ac:dyDescent="0.25">
      <c r="A9" s="100" t="str">
        <f>'OI(Value)'!A9</f>
        <v>ABCAPITAL</v>
      </c>
      <c r="B9" s="82">
        <f>VLOOKUP(A9,'Data shares'!$C$2:$CV$215,98,0)</f>
        <v>120004100</v>
      </c>
      <c r="C9" s="82">
        <f>VLOOKUP(A9,'Data shares'!$C$2:$CX$215,100,0)</f>
        <v>1605800</v>
      </c>
      <c r="D9" s="141">
        <f>VLOOKUP(A9,'Data shares'!$C$2:$CY$538,101,0)</f>
        <v>1.3599999999999999E-2</v>
      </c>
      <c r="E9" s="86">
        <f>VLOOKUP($A9,'Data shares'!$C:$FA,74)</f>
        <v>75057200</v>
      </c>
      <c r="F9" s="86">
        <f>VLOOKUP($A9,'Data shares'!$C:$FA,76)</f>
        <v>-238700</v>
      </c>
      <c r="G9" s="87">
        <f>VLOOKUP(A9,'Data shares'!$C$2:$CA$215,77,0)</f>
        <v>-3.2000000000000002E-3</v>
      </c>
      <c r="H9" s="86">
        <f>VLOOKUP($A9,'Data shares'!$C:$FA,90)</f>
        <v>27174600</v>
      </c>
      <c r="I9" s="86">
        <f>VLOOKUP($A9,'Data shares'!$C:$FA,92)</f>
        <v>1215200</v>
      </c>
      <c r="J9" s="87">
        <f>VLOOKUP($A9,'Data shares'!$C:$FA,93)</f>
        <v>4.6800000000000001E-2</v>
      </c>
      <c r="K9" s="86">
        <f>VLOOKUP($A9,'Data shares'!$C:$FA,94)</f>
        <v>17772300</v>
      </c>
      <c r="L9" s="86">
        <f>VLOOKUP($A9,'Data shares'!$C:$FA,96)</f>
        <v>629300</v>
      </c>
      <c r="M9" s="87">
        <f>VLOOKUP($A9,'Data shares'!$C:$FA,97)</f>
        <v>3.6700000000000003E-2</v>
      </c>
      <c r="N9" s="86">
        <f>VLOOKUP($A9,'Data shares'!$C:$FA,78)</f>
        <v>72009900</v>
      </c>
      <c r="O9" s="87">
        <f>VLOOKUP($A9,'Data shares'!$C:$FA,81)</f>
        <v>-5.8999999999999999E-3</v>
      </c>
    </row>
    <row r="10" spans="1:15" x14ac:dyDescent="0.25">
      <c r="A10" s="100" t="str">
        <f>'OI(Value)'!A10</f>
        <v>ADANIENSOL</v>
      </c>
      <c r="B10" s="82">
        <f>VLOOKUP(A10,'Data shares'!$C$2:$CV$215,98,0)</f>
        <v>24405300</v>
      </c>
      <c r="C10" s="82">
        <f>VLOOKUP(A10,'Data shares'!$C$2:$CX$215,100,0)</f>
        <v>-34425</v>
      </c>
      <c r="D10" s="141">
        <f>VLOOKUP(A10,'Data shares'!$C$2:$CY$538,101,0)</f>
        <v>-1.4E-3</v>
      </c>
      <c r="E10" s="86">
        <f>VLOOKUP($A10,'Data shares'!$C:$FA,74)</f>
        <v>18060300</v>
      </c>
      <c r="F10" s="86">
        <f>VLOOKUP($A10,'Data shares'!$C:$FA,76)</f>
        <v>-64800</v>
      </c>
      <c r="G10" s="87">
        <f>VLOOKUP(A10,'Data shares'!$C$2:$CA$215,77,0)</f>
        <v>-3.5999999999999999E-3</v>
      </c>
      <c r="H10" s="86">
        <f>VLOOKUP($A10,'Data shares'!$C:$FA,90)</f>
        <v>4056750</v>
      </c>
      <c r="I10" s="86">
        <f>VLOOKUP($A10,'Data shares'!$C:$FA,92)</f>
        <v>37800</v>
      </c>
      <c r="J10" s="87">
        <f>VLOOKUP($A10,'Data shares'!$C:$FA,93)</f>
        <v>9.4000000000000004E-3</v>
      </c>
      <c r="K10" s="86">
        <f>VLOOKUP($A10,'Data shares'!$C:$FA,94)</f>
        <v>2288250</v>
      </c>
      <c r="L10" s="86">
        <f>VLOOKUP($A10,'Data shares'!$C:$FA,96)</f>
        <v>-7425</v>
      </c>
      <c r="M10" s="87">
        <f>VLOOKUP($A10,'Data shares'!$C:$FA,97)</f>
        <v>-3.2000000000000002E-3</v>
      </c>
      <c r="N10" s="86">
        <f>VLOOKUP($A10,'Data shares'!$C:$FA,78)</f>
        <v>17652600</v>
      </c>
      <c r="O10" s="87">
        <f>VLOOKUP($A10,'Data shares'!$C:$FA,81)</f>
        <v>-1.2699999999999999E-2</v>
      </c>
    </row>
    <row r="11" spans="1:15" x14ac:dyDescent="0.25">
      <c r="A11" s="100" t="str">
        <f>'OI(Value)'!A11</f>
        <v>ADANIENT</v>
      </c>
      <c r="B11" s="82">
        <f>VLOOKUP(A11,'Data shares'!$C$2:$CV$215,98,0)</f>
        <v>45750540</v>
      </c>
      <c r="C11" s="82">
        <f>VLOOKUP(A11,'Data shares'!$C$2:$CX$215,100,0)</f>
        <v>464736</v>
      </c>
      <c r="D11" s="141">
        <f>VLOOKUP(A11,'Data shares'!$C$2:$CY$538,101,0)</f>
        <v>1.03E-2</v>
      </c>
      <c r="E11" s="86">
        <f>VLOOKUP($A11,'Data shares'!$C:$FA,74)</f>
        <v>22617255</v>
      </c>
      <c r="F11" s="86">
        <f>VLOOKUP($A11,'Data shares'!$C:$FA,76)</f>
        <v>120819</v>
      </c>
      <c r="G11" s="87">
        <f>VLOOKUP(A11,'Data shares'!$C$2:$CA$215,77,0)</f>
        <v>5.4000000000000003E-3</v>
      </c>
      <c r="H11" s="86">
        <f>VLOOKUP($A11,'Data shares'!$C:$FA,90)</f>
        <v>14375298</v>
      </c>
      <c r="I11" s="86">
        <f>VLOOKUP($A11,'Data shares'!$C:$FA,92)</f>
        <v>202395</v>
      </c>
      <c r="J11" s="87">
        <f>VLOOKUP($A11,'Data shares'!$C:$FA,93)</f>
        <v>1.43E-2</v>
      </c>
      <c r="K11" s="86">
        <f>VLOOKUP($A11,'Data shares'!$C:$FA,94)</f>
        <v>8757987</v>
      </c>
      <c r="L11" s="86">
        <f>VLOOKUP($A11,'Data shares'!$C:$FA,96)</f>
        <v>141522</v>
      </c>
      <c r="M11" s="87">
        <f>VLOOKUP($A11,'Data shares'!$C:$FA,97)</f>
        <v>1.6400000000000001E-2</v>
      </c>
      <c r="N11" s="86">
        <f>VLOOKUP($A11,'Data shares'!$C:$FA,78)</f>
        <v>19980249</v>
      </c>
      <c r="O11" s="87">
        <f>VLOOKUP($A11,'Data shares'!$C:$FA,81)</f>
        <v>1.6000000000000001E-3</v>
      </c>
    </row>
    <row r="12" spans="1:15" x14ac:dyDescent="0.25">
      <c r="A12" s="100" t="str">
        <f>'OI(Value)'!A12</f>
        <v>ADANIGREEN</v>
      </c>
      <c r="B12" s="82">
        <f>VLOOKUP(A12,'Data shares'!$C$2:$CV$215,98,0)</f>
        <v>45130200</v>
      </c>
      <c r="C12" s="82">
        <f>VLOOKUP(A12,'Data shares'!$C$2:$CX$215,100,0)</f>
        <v>242400</v>
      </c>
      <c r="D12" s="141">
        <f>VLOOKUP(A12,'Data shares'!$C$2:$CY$538,101,0)</f>
        <v>5.4000000000000003E-3</v>
      </c>
      <c r="E12" s="86">
        <f>VLOOKUP($A12,'Data shares'!$C:$FA,74)</f>
        <v>25622400</v>
      </c>
      <c r="F12" s="86">
        <f>VLOOKUP($A12,'Data shares'!$C:$FA,76)</f>
        <v>237600</v>
      </c>
      <c r="G12" s="87">
        <f>VLOOKUP(A12,'Data shares'!$C$2:$CA$215,77,0)</f>
        <v>9.4000000000000004E-3</v>
      </c>
      <c r="H12" s="86">
        <f>VLOOKUP($A12,'Data shares'!$C:$FA,90)</f>
        <v>12699600</v>
      </c>
      <c r="I12" s="86">
        <f>VLOOKUP($A12,'Data shares'!$C:$FA,92)</f>
        <v>-60600</v>
      </c>
      <c r="J12" s="87">
        <f>VLOOKUP($A12,'Data shares'!$C:$FA,93)</f>
        <v>-4.7000000000000002E-3</v>
      </c>
      <c r="K12" s="86">
        <f>VLOOKUP($A12,'Data shares'!$C:$FA,94)</f>
        <v>6808200</v>
      </c>
      <c r="L12" s="86">
        <f>VLOOKUP($A12,'Data shares'!$C:$FA,96)</f>
        <v>65400</v>
      </c>
      <c r="M12" s="87">
        <f>VLOOKUP($A12,'Data shares'!$C:$FA,97)</f>
        <v>9.7000000000000003E-3</v>
      </c>
      <c r="N12" s="86">
        <f>VLOOKUP($A12,'Data shares'!$C:$FA,78)</f>
        <v>24331200</v>
      </c>
      <c r="O12" s="87">
        <f>VLOOKUP($A12,'Data shares'!$C:$FA,81)</f>
        <v>7.1999999999999998E-3</v>
      </c>
    </row>
    <row r="13" spans="1:15" x14ac:dyDescent="0.25">
      <c r="A13" s="100" t="str">
        <f>'OI(Value)'!A13</f>
        <v>ADANIPORTS</v>
      </c>
      <c r="B13" s="82">
        <f>VLOOKUP(A13,'Data shares'!$C$2:$CV$215,98,0)</f>
        <v>37797650</v>
      </c>
      <c r="C13" s="82">
        <f>VLOOKUP(A13,'Data shares'!$C$2:$CX$215,100,0)</f>
        <v>673550</v>
      </c>
      <c r="D13" s="141">
        <f>VLOOKUP(A13,'Data shares'!$C$2:$CY$538,101,0)</f>
        <v>1.8100000000000002E-2</v>
      </c>
      <c r="E13" s="86">
        <f>VLOOKUP($A13,'Data shares'!$C:$FA,74)</f>
        <v>23775650</v>
      </c>
      <c r="F13" s="86">
        <f>VLOOKUP($A13,'Data shares'!$C:$FA,76)</f>
        <v>222300</v>
      </c>
      <c r="G13" s="87">
        <f>VLOOKUP(A13,'Data shares'!$C$2:$CA$215,77,0)</f>
        <v>9.4000000000000004E-3</v>
      </c>
      <c r="H13" s="86">
        <f>VLOOKUP($A13,'Data shares'!$C:$FA,90)</f>
        <v>9410700</v>
      </c>
      <c r="I13" s="86">
        <f>VLOOKUP($A13,'Data shares'!$C:$FA,92)</f>
        <v>401850</v>
      </c>
      <c r="J13" s="87">
        <f>VLOOKUP($A13,'Data shares'!$C:$FA,93)</f>
        <v>4.4600000000000001E-2</v>
      </c>
      <c r="K13" s="86">
        <f>VLOOKUP($A13,'Data shares'!$C:$FA,94)</f>
        <v>4611300</v>
      </c>
      <c r="L13" s="86">
        <f>VLOOKUP($A13,'Data shares'!$C:$FA,96)</f>
        <v>49400</v>
      </c>
      <c r="M13" s="87">
        <f>VLOOKUP($A13,'Data shares'!$C:$FA,97)</f>
        <v>1.0800000000000001E-2</v>
      </c>
      <c r="N13" s="86">
        <f>VLOOKUP($A13,'Data shares'!$C:$FA,78)</f>
        <v>21467625</v>
      </c>
      <c r="O13" s="87">
        <f>VLOOKUP($A13,'Data shares'!$C:$FA,81)</f>
        <v>-8.9999999999999998E-4</v>
      </c>
    </row>
    <row r="14" spans="1:15" x14ac:dyDescent="0.25">
      <c r="A14" s="100" t="str">
        <f>'OI(Value)'!A14</f>
        <v>ALKEM</v>
      </c>
      <c r="B14" s="82">
        <f>VLOOKUP(A14,'Data shares'!$C$2:$CV$215,98,0)</f>
        <v>2011375</v>
      </c>
      <c r="C14" s="82">
        <f>VLOOKUP(A14,'Data shares'!$C$2:$CX$215,100,0)</f>
        <v>30000</v>
      </c>
      <c r="D14" s="141">
        <f>VLOOKUP(A14,'Data shares'!$C$2:$CY$538,101,0)</f>
        <v>1.5100000000000001E-2</v>
      </c>
      <c r="E14" s="86">
        <f>VLOOKUP($A14,'Data shares'!$C:$FA,74)</f>
        <v>1595375</v>
      </c>
      <c r="F14" s="86">
        <f>VLOOKUP($A14,'Data shares'!$C:$FA,76)</f>
        <v>-7125</v>
      </c>
      <c r="G14" s="87">
        <f>VLOOKUP(A14,'Data shares'!$C$2:$CA$215,77,0)</f>
        <v>-4.4000000000000003E-3</v>
      </c>
      <c r="H14" s="86">
        <f>VLOOKUP($A14,'Data shares'!$C:$FA,90)</f>
        <v>252625</v>
      </c>
      <c r="I14" s="86">
        <f>VLOOKUP($A14,'Data shares'!$C:$FA,92)</f>
        <v>35625</v>
      </c>
      <c r="J14" s="87">
        <f>VLOOKUP($A14,'Data shares'!$C:$FA,93)</f>
        <v>0.16420000000000001</v>
      </c>
      <c r="K14" s="86">
        <f>VLOOKUP($A14,'Data shares'!$C:$FA,94)</f>
        <v>163375</v>
      </c>
      <c r="L14" s="86">
        <f>VLOOKUP($A14,'Data shares'!$C:$FA,96)</f>
        <v>1500</v>
      </c>
      <c r="M14" s="87">
        <f>VLOOKUP($A14,'Data shares'!$C:$FA,97)</f>
        <v>9.2999999999999992E-3</v>
      </c>
      <c r="N14" s="86">
        <f>VLOOKUP($A14,'Data shares'!$C:$FA,78)</f>
        <v>1537250</v>
      </c>
      <c r="O14" s="87">
        <f>VLOOKUP($A14,'Data shares'!$C:$FA,81)</f>
        <v>-2.98E-2</v>
      </c>
    </row>
    <row r="15" spans="1:15" x14ac:dyDescent="0.25">
      <c r="A15" s="100" t="str">
        <f>'OI(Value)'!A15</f>
        <v>AMBER</v>
      </c>
      <c r="B15" s="82">
        <f>VLOOKUP(A15,'Data shares'!$C$2:$CV$215,98,0)</f>
        <v>3135300</v>
      </c>
      <c r="C15" s="82">
        <f>VLOOKUP(A15,'Data shares'!$C$2:$CX$215,100,0)</f>
        <v>117400</v>
      </c>
      <c r="D15" s="141">
        <f>VLOOKUP(A15,'Data shares'!$C$2:$CY$538,101,0)</f>
        <v>3.8899999999999997E-2</v>
      </c>
      <c r="E15" s="86">
        <f>VLOOKUP($A15,'Data shares'!$C:$FA,74)</f>
        <v>1175700</v>
      </c>
      <c r="F15" s="86">
        <f>VLOOKUP($A15,'Data shares'!$C:$FA,76)</f>
        <v>14100</v>
      </c>
      <c r="G15" s="87">
        <f>VLOOKUP(A15,'Data shares'!$C$2:$CA$215,77,0)</f>
        <v>1.21E-2</v>
      </c>
      <c r="H15" s="86">
        <f>VLOOKUP($A15,'Data shares'!$C:$FA,90)</f>
        <v>1178100</v>
      </c>
      <c r="I15" s="86">
        <f>VLOOKUP($A15,'Data shares'!$C:$FA,92)</f>
        <v>96100</v>
      </c>
      <c r="J15" s="87">
        <f>VLOOKUP($A15,'Data shares'!$C:$FA,93)</f>
        <v>8.8800000000000004E-2</v>
      </c>
      <c r="K15" s="86">
        <f>VLOOKUP($A15,'Data shares'!$C:$FA,94)</f>
        <v>781500</v>
      </c>
      <c r="L15" s="86">
        <f>VLOOKUP($A15,'Data shares'!$C:$FA,96)</f>
        <v>7200</v>
      </c>
      <c r="M15" s="87">
        <f>VLOOKUP($A15,'Data shares'!$C:$FA,97)</f>
        <v>9.2999999999999992E-3</v>
      </c>
      <c r="N15" s="86">
        <f>VLOOKUP($A15,'Data shares'!$C:$FA,78)</f>
        <v>1005400</v>
      </c>
      <c r="O15" s="87">
        <f>VLOOKUP($A15,'Data shares'!$C:$FA,81)</f>
        <v>-4.8999999999999998E-3</v>
      </c>
    </row>
    <row r="16" spans="1:15" x14ac:dyDescent="0.25">
      <c r="A16" s="100" t="str">
        <f>'OI(Value)'!A16</f>
        <v>AMBUJACEM</v>
      </c>
      <c r="B16" s="82">
        <f>VLOOKUP(A16,'Data shares'!$C$2:$CV$215,98,0)</f>
        <v>69549900</v>
      </c>
      <c r="C16" s="82">
        <f>VLOOKUP(A16,'Data shares'!$C$2:$CX$215,100,0)</f>
        <v>410550</v>
      </c>
      <c r="D16" s="141">
        <f>VLOOKUP(A16,'Data shares'!$C$2:$CY$538,101,0)</f>
        <v>5.8999999999999999E-3</v>
      </c>
      <c r="E16" s="86">
        <f>VLOOKUP($A16,'Data shares'!$C:$FA,74)</f>
        <v>48043800</v>
      </c>
      <c r="F16" s="86">
        <f>VLOOKUP($A16,'Data shares'!$C:$FA,76)</f>
        <v>-193200</v>
      </c>
      <c r="G16" s="87">
        <f>VLOOKUP(A16,'Data shares'!$C$2:$CA$215,77,0)</f>
        <v>-4.0000000000000001E-3</v>
      </c>
      <c r="H16" s="86">
        <f>VLOOKUP($A16,'Data shares'!$C:$FA,90)</f>
        <v>11865000</v>
      </c>
      <c r="I16" s="86">
        <f>VLOOKUP($A16,'Data shares'!$C:$FA,92)</f>
        <v>630000</v>
      </c>
      <c r="J16" s="87">
        <f>VLOOKUP($A16,'Data shares'!$C:$FA,93)</f>
        <v>5.6099999999999997E-2</v>
      </c>
      <c r="K16" s="86">
        <f>VLOOKUP($A16,'Data shares'!$C:$FA,94)</f>
        <v>9641100</v>
      </c>
      <c r="L16" s="86">
        <f>VLOOKUP($A16,'Data shares'!$C:$FA,96)</f>
        <v>-26250</v>
      </c>
      <c r="M16" s="87">
        <f>VLOOKUP($A16,'Data shares'!$C:$FA,97)</f>
        <v>-2.7000000000000001E-3</v>
      </c>
      <c r="N16" s="86">
        <f>VLOOKUP($A16,'Data shares'!$C:$FA,78)</f>
        <v>46327050</v>
      </c>
      <c r="O16" s="87">
        <f>VLOOKUP($A16,'Data shares'!$C:$FA,81)</f>
        <v>-5.7999999999999996E-3</v>
      </c>
    </row>
    <row r="17" spans="1:15" x14ac:dyDescent="0.25">
      <c r="A17" s="100" t="str">
        <f>'OI(Value)'!A17</f>
        <v>ANGELONE</v>
      </c>
      <c r="B17" s="82">
        <f>VLOOKUP(A17,'Data shares'!$C$2:$CV$215,98,0)</f>
        <v>11446750</v>
      </c>
      <c r="C17" s="82">
        <f>VLOOKUP(A17,'Data shares'!$C$2:$CX$215,100,0)</f>
        <v>370750</v>
      </c>
      <c r="D17" s="141">
        <f>VLOOKUP(A17,'Data shares'!$C$2:$CY$538,101,0)</f>
        <v>3.3500000000000002E-2</v>
      </c>
      <c r="E17" s="86">
        <f>VLOOKUP($A17,'Data shares'!$C:$FA,74)</f>
        <v>4211250</v>
      </c>
      <c r="F17" s="86">
        <f>VLOOKUP($A17,'Data shares'!$C:$FA,76)</f>
        <v>102000</v>
      </c>
      <c r="G17" s="87">
        <f>VLOOKUP(A17,'Data shares'!$C$2:$CA$215,77,0)</f>
        <v>2.4799999999999999E-2</v>
      </c>
      <c r="H17" s="86">
        <f>VLOOKUP($A17,'Data shares'!$C:$FA,90)</f>
        <v>5140000</v>
      </c>
      <c r="I17" s="86">
        <f>VLOOKUP($A17,'Data shares'!$C:$FA,92)</f>
        <v>261250</v>
      </c>
      <c r="J17" s="87">
        <f>VLOOKUP($A17,'Data shares'!$C:$FA,93)</f>
        <v>5.3499999999999999E-2</v>
      </c>
      <c r="K17" s="86">
        <f>VLOOKUP($A17,'Data shares'!$C:$FA,94)</f>
        <v>2095500</v>
      </c>
      <c r="L17" s="86">
        <f>VLOOKUP($A17,'Data shares'!$C:$FA,96)</f>
        <v>7500</v>
      </c>
      <c r="M17" s="87">
        <f>VLOOKUP($A17,'Data shares'!$C:$FA,97)</f>
        <v>3.5999999999999999E-3</v>
      </c>
      <c r="N17" s="86">
        <f>VLOOKUP($A17,'Data shares'!$C:$FA,78)</f>
        <v>3634500</v>
      </c>
      <c r="O17" s="87">
        <f>VLOOKUP($A17,'Data shares'!$C:$FA,81)</f>
        <v>8.3000000000000001E-3</v>
      </c>
    </row>
    <row r="18" spans="1:15" x14ac:dyDescent="0.25">
      <c r="A18" s="100" t="str">
        <f>'OI(Value)'!A18</f>
        <v>APLAPOLLO</v>
      </c>
      <c r="B18" s="82">
        <f>VLOOKUP(A18,'Data shares'!$C$2:$CV$215,98,0)</f>
        <v>9858100</v>
      </c>
      <c r="C18" s="82">
        <f>VLOOKUP(A18,'Data shares'!$C$2:$CX$215,100,0)</f>
        <v>220850</v>
      </c>
      <c r="D18" s="141">
        <f>VLOOKUP(A18,'Data shares'!$C$2:$CY$538,101,0)</f>
        <v>2.29E-2</v>
      </c>
      <c r="E18" s="86">
        <f>VLOOKUP($A18,'Data shares'!$C:$FA,74)</f>
        <v>7853300</v>
      </c>
      <c r="F18" s="86">
        <f>VLOOKUP($A18,'Data shares'!$C:$FA,76)</f>
        <v>102550</v>
      </c>
      <c r="G18" s="87">
        <f>VLOOKUP(A18,'Data shares'!$C$2:$CA$215,77,0)</f>
        <v>1.32E-2</v>
      </c>
      <c r="H18" s="86">
        <f>VLOOKUP($A18,'Data shares'!$C:$FA,90)</f>
        <v>1142750</v>
      </c>
      <c r="I18" s="86">
        <f>VLOOKUP($A18,'Data shares'!$C:$FA,92)</f>
        <v>135800</v>
      </c>
      <c r="J18" s="87">
        <f>VLOOKUP($A18,'Data shares'!$C:$FA,93)</f>
        <v>0.13489999999999999</v>
      </c>
      <c r="K18" s="86">
        <f>VLOOKUP($A18,'Data shares'!$C:$FA,94)</f>
        <v>862050</v>
      </c>
      <c r="L18" s="86">
        <f>VLOOKUP($A18,'Data shares'!$C:$FA,96)</f>
        <v>-17500</v>
      </c>
      <c r="M18" s="87">
        <f>VLOOKUP($A18,'Data shares'!$C:$FA,97)</f>
        <v>-1.9900000000000001E-2</v>
      </c>
      <c r="N18" s="86">
        <f>VLOOKUP($A18,'Data shares'!$C:$FA,78)</f>
        <v>7556150</v>
      </c>
      <c r="O18" s="87">
        <f>VLOOKUP($A18,'Data shares'!$C:$FA,81)</f>
        <v>8.3000000000000001E-3</v>
      </c>
    </row>
    <row r="19" spans="1:15" x14ac:dyDescent="0.25">
      <c r="A19" s="100" t="str">
        <f>'OI(Value)'!A19</f>
        <v>APOLLOHOSP</v>
      </c>
      <c r="B19" s="82">
        <f>VLOOKUP(A19,'Data shares'!$C$2:$CV$215,98,0)</f>
        <v>6962375</v>
      </c>
      <c r="C19" s="82">
        <f>VLOOKUP(A19,'Data shares'!$C$2:$CX$215,100,0)</f>
        <v>502625</v>
      </c>
      <c r="D19" s="141">
        <f>VLOOKUP(A19,'Data shares'!$C$2:$CY$538,101,0)</f>
        <v>7.7799999999999994E-2</v>
      </c>
      <c r="E19" s="86">
        <f>VLOOKUP($A19,'Data shares'!$C:$FA,74)</f>
        <v>3415500</v>
      </c>
      <c r="F19" s="86">
        <f>VLOOKUP($A19,'Data shares'!$C:$FA,76)</f>
        <v>78875</v>
      </c>
      <c r="G19" s="87">
        <f>VLOOKUP(A19,'Data shares'!$C$2:$CA$215,77,0)</f>
        <v>2.3599999999999999E-2</v>
      </c>
      <c r="H19" s="86">
        <f>VLOOKUP($A19,'Data shares'!$C:$FA,90)</f>
        <v>2414750</v>
      </c>
      <c r="I19" s="86">
        <f>VLOOKUP($A19,'Data shares'!$C:$FA,92)</f>
        <v>296875</v>
      </c>
      <c r="J19" s="87">
        <f>VLOOKUP($A19,'Data shares'!$C:$FA,93)</f>
        <v>0.14019999999999999</v>
      </c>
      <c r="K19" s="86">
        <f>VLOOKUP($A19,'Data shares'!$C:$FA,94)</f>
        <v>1132125</v>
      </c>
      <c r="L19" s="86">
        <f>VLOOKUP($A19,'Data shares'!$C:$FA,96)</f>
        <v>126875</v>
      </c>
      <c r="M19" s="87">
        <f>VLOOKUP($A19,'Data shares'!$C:$FA,97)</f>
        <v>0.12620000000000001</v>
      </c>
      <c r="N19" s="86">
        <f>VLOOKUP($A19,'Data shares'!$C:$FA,78)</f>
        <v>3169500</v>
      </c>
      <c r="O19" s="87">
        <f>VLOOKUP($A19,'Data shares'!$C:$FA,81)</f>
        <v>6.3E-3</v>
      </c>
    </row>
    <row r="20" spans="1:15" x14ac:dyDescent="0.25">
      <c r="A20" s="100" t="str">
        <f>'OI(Value)'!A20</f>
        <v>ASHOKLEY</v>
      </c>
      <c r="B20" s="82">
        <f>VLOOKUP(A20,'Data shares'!$C$2:$CV$215,98,0)</f>
        <v>293850000</v>
      </c>
      <c r="C20" s="82">
        <f>VLOOKUP(A20,'Data shares'!$C$2:$CX$215,100,0)</f>
        <v>895000</v>
      </c>
      <c r="D20" s="141">
        <f>VLOOKUP(A20,'Data shares'!$C$2:$CY$538,101,0)</f>
        <v>3.0999999999999999E-3</v>
      </c>
      <c r="E20" s="86">
        <f>VLOOKUP($A20,'Data shares'!$C:$FA,74)</f>
        <v>159850000</v>
      </c>
      <c r="F20" s="86">
        <f>VLOOKUP($A20,'Data shares'!$C:$FA,76)</f>
        <v>2105000</v>
      </c>
      <c r="G20" s="87">
        <f>VLOOKUP(A20,'Data shares'!$C$2:$CA$215,77,0)</f>
        <v>1.3299999999999999E-2</v>
      </c>
      <c r="H20" s="86">
        <f>VLOOKUP($A20,'Data shares'!$C:$FA,90)</f>
        <v>67825000</v>
      </c>
      <c r="I20" s="86">
        <f>VLOOKUP($A20,'Data shares'!$C:$FA,92)</f>
        <v>-1160000</v>
      </c>
      <c r="J20" s="87">
        <f>VLOOKUP($A20,'Data shares'!$C:$FA,93)</f>
        <v>-1.6799999999999999E-2</v>
      </c>
      <c r="K20" s="86">
        <f>VLOOKUP($A20,'Data shares'!$C:$FA,94)</f>
        <v>66175000</v>
      </c>
      <c r="L20" s="86">
        <f>VLOOKUP($A20,'Data shares'!$C:$FA,96)</f>
        <v>-50000</v>
      </c>
      <c r="M20" s="87">
        <f>VLOOKUP($A20,'Data shares'!$C:$FA,97)</f>
        <v>-8.0000000000000004E-4</v>
      </c>
      <c r="N20" s="86">
        <f>VLOOKUP($A20,'Data shares'!$C:$FA,78)</f>
        <v>140925000</v>
      </c>
      <c r="O20" s="87">
        <f>VLOOKUP($A20,'Data shares'!$C:$FA,81)</f>
        <v>-5.0000000000000001E-3</v>
      </c>
    </row>
    <row r="21" spans="1:15" x14ac:dyDescent="0.25">
      <c r="A21" s="100" t="str">
        <f>'OI(Value)'!A21</f>
        <v>ASIANPAINT</v>
      </c>
      <c r="B21" s="82">
        <f>VLOOKUP(A21,'Data shares'!$C$2:$CV$215,98,0)</f>
        <v>25628250</v>
      </c>
      <c r="C21" s="82">
        <f>VLOOKUP(A21,'Data shares'!$C$2:$CX$215,100,0)</f>
        <v>59250</v>
      </c>
      <c r="D21" s="141">
        <f>VLOOKUP(A21,'Data shares'!$C$2:$CY$538,101,0)</f>
        <v>2.3E-3</v>
      </c>
      <c r="E21" s="86">
        <f>VLOOKUP($A21,'Data shares'!$C:$FA,74)</f>
        <v>12209750</v>
      </c>
      <c r="F21" s="86">
        <f>VLOOKUP($A21,'Data shares'!$C:$FA,76)</f>
        <v>171500</v>
      </c>
      <c r="G21" s="87">
        <f>VLOOKUP(A21,'Data shares'!$C$2:$CA$215,77,0)</f>
        <v>1.4200000000000001E-2</v>
      </c>
      <c r="H21" s="86">
        <f>VLOOKUP($A21,'Data shares'!$C:$FA,90)</f>
        <v>8883250</v>
      </c>
      <c r="I21" s="86">
        <f>VLOOKUP($A21,'Data shares'!$C:$FA,92)</f>
        <v>-32250</v>
      </c>
      <c r="J21" s="87">
        <f>VLOOKUP($A21,'Data shares'!$C:$FA,93)</f>
        <v>-3.5999999999999999E-3</v>
      </c>
      <c r="K21" s="86">
        <f>VLOOKUP($A21,'Data shares'!$C:$FA,94)</f>
        <v>4535250</v>
      </c>
      <c r="L21" s="86">
        <f>VLOOKUP($A21,'Data shares'!$C:$FA,96)</f>
        <v>-80000</v>
      </c>
      <c r="M21" s="87">
        <f>VLOOKUP($A21,'Data shares'!$C:$FA,97)</f>
        <v>-1.7299999999999999E-2</v>
      </c>
      <c r="N21" s="86">
        <f>VLOOKUP($A21,'Data shares'!$C:$FA,78)</f>
        <v>11622000</v>
      </c>
      <c r="O21" s="87">
        <f>VLOOKUP($A21,'Data shares'!$C:$FA,81)</f>
        <v>4.5999999999999999E-3</v>
      </c>
    </row>
    <row r="22" spans="1:15" x14ac:dyDescent="0.25">
      <c r="A22" s="100" t="str">
        <f>'OI(Value)'!A22</f>
        <v>ASTRAL</v>
      </c>
      <c r="B22" s="82">
        <f>VLOOKUP(A22,'Data shares'!$C$2:$CV$215,98,0)</f>
        <v>13217925</v>
      </c>
      <c r="C22" s="82">
        <f>VLOOKUP(A22,'Data shares'!$C$2:$CX$215,100,0)</f>
        <v>-118150</v>
      </c>
      <c r="D22" s="141">
        <f>VLOOKUP(A22,'Data shares'!$C$2:$CY$538,101,0)</f>
        <v>-8.8999999999999999E-3</v>
      </c>
      <c r="E22" s="86">
        <f>VLOOKUP($A22,'Data shares'!$C:$FA,74)</f>
        <v>7620675</v>
      </c>
      <c r="F22" s="86">
        <f>VLOOKUP($A22,'Data shares'!$C:$FA,76)</f>
        <v>-61625</v>
      </c>
      <c r="G22" s="87">
        <f>VLOOKUP(A22,'Data shares'!$C$2:$CA$215,77,0)</f>
        <v>-8.0000000000000002E-3</v>
      </c>
      <c r="H22" s="86">
        <f>VLOOKUP($A22,'Data shares'!$C:$FA,90)</f>
        <v>3717900</v>
      </c>
      <c r="I22" s="86">
        <f>VLOOKUP($A22,'Data shares'!$C:$FA,92)</f>
        <v>69275</v>
      </c>
      <c r="J22" s="87">
        <f>VLOOKUP($A22,'Data shares'!$C:$FA,93)</f>
        <v>1.9E-2</v>
      </c>
      <c r="K22" s="86">
        <f>VLOOKUP($A22,'Data shares'!$C:$FA,94)</f>
        <v>1879350</v>
      </c>
      <c r="L22" s="86">
        <f>VLOOKUP($A22,'Data shares'!$C:$FA,96)</f>
        <v>-125800</v>
      </c>
      <c r="M22" s="87">
        <f>VLOOKUP($A22,'Data shares'!$C:$FA,97)</f>
        <v>-6.2700000000000006E-2</v>
      </c>
      <c r="N22" s="86">
        <f>VLOOKUP($A22,'Data shares'!$C:$FA,78)</f>
        <v>6908375</v>
      </c>
      <c r="O22" s="87">
        <f>VLOOKUP($A22,'Data shares'!$C:$FA,81)</f>
        <v>-1.41E-2</v>
      </c>
    </row>
    <row r="23" spans="1:15" x14ac:dyDescent="0.25">
      <c r="A23" s="100" t="str">
        <f>'OI(Value)'!A23</f>
        <v>AUBANK</v>
      </c>
      <c r="B23" s="82">
        <f>VLOOKUP(A23,'Data shares'!$C$2:$CV$215,98,0)</f>
        <v>37009000</v>
      </c>
      <c r="C23" s="82">
        <f>VLOOKUP(A23,'Data shares'!$C$2:$CX$215,100,0)</f>
        <v>1946000</v>
      </c>
      <c r="D23" s="141">
        <f>VLOOKUP(A23,'Data shares'!$C$2:$CY$538,101,0)</f>
        <v>5.5500000000000001E-2</v>
      </c>
      <c r="E23" s="86">
        <f>VLOOKUP($A23,'Data shares'!$C:$FA,74)</f>
        <v>21323000</v>
      </c>
      <c r="F23" s="86">
        <f>VLOOKUP($A23,'Data shares'!$C:$FA,76)</f>
        <v>1049000</v>
      </c>
      <c r="G23" s="87">
        <f>VLOOKUP(A23,'Data shares'!$C$2:$CA$215,77,0)</f>
        <v>5.1700000000000003E-2</v>
      </c>
      <c r="H23" s="86">
        <f>VLOOKUP($A23,'Data shares'!$C:$FA,90)</f>
        <v>8661000</v>
      </c>
      <c r="I23" s="86">
        <f>VLOOKUP($A23,'Data shares'!$C:$FA,92)</f>
        <v>616000</v>
      </c>
      <c r="J23" s="87">
        <f>VLOOKUP($A23,'Data shares'!$C:$FA,93)</f>
        <v>7.6600000000000001E-2</v>
      </c>
      <c r="K23" s="86">
        <f>VLOOKUP($A23,'Data shares'!$C:$FA,94)</f>
        <v>7025000</v>
      </c>
      <c r="L23" s="86">
        <f>VLOOKUP($A23,'Data shares'!$C:$FA,96)</f>
        <v>281000</v>
      </c>
      <c r="M23" s="87">
        <f>VLOOKUP($A23,'Data shares'!$C:$FA,97)</f>
        <v>4.1700000000000001E-2</v>
      </c>
      <c r="N23" s="86">
        <f>VLOOKUP($A23,'Data shares'!$C:$FA,78)</f>
        <v>18649000</v>
      </c>
      <c r="O23" s="87">
        <f>VLOOKUP($A23,'Data shares'!$C:$FA,81)</f>
        <v>3.2300000000000002E-2</v>
      </c>
    </row>
    <row r="24" spans="1:15" x14ac:dyDescent="0.25">
      <c r="A24" s="100" t="str">
        <f>'OI(Value)'!A24</f>
        <v>AUROPHARMA</v>
      </c>
      <c r="B24" s="82">
        <f>VLOOKUP(A24,'Data shares'!$C$2:$CV$215,98,0)</f>
        <v>31045850</v>
      </c>
      <c r="C24" s="82">
        <f>VLOOKUP(A24,'Data shares'!$C$2:$CX$215,100,0)</f>
        <v>222200</v>
      </c>
      <c r="D24" s="141">
        <f>VLOOKUP(A24,'Data shares'!$C$2:$CY$538,101,0)</f>
        <v>7.1999999999999998E-3</v>
      </c>
      <c r="E24" s="86">
        <f>VLOOKUP($A24,'Data shares'!$C:$FA,74)</f>
        <v>22402600</v>
      </c>
      <c r="F24" s="86">
        <f>VLOOKUP($A24,'Data shares'!$C:$FA,76)</f>
        <v>63800</v>
      </c>
      <c r="G24" s="87">
        <f>VLOOKUP(A24,'Data shares'!$C$2:$CA$215,77,0)</f>
        <v>2.8999999999999998E-3</v>
      </c>
      <c r="H24" s="86">
        <f>VLOOKUP($A24,'Data shares'!$C:$FA,90)</f>
        <v>5979600</v>
      </c>
      <c r="I24" s="86">
        <f>VLOOKUP($A24,'Data shares'!$C:$FA,92)</f>
        <v>129250</v>
      </c>
      <c r="J24" s="87">
        <f>VLOOKUP($A24,'Data shares'!$C:$FA,93)</f>
        <v>2.2100000000000002E-2</v>
      </c>
      <c r="K24" s="86">
        <f>VLOOKUP($A24,'Data shares'!$C:$FA,94)</f>
        <v>2663650</v>
      </c>
      <c r="L24" s="86">
        <f>VLOOKUP($A24,'Data shares'!$C:$FA,96)</f>
        <v>29150</v>
      </c>
      <c r="M24" s="87">
        <f>VLOOKUP($A24,'Data shares'!$C:$FA,97)</f>
        <v>1.11E-2</v>
      </c>
      <c r="N24" s="86">
        <f>VLOOKUP($A24,'Data shares'!$C:$FA,78)</f>
        <v>21665050</v>
      </c>
      <c r="O24" s="87">
        <f>VLOOKUP($A24,'Data shares'!$C:$FA,81)</f>
        <v>-3.8E-3</v>
      </c>
    </row>
    <row r="25" spans="1:15" x14ac:dyDescent="0.25">
      <c r="A25" s="100" t="str">
        <f>'OI(Value)'!A25</f>
        <v>AXISBANK</v>
      </c>
      <c r="B25" s="82">
        <f>VLOOKUP(A25,'Data shares'!$C$2:$CV$215,98,0)</f>
        <v>129960000</v>
      </c>
      <c r="C25" s="82">
        <f>VLOOKUP(A25,'Data shares'!$C$2:$CX$215,100,0)</f>
        <v>-5211250</v>
      </c>
      <c r="D25" s="141">
        <f>VLOOKUP(A25,'Data shares'!$C$2:$CY$538,101,0)</f>
        <v>-3.8600000000000002E-2</v>
      </c>
      <c r="E25" s="86">
        <f>VLOOKUP($A25,'Data shares'!$C:$FA,74)</f>
        <v>77492500</v>
      </c>
      <c r="F25" s="86">
        <f>VLOOKUP($A25,'Data shares'!$C:$FA,76)</f>
        <v>-82500</v>
      </c>
      <c r="G25" s="87">
        <f>VLOOKUP(A25,'Data shares'!$C$2:$CA$215,77,0)</f>
        <v>-1.1000000000000001E-3</v>
      </c>
      <c r="H25" s="86">
        <f>VLOOKUP($A25,'Data shares'!$C:$FA,90)</f>
        <v>36412500</v>
      </c>
      <c r="I25" s="86">
        <f>VLOOKUP($A25,'Data shares'!$C:$FA,92)</f>
        <v>-3200000</v>
      </c>
      <c r="J25" s="87">
        <f>VLOOKUP($A25,'Data shares'!$C:$FA,93)</f>
        <v>-8.0799999999999997E-2</v>
      </c>
      <c r="K25" s="86">
        <f>VLOOKUP($A25,'Data shares'!$C:$FA,94)</f>
        <v>16055000</v>
      </c>
      <c r="L25" s="86">
        <f>VLOOKUP($A25,'Data shares'!$C:$FA,96)</f>
        <v>-1928750</v>
      </c>
      <c r="M25" s="87">
        <f>VLOOKUP($A25,'Data shares'!$C:$FA,97)</f>
        <v>-0.1072</v>
      </c>
      <c r="N25" s="86">
        <f>VLOOKUP($A25,'Data shares'!$C:$FA,78)</f>
        <v>68294375</v>
      </c>
      <c r="O25" s="87">
        <f>VLOOKUP($A25,'Data shares'!$C:$FA,81)</f>
        <v>-1.5299999999999999E-2</v>
      </c>
    </row>
    <row r="26" spans="1:15" x14ac:dyDescent="0.25">
      <c r="A26" s="100" t="str">
        <f>'OI(Value)'!A26</f>
        <v>BAJAJ-AUTO</v>
      </c>
      <c r="B26" s="82">
        <f>VLOOKUP(A26,'Data shares'!$C$2:$CV$215,98,0)</f>
        <v>6922500</v>
      </c>
      <c r="C26" s="82">
        <f>VLOOKUP(A26,'Data shares'!$C$2:$CX$215,100,0)</f>
        <v>143925</v>
      </c>
      <c r="D26" s="141">
        <f>VLOOKUP(A26,'Data shares'!$C$2:$CY$538,101,0)</f>
        <v>2.12E-2</v>
      </c>
      <c r="E26" s="86">
        <f>VLOOKUP($A26,'Data shares'!$C:$FA,74)</f>
        <v>3568275</v>
      </c>
      <c r="F26" s="86">
        <f>VLOOKUP($A26,'Data shares'!$C:$FA,76)</f>
        <v>67650</v>
      </c>
      <c r="G26" s="87">
        <f>VLOOKUP(A26,'Data shares'!$C$2:$CA$215,77,0)</f>
        <v>1.9300000000000001E-2</v>
      </c>
      <c r="H26" s="86">
        <f>VLOOKUP($A26,'Data shares'!$C:$FA,90)</f>
        <v>2185200</v>
      </c>
      <c r="I26" s="86">
        <f>VLOOKUP($A26,'Data shares'!$C:$FA,92)</f>
        <v>70200</v>
      </c>
      <c r="J26" s="87">
        <f>VLOOKUP($A26,'Data shares'!$C:$FA,93)</f>
        <v>3.32E-2</v>
      </c>
      <c r="K26" s="86">
        <f>VLOOKUP($A26,'Data shares'!$C:$FA,94)</f>
        <v>1169025</v>
      </c>
      <c r="L26" s="86">
        <f>VLOOKUP($A26,'Data shares'!$C:$FA,96)</f>
        <v>6075</v>
      </c>
      <c r="M26" s="87">
        <f>VLOOKUP($A26,'Data shares'!$C:$FA,97)</f>
        <v>5.1999999999999998E-3</v>
      </c>
      <c r="N26" s="86">
        <f>VLOOKUP($A26,'Data shares'!$C:$FA,78)</f>
        <v>3272175</v>
      </c>
      <c r="O26" s="87">
        <f>VLOOKUP($A26,'Data shares'!$C:$FA,81)</f>
        <v>-1.8499999999999999E-2</v>
      </c>
    </row>
    <row r="27" spans="1:15" x14ac:dyDescent="0.25">
      <c r="A27" s="100" t="str">
        <f>'OI(Value)'!A27</f>
        <v>BAJAJFINSV</v>
      </c>
      <c r="B27" s="82">
        <f>VLOOKUP(A27,'Data shares'!$C$2:$CV$215,98,0)</f>
        <v>27803750</v>
      </c>
      <c r="C27" s="82">
        <f>VLOOKUP(A27,'Data shares'!$C$2:$CX$215,100,0)</f>
        <v>335500</v>
      </c>
      <c r="D27" s="141">
        <f>VLOOKUP(A27,'Data shares'!$C$2:$CY$538,101,0)</f>
        <v>1.2200000000000001E-2</v>
      </c>
      <c r="E27" s="86">
        <f>VLOOKUP($A27,'Data shares'!$C:$FA,74)</f>
        <v>18559500</v>
      </c>
      <c r="F27" s="86">
        <f>VLOOKUP($A27,'Data shares'!$C:$FA,76)</f>
        <v>84000</v>
      </c>
      <c r="G27" s="87">
        <f>VLOOKUP(A27,'Data shares'!$C$2:$CA$215,77,0)</f>
        <v>4.4999999999999997E-3</v>
      </c>
      <c r="H27" s="86">
        <f>VLOOKUP($A27,'Data shares'!$C:$FA,90)</f>
        <v>5588000</v>
      </c>
      <c r="I27" s="86">
        <f>VLOOKUP($A27,'Data shares'!$C:$FA,92)</f>
        <v>319250</v>
      </c>
      <c r="J27" s="87">
        <f>VLOOKUP($A27,'Data shares'!$C:$FA,93)</f>
        <v>6.0600000000000001E-2</v>
      </c>
      <c r="K27" s="86">
        <f>VLOOKUP($A27,'Data shares'!$C:$FA,94)</f>
        <v>3656250</v>
      </c>
      <c r="L27" s="86">
        <f>VLOOKUP($A27,'Data shares'!$C:$FA,96)</f>
        <v>-67750</v>
      </c>
      <c r="M27" s="87">
        <f>VLOOKUP($A27,'Data shares'!$C:$FA,97)</f>
        <v>-1.8200000000000001E-2</v>
      </c>
      <c r="N27" s="86">
        <f>VLOOKUP($A27,'Data shares'!$C:$FA,78)</f>
        <v>15905000</v>
      </c>
      <c r="O27" s="87">
        <f>VLOOKUP($A27,'Data shares'!$C:$FA,81)</f>
        <v>-1.6E-2</v>
      </c>
    </row>
    <row r="28" spans="1:15" x14ac:dyDescent="0.25">
      <c r="A28" s="100" t="str">
        <f>'OI(Value)'!A28</f>
        <v>BAJFINANCE</v>
      </c>
      <c r="B28" s="82">
        <f>VLOOKUP(A28,'Data shares'!$C$2:$CV$215,98,0)</f>
        <v>139824750</v>
      </c>
      <c r="C28" s="82">
        <f>VLOOKUP(A28,'Data shares'!$C$2:$CX$215,100,0)</f>
        <v>179250</v>
      </c>
      <c r="D28" s="141">
        <f>VLOOKUP(A28,'Data shares'!$C$2:$CY$538,101,0)</f>
        <v>1.2999999999999999E-3</v>
      </c>
      <c r="E28" s="86">
        <f>VLOOKUP($A28,'Data shares'!$C:$FA,74)</f>
        <v>88182000</v>
      </c>
      <c r="F28" s="86">
        <f>VLOOKUP($A28,'Data shares'!$C:$FA,76)</f>
        <v>-564750</v>
      </c>
      <c r="G28" s="87">
        <f>VLOOKUP(A28,'Data shares'!$C$2:$CA$215,77,0)</f>
        <v>-6.4000000000000003E-3</v>
      </c>
      <c r="H28" s="86">
        <f>VLOOKUP($A28,'Data shares'!$C:$FA,90)</f>
        <v>32435250</v>
      </c>
      <c r="I28" s="86">
        <f>VLOOKUP($A28,'Data shares'!$C:$FA,92)</f>
        <v>252000</v>
      </c>
      <c r="J28" s="87">
        <f>VLOOKUP($A28,'Data shares'!$C:$FA,93)</f>
        <v>7.7999999999999996E-3</v>
      </c>
      <c r="K28" s="86">
        <f>VLOOKUP($A28,'Data shares'!$C:$FA,94)</f>
        <v>19207500</v>
      </c>
      <c r="L28" s="86">
        <f>VLOOKUP($A28,'Data shares'!$C:$FA,96)</f>
        <v>492000</v>
      </c>
      <c r="M28" s="87">
        <f>VLOOKUP($A28,'Data shares'!$C:$FA,97)</f>
        <v>2.63E-2</v>
      </c>
      <c r="N28" s="86">
        <f>VLOOKUP($A28,'Data shares'!$C:$FA,78)</f>
        <v>77315250</v>
      </c>
      <c r="O28" s="87">
        <f>VLOOKUP($A28,'Data shares'!$C:$FA,81)</f>
        <v>-3.3799999999999997E-2</v>
      </c>
    </row>
    <row r="29" spans="1:15" x14ac:dyDescent="0.25">
      <c r="A29" s="100" t="str">
        <f>'OI(Value)'!A29</f>
        <v>BANDHANBNK</v>
      </c>
      <c r="B29" s="82">
        <f>VLOOKUP(A29,'Data shares'!$C$2:$CV$215,98,0)</f>
        <v>183423600</v>
      </c>
      <c r="C29" s="82">
        <f>VLOOKUP(A29,'Data shares'!$C$2:$CX$215,100,0)</f>
        <v>-410400</v>
      </c>
      <c r="D29" s="141">
        <f>VLOOKUP(A29,'Data shares'!$C$2:$CY$538,101,0)</f>
        <v>-2.2000000000000001E-3</v>
      </c>
      <c r="E29" s="86">
        <f>VLOOKUP($A29,'Data shares'!$C:$FA,74)</f>
        <v>113292000</v>
      </c>
      <c r="F29" s="86">
        <f>VLOOKUP($A29,'Data shares'!$C:$FA,76)</f>
        <v>-244800</v>
      </c>
      <c r="G29" s="87">
        <f>VLOOKUP(A29,'Data shares'!$C$2:$CA$215,77,0)</f>
        <v>-2.2000000000000001E-3</v>
      </c>
      <c r="H29" s="86">
        <f>VLOOKUP($A29,'Data shares'!$C:$FA,90)</f>
        <v>41889600</v>
      </c>
      <c r="I29" s="86">
        <f>VLOOKUP($A29,'Data shares'!$C:$FA,92)</f>
        <v>-115200</v>
      </c>
      <c r="J29" s="87">
        <f>VLOOKUP($A29,'Data shares'!$C:$FA,93)</f>
        <v>-2.7000000000000001E-3</v>
      </c>
      <c r="K29" s="86">
        <f>VLOOKUP($A29,'Data shares'!$C:$FA,94)</f>
        <v>28242000</v>
      </c>
      <c r="L29" s="86">
        <f>VLOOKUP($A29,'Data shares'!$C:$FA,96)</f>
        <v>-50400</v>
      </c>
      <c r="M29" s="87">
        <f>VLOOKUP($A29,'Data shares'!$C:$FA,97)</f>
        <v>-1.8E-3</v>
      </c>
      <c r="N29" s="86">
        <f>VLOOKUP($A29,'Data shares'!$C:$FA,78)</f>
        <v>106218000</v>
      </c>
      <c r="O29" s="87">
        <f>VLOOKUP($A29,'Data shares'!$C:$FA,81)</f>
        <v>-2.0999999999999999E-3</v>
      </c>
    </row>
    <row r="30" spans="1:15" x14ac:dyDescent="0.25">
      <c r="A30" s="100" t="str">
        <f>'OI(Value)'!A30</f>
        <v>BANKBARODA</v>
      </c>
      <c r="B30" s="82">
        <f>VLOOKUP(A30,'Data shares'!$C$2:$CV$215,98,0)</f>
        <v>178343100</v>
      </c>
      <c r="C30" s="82">
        <f>VLOOKUP(A30,'Data shares'!$C$2:$CX$215,100,0)</f>
        <v>-4165200</v>
      </c>
      <c r="D30" s="141">
        <f>VLOOKUP(A30,'Data shares'!$C$2:$CY$538,101,0)</f>
        <v>-2.2800000000000001E-2</v>
      </c>
      <c r="E30" s="86">
        <f>VLOOKUP($A30,'Data shares'!$C:$FA,74)</f>
        <v>87609600</v>
      </c>
      <c r="F30" s="86">
        <f>VLOOKUP($A30,'Data shares'!$C:$FA,76)</f>
        <v>-1371825</v>
      </c>
      <c r="G30" s="87">
        <f>VLOOKUP(A30,'Data shares'!$C$2:$CA$215,77,0)</f>
        <v>-1.54E-2</v>
      </c>
      <c r="H30" s="86">
        <f>VLOOKUP($A30,'Data shares'!$C:$FA,90)</f>
        <v>50625900</v>
      </c>
      <c r="I30" s="86">
        <f>VLOOKUP($A30,'Data shares'!$C:$FA,92)</f>
        <v>-3232125</v>
      </c>
      <c r="J30" s="87">
        <f>VLOOKUP($A30,'Data shares'!$C:$FA,93)</f>
        <v>-0.06</v>
      </c>
      <c r="K30" s="86">
        <f>VLOOKUP($A30,'Data shares'!$C:$FA,94)</f>
        <v>40107600</v>
      </c>
      <c r="L30" s="86">
        <f>VLOOKUP($A30,'Data shares'!$C:$FA,96)</f>
        <v>438750</v>
      </c>
      <c r="M30" s="87">
        <f>VLOOKUP($A30,'Data shares'!$C:$FA,97)</f>
        <v>1.11E-2</v>
      </c>
      <c r="N30" s="86">
        <f>VLOOKUP($A30,'Data shares'!$C:$FA,78)</f>
        <v>79457625</v>
      </c>
      <c r="O30" s="87">
        <f>VLOOKUP($A30,'Data shares'!$C:$FA,81)</f>
        <v>-2.7199999999999998E-2</v>
      </c>
    </row>
    <row r="31" spans="1:15" x14ac:dyDescent="0.25">
      <c r="A31" s="100" t="str">
        <f>'OI(Value)'!A31</f>
        <v>BANKINDIA</v>
      </c>
      <c r="B31" s="82">
        <f>VLOOKUP(A31,'Data shares'!$C$2:$CV$215,98,0)</f>
        <v>97723600</v>
      </c>
      <c r="C31" s="82">
        <f>VLOOKUP(A31,'Data shares'!$C$2:$CX$215,100,0)</f>
        <v>1450800</v>
      </c>
      <c r="D31" s="141">
        <f>VLOOKUP(A31,'Data shares'!$C$2:$CY$538,101,0)</f>
        <v>1.5100000000000001E-2</v>
      </c>
      <c r="E31" s="86">
        <f>VLOOKUP($A31,'Data shares'!$C:$FA,74)</f>
        <v>50185200</v>
      </c>
      <c r="F31" s="86">
        <f>VLOOKUP($A31,'Data shares'!$C:$FA,76)</f>
        <v>-1913600</v>
      </c>
      <c r="G31" s="87">
        <f>VLOOKUP(A31,'Data shares'!$C$2:$CA$215,77,0)</f>
        <v>-3.6700000000000003E-2</v>
      </c>
      <c r="H31" s="86">
        <f>VLOOKUP($A31,'Data shares'!$C:$FA,90)</f>
        <v>27596400</v>
      </c>
      <c r="I31" s="86">
        <f>VLOOKUP($A31,'Data shares'!$C:$FA,92)</f>
        <v>2002000</v>
      </c>
      <c r="J31" s="87">
        <f>VLOOKUP($A31,'Data shares'!$C:$FA,93)</f>
        <v>7.8200000000000006E-2</v>
      </c>
      <c r="K31" s="86">
        <f>VLOOKUP($A31,'Data shares'!$C:$FA,94)</f>
        <v>19942000</v>
      </c>
      <c r="L31" s="86">
        <f>VLOOKUP($A31,'Data shares'!$C:$FA,96)</f>
        <v>1362400</v>
      </c>
      <c r="M31" s="87">
        <f>VLOOKUP($A31,'Data shares'!$C:$FA,97)</f>
        <v>7.3300000000000004E-2</v>
      </c>
      <c r="N31" s="86">
        <f>VLOOKUP($A31,'Data shares'!$C:$FA,78)</f>
        <v>47117200</v>
      </c>
      <c r="O31" s="87">
        <f>VLOOKUP($A31,'Data shares'!$C:$FA,81)</f>
        <v>-4.0599999999999997E-2</v>
      </c>
    </row>
    <row r="32" spans="1:15" x14ac:dyDescent="0.25">
      <c r="A32" s="100" t="str">
        <f>'OI(Value)'!A32</f>
        <v>BANKNIFTY</v>
      </c>
      <c r="B32" s="82">
        <f>VLOOKUP(A32,'Data shares'!$C$2:$CV$215,98,0)</f>
        <v>41846525</v>
      </c>
      <c r="C32" s="82">
        <f>VLOOKUP(A32,'Data shares'!$C$2:$CX$215,100,0)</f>
        <v>952365</v>
      </c>
      <c r="D32" s="141">
        <f>VLOOKUP(A32,'Data shares'!$C$2:$CY$538,101,0)</f>
        <v>2.3300000000000001E-2</v>
      </c>
      <c r="E32" s="86">
        <f>VLOOKUP($A32,'Data shares'!$C:$FA,74)</f>
        <v>2096460</v>
      </c>
      <c r="F32" s="86">
        <f>VLOOKUP($A32,'Data shares'!$C:$FA,76)</f>
        <v>-9665</v>
      </c>
      <c r="G32" s="87">
        <f>VLOOKUP(A32,'Data shares'!$C$2:$CA$215,77,0)</f>
        <v>-4.5999999999999999E-3</v>
      </c>
      <c r="H32" s="86">
        <f>VLOOKUP($A32,'Data shares'!$C:$FA,90)</f>
        <v>22702860</v>
      </c>
      <c r="I32" s="86">
        <f>VLOOKUP($A32,'Data shares'!$C:$FA,92)</f>
        <v>815410</v>
      </c>
      <c r="J32" s="87">
        <f>VLOOKUP($A32,'Data shares'!$C:$FA,93)</f>
        <v>3.73E-2</v>
      </c>
      <c r="K32" s="86">
        <f>VLOOKUP($A32,'Data shares'!$C:$FA,94)</f>
        <v>17047205</v>
      </c>
      <c r="L32" s="86">
        <f>VLOOKUP($A32,'Data shares'!$C:$FA,96)</f>
        <v>146620</v>
      </c>
      <c r="M32" s="87">
        <f>VLOOKUP($A32,'Data shares'!$C:$FA,97)</f>
        <v>8.6999999999999994E-3</v>
      </c>
      <c r="N32" s="86">
        <f>VLOOKUP($A32,'Data shares'!$C:$FA,78)</f>
        <v>1844640</v>
      </c>
      <c r="O32" s="87">
        <f>VLOOKUP($A32,'Data shares'!$C:$FA,81)</f>
        <v>-1.5699999999999999E-2</v>
      </c>
    </row>
    <row r="33" spans="1:15" x14ac:dyDescent="0.25">
      <c r="A33" s="100" t="str">
        <f>'OI(Value)'!A33</f>
        <v>BDL</v>
      </c>
      <c r="B33" s="82">
        <f>VLOOKUP(A33,'Data shares'!$C$2:$CV$215,98,0)</f>
        <v>15250650</v>
      </c>
      <c r="C33" s="82">
        <f>VLOOKUP(A33,'Data shares'!$C$2:$CX$215,100,0)</f>
        <v>645350</v>
      </c>
      <c r="D33" s="141">
        <f>VLOOKUP(A33,'Data shares'!$C$2:$CY$538,101,0)</f>
        <v>4.4200000000000003E-2</v>
      </c>
      <c r="E33" s="86">
        <f>VLOOKUP($A33,'Data shares'!$C:$FA,74)</f>
        <v>4817525</v>
      </c>
      <c r="F33" s="86">
        <f>VLOOKUP($A33,'Data shares'!$C:$FA,76)</f>
        <v>60825</v>
      </c>
      <c r="G33" s="87">
        <f>VLOOKUP(A33,'Data shares'!$C$2:$CA$215,77,0)</f>
        <v>1.2800000000000001E-2</v>
      </c>
      <c r="H33" s="86">
        <f>VLOOKUP($A33,'Data shares'!$C:$FA,90)</f>
        <v>7476700</v>
      </c>
      <c r="I33" s="86">
        <f>VLOOKUP($A33,'Data shares'!$C:$FA,92)</f>
        <v>477500</v>
      </c>
      <c r="J33" s="87">
        <f>VLOOKUP($A33,'Data shares'!$C:$FA,93)</f>
        <v>6.8199999999999997E-2</v>
      </c>
      <c r="K33" s="86">
        <f>VLOOKUP($A33,'Data shares'!$C:$FA,94)</f>
        <v>2956425</v>
      </c>
      <c r="L33" s="86">
        <f>VLOOKUP($A33,'Data shares'!$C:$FA,96)</f>
        <v>107025</v>
      </c>
      <c r="M33" s="87">
        <f>VLOOKUP($A33,'Data shares'!$C:$FA,97)</f>
        <v>3.7600000000000001E-2</v>
      </c>
      <c r="N33" s="86">
        <f>VLOOKUP($A33,'Data shares'!$C:$FA,78)</f>
        <v>4166175</v>
      </c>
      <c r="O33" s="87">
        <f>VLOOKUP($A33,'Data shares'!$C:$FA,81)</f>
        <v>-4.1000000000000003E-3</v>
      </c>
    </row>
    <row r="34" spans="1:15" x14ac:dyDescent="0.25">
      <c r="A34" s="100" t="str">
        <f>'OI(Value)'!A34</f>
        <v>BEL</v>
      </c>
      <c r="B34" s="82">
        <f>VLOOKUP(A34,'Data shares'!$C$2:$CV$215,98,0)</f>
        <v>258319725</v>
      </c>
      <c r="C34" s="82">
        <f>VLOOKUP(A34,'Data shares'!$C$2:$CX$215,100,0)</f>
        <v>651225</v>
      </c>
      <c r="D34" s="141">
        <f>VLOOKUP(A34,'Data shares'!$C$2:$CY$538,101,0)</f>
        <v>2.5000000000000001E-3</v>
      </c>
      <c r="E34" s="86">
        <f>VLOOKUP($A34,'Data shares'!$C:$FA,74)</f>
        <v>122749500</v>
      </c>
      <c r="F34" s="86">
        <f>VLOOKUP($A34,'Data shares'!$C:$FA,76)</f>
        <v>1568925</v>
      </c>
      <c r="G34" s="87">
        <f>VLOOKUP(A34,'Data shares'!$C$2:$CA$215,77,0)</f>
        <v>1.29E-2</v>
      </c>
      <c r="H34" s="86">
        <f>VLOOKUP($A34,'Data shares'!$C:$FA,90)</f>
        <v>93129450</v>
      </c>
      <c r="I34" s="86">
        <f>VLOOKUP($A34,'Data shares'!$C:$FA,92)</f>
        <v>-551475</v>
      </c>
      <c r="J34" s="87">
        <f>VLOOKUP($A34,'Data shares'!$C:$FA,93)</f>
        <v>-5.8999999999999999E-3</v>
      </c>
      <c r="K34" s="86">
        <f>VLOOKUP($A34,'Data shares'!$C:$FA,94)</f>
        <v>42440775</v>
      </c>
      <c r="L34" s="86">
        <f>VLOOKUP($A34,'Data shares'!$C:$FA,96)</f>
        <v>-366225</v>
      </c>
      <c r="M34" s="87">
        <f>VLOOKUP($A34,'Data shares'!$C:$FA,97)</f>
        <v>-8.6E-3</v>
      </c>
      <c r="N34" s="86">
        <f>VLOOKUP($A34,'Data shares'!$C:$FA,78)</f>
        <v>103256925</v>
      </c>
      <c r="O34" s="87">
        <f>VLOOKUP($A34,'Data shares'!$C:$FA,81)</f>
        <v>-9.5999999999999992E-3</v>
      </c>
    </row>
    <row r="35" spans="1:15" x14ac:dyDescent="0.25">
      <c r="A35" s="100" t="str">
        <f>'OI(Value)'!A35</f>
        <v>BHARATFORG</v>
      </c>
      <c r="B35" s="82">
        <f>VLOOKUP(A35,'Data shares'!$C$2:$CV$215,98,0)</f>
        <v>13774000</v>
      </c>
      <c r="C35" s="82">
        <f>VLOOKUP(A35,'Data shares'!$C$2:$CX$215,100,0)</f>
        <v>233000</v>
      </c>
      <c r="D35" s="141">
        <f>VLOOKUP(A35,'Data shares'!$C$2:$CY$538,101,0)</f>
        <v>1.72E-2</v>
      </c>
      <c r="E35" s="86">
        <f>VLOOKUP($A35,'Data shares'!$C:$FA,74)</f>
        <v>7913000</v>
      </c>
      <c r="F35" s="86">
        <f>VLOOKUP($A35,'Data shares'!$C:$FA,76)</f>
        <v>146000</v>
      </c>
      <c r="G35" s="87">
        <f>VLOOKUP(A35,'Data shares'!$C$2:$CA$215,77,0)</f>
        <v>1.8800000000000001E-2</v>
      </c>
      <c r="H35" s="86">
        <f>VLOOKUP($A35,'Data shares'!$C:$FA,90)</f>
        <v>3607500</v>
      </c>
      <c r="I35" s="86">
        <f>VLOOKUP($A35,'Data shares'!$C:$FA,92)</f>
        <v>40500</v>
      </c>
      <c r="J35" s="87">
        <f>VLOOKUP($A35,'Data shares'!$C:$FA,93)</f>
        <v>1.14E-2</v>
      </c>
      <c r="K35" s="86">
        <f>VLOOKUP($A35,'Data shares'!$C:$FA,94)</f>
        <v>2253500</v>
      </c>
      <c r="L35" s="86">
        <f>VLOOKUP($A35,'Data shares'!$C:$FA,96)</f>
        <v>46500</v>
      </c>
      <c r="M35" s="87">
        <f>VLOOKUP($A35,'Data shares'!$C:$FA,97)</f>
        <v>2.1100000000000001E-2</v>
      </c>
      <c r="N35" s="86">
        <f>VLOOKUP($A35,'Data shares'!$C:$FA,78)</f>
        <v>7221500</v>
      </c>
      <c r="O35" s="87">
        <f>VLOOKUP($A35,'Data shares'!$C:$FA,81)</f>
        <v>-5.9999999999999995E-4</v>
      </c>
    </row>
    <row r="36" spans="1:15" x14ac:dyDescent="0.25">
      <c r="A36" s="100" t="str">
        <f>'OI(Value)'!A36</f>
        <v>BHARTIARTL</v>
      </c>
      <c r="B36" s="82">
        <f>VLOOKUP(A36,'Data shares'!$C$2:$CV$215,98,0)</f>
        <v>75420500</v>
      </c>
      <c r="C36" s="82">
        <f>VLOOKUP(A36,'Data shares'!$C$2:$CX$215,100,0)</f>
        <v>-1421200</v>
      </c>
      <c r="D36" s="141">
        <f>VLOOKUP(A36,'Data shares'!$C$2:$CY$538,101,0)</f>
        <v>-1.8499999999999999E-2</v>
      </c>
      <c r="E36" s="86">
        <f>VLOOKUP($A36,'Data shares'!$C:$FA,74)</f>
        <v>46579450</v>
      </c>
      <c r="F36" s="86">
        <f>VLOOKUP($A36,'Data shares'!$C:$FA,76)</f>
        <v>-861650</v>
      </c>
      <c r="G36" s="87">
        <f>VLOOKUP(A36,'Data shares'!$C$2:$CA$215,77,0)</f>
        <v>-1.8200000000000001E-2</v>
      </c>
      <c r="H36" s="86">
        <f>VLOOKUP($A36,'Data shares'!$C:$FA,90)</f>
        <v>19246050</v>
      </c>
      <c r="I36" s="86">
        <f>VLOOKUP($A36,'Data shares'!$C:$FA,92)</f>
        <v>-477375</v>
      </c>
      <c r="J36" s="87">
        <f>VLOOKUP($A36,'Data shares'!$C:$FA,93)</f>
        <v>-2.4199999999999999E-2</v>
      </c>
      <c r="K36" s="86">
        <f>VLOOKUP($A36,'Data shares'!$C:$FA,94)</f>
        <v>9595000</v>
      </c>
      <c r="L36" s="86">
        <f>VLOOKUP($A36,'Data shares'!$C:$FA,96)</f>
        <v>-82175</v>
      </c>
      <c r="M36" s="87">
        <f>VLOOKUP($A36,'Data shares'!$C:$FA,97)</f>
        <v>-8.5000000000000006E-3</v>
      </c>
      <c r="N36" s="86">
        <f>VLOOKUP($A36,'Data shares'!$C:$FA,78)</f>
        <v>41700725</v>
      </c>
      <c r="O36" s="87">
        <f>VLOOKUP($A36,'Data shares'!$C:$FA,81)</f>
        <v>-2.8500000000000001E-2</v>
      </c>
    </row>
    <row r="37" spans="1:15" x14ac:dyDescent="0.25">
      <c r="A37" s="100" t="str">
        <f>'OI(Value)'!A37</f>
        <v>BHEL</v>
      </c>
      <c r="B37" s="82">
        <f>VLOOKUP(A37,'Data shares'!$C$2:$CV$215,98,0)</f>
        <v>140697375</v>
      </c>
      <c r="C37" s="82">
        <f>VLOOKUP(A37,'Data shares'!$C$2:$CX$215,100,0)</f>
        <v>1887375</v>
      </c>
      <c r="D37" s="141">
        <f>VLOOKUP(A37,'Data shares'!$C$2:$CY$538,101,0)</f>
        <v>1.3599999999999999E-2</v>
      </c>
      <c r="E37" s="86">
        <f>VLOOKUP($A37,'Data shares'!$C:$FA,74)</f>
        <v>63619500</v>
      </c>
      <c r="F37" s="86">
        <f>VLOOKUP($A37,'Data shares'!$C:$FA,76)</f>
        <v>-414750</v>
      </c>
      <c r="G37" s="87">
        <f>VLOOKUP(A37,'Data shares'!$C$2:$CA$215,77,0)</f>
        <v>-6.4999999999999997E-3</v>
      </c>
      <c r="H37" s="86">
        <f>VLOOKUP($A37,'Data shares'!$C:$FA,90)</f>
        <v>52179750</v>
      </c>
      <c r="I37" s="86">
        <f>VLOOKUP($A37,'Data shares'!$C:$FA,92)</f>
        <v>2273250</v>
      </c>
      <c r="J37" s="87">
        <f>VLOOKUP($A37,'Data shares'!$C:$FA,93)</f>
        <v>4.5600000000000002E-2</v>
      </c>
      <c r="K37" s="86">
        <f>VLOOKUP($A37,'Data shares'!$C:$FA,94)</f>
        <v>24898125</v>
      </c>
      <c r="L37" s="86">
        <f>VLOOKUP($A37,'Data shares'!$C:$FA,96)</f>
        <v>28875</v>
      </c>
      <c r="M37" s="87">
        <f>VLOOKUP($A37,'Data shares'!$C:$FA,97)</f>
        <v>1.1999999999999999E-3</v>
      </c>
      <c r="N37" s="86">
        <f>VLOOKUP($A37,'Data shares'!$C:$FA,78)</f>
        <v>59503500</v>
      </c>
      <c r="O37" s="87">
        <f>VLOOKUP($A37,'Data shares'!$C:$FA,81)</f>
        <v>-1.0999999999999999E-2</v>
      </c>
    </row>
    <row r="38" spans="1:15" x14ac:dyDescent="0.25">
      <c r="A38" s="100" t="str">
        <f>'OI(Value)'!A38</f>
        <v>BIOCON</v>
      </c>
      <c r="B38" s="82">
        <f>VLOOKUP(A38,'Data shares'!$C$2:$CV$215,98,0)</f>
        <v>98232500</v>
      </c>
      <c r="C38" s="82">
        <f>VLOOKUP(A38,'Data shares'!$C$2:$CX$215,100,0)</f>
        <v>-1252500</v>
      </c>
      <c r="D38" s="141">
        <f>VLOOKUP(A38,'Data shares'!$C$2:$CY$538,101,0)</f>
        <v>-1.26E-2</v>
      </c>
      <c r="E38" s="86">
        <f>VLOOKUP($A38,'Data shares'!$C:$FA,74)</f>
        <v>48540000</v>
      </c>
      <c r="F38" s="86">
        <f>VLOOKUP($A38,'Data shares'!$C:$FA,76)</f>
        <v>-92500</v>
      </c>
      <c r="G38" s="87">
        <f>VLOOKUP(A38,'Data shares'!$C$2:$CA$215,77,0)</f>
        <v>-1.9E-3</v>
      </c>
      <c r="H38" s="86">
        <f>VLOOKUP($A38,'Data shares'!$C:$FA,90)</f>
        <v>32985000</v>
      </c>
      <c r="I38" s="86">
        <f>VLOOKUP($A38,'Data shares'!$C:$FA,92)</f>
        <v>-967500</v>
      </c>
      <c r="J38" s="87">
        <f>VLOOKUP($A38,'Data shares'!$C:$FA,93)</f>
        <v>-2.8500000000000001E-2</v>
      </c>
      <c r="K38" s="86">
        <f>VLOOKUP($A38,'Data shares'!$C:$FA,94)</f>
        <v>16707500</v>
      </c>
      <c r="L38" s="86">
        <f>VLOOKUP($A38,'Data shares'!$C:$FA,96)</f>
        <v>-192500</v>
      </c>
      <c r="M38" s="87">
        <f>VLOOKUP($A38,'Data shares'!$C:$FA,97)</f>
        <v>-1.14E-2</v>
      </c>
      <c r="N38" s="86">
        <f>VLOOKUP($A38,'Data shares'!$C:$FA,78)</f>
        <v>46067500</v>
      </c>
      <c r="O38" s="87">
        <f>VLOOKUP($A38,'Data shares'!$C:$FA,81)</f>
        <v>-5.1999999999999998E-3</v>
      </c>
    </row>
    <row r="39" spans="1:15" x14ac:dyDescent="0.25">
      <c r="A39" s="100" t="str">
        <f>'OI(Value)'!A39</f>
        <v>BLUESTARCO</v>
      </c>
      <c r="B39" s="82">
        <f>VLOOKUP(A39,'Data shares'!$C$2:$CV$215,98,0)</f>
        <v>3654625</v>
      </c>
      <c r="C39" s="82">
        <f>VLOOKUP(A39,'Data shares'!$C$2:$CX$215,100,0)</f>
        <v>248300</v>
      </c>
      <c r="D39" s="141">
        <f>VLOOKUP(A39,'Data shares'!$C$2:$CY$538,101,0)</f>
        <v>7.2900000000000006E-2</v>
      </c>
      <c r="E39" s="86">
        <f>VLOOKUP($A39,'Data shares'!$C:$FA,74)</f>
        <v>2390050</v>
      </c>
      <c r="F39" s="86">
        <f>VLOOKUP($A39,'Data shares'!$C:$FA,76)</f>
        <v>14625</v>
      </c>
      <c r="G39" s="87">
        <f>VLOOKUP(A39,'Data shares'!$C$2:$CA$215,77,0)</f>
        <v>6.1999999999999998E-3</v>
      </c>
      <c r="H39" s="86">
        <f>VLOOKUP($A39,'Data shares'!$C:$FA,90)</f>
        <v>743925</v>
      </c>
      <c r="I39" s="86">
        <f>VLOOKUP($A39,'Data shares'!$C:$FA,92)</f>
        <v>167700</v>
      </c>
      <c r="J39" s="87">
        <f>VLOOKUP($A39,'Data shares'!$C:$FA,93)</f>
        <v>0.29099999999999998</v>
      </c>
      <c r="K39" s="86">
        <f>VLOOKUP($A39,'Data shares'!$C:$FA,94)</f>
        <v>520650</v>
      </c>
      <c r="L39" s="86">
        <f>VLOOKUP($A39,'Data shares'!$C:$FA,96)</f>
        <v>65975</v>
      </c>
      <c r="M39" s="87">
        <f>VLOOKUP($A39,'Data shares'!$C:$FA,97)</f>
        <v>0.14510000000000001</v>
      </c>
      <c r="N39" s="86">
        <f>VLOOKUP($A39,'Data shares'!$C:$FA,78)</f>
        <v>2199600</v>
      </c>
      <c r="O39" s="87">
        <f>VLOOKUP($A39,'Data shares'!$C:$FA,81)</f>
        <v>5.5999999999999999E-3</v>
      </c>
    </row>
    <row r="40" spans="1:15" x14ac:dyDescent="0.25">
      <c r="A40" s="100" t="str">
        <f>'OI(Value)'!A40</f>
        <v>BOSCHLTD</v>
      </c>
      <c r="B40" s="82">
        <f>VLOOKUP(A40,'Data shares'!$C$2:$CV$215,98,0)</f>
        <v>343525</v>
      </c>
      <c r="C40" s="82">
        <f>VLOOKUP(A40,'Data shares'!$C$2:$CX$215,100,0)</f>
        <v>11325</v>
      </c>
      <c r="D40" s="141">
        <f>VLOOKUP(A40,'Data shares'!$C$2:$CY$538,101,0)</f>
        <v>3.4099999999999998E-2</v>
      </c>
      <c r="E40" s="86">
        <f>VLOOKUP($A40,'Data shares'!$C:$FA,74)</f>
        <v>211875</v>
      </c>
      <c r="F40" s="86">
        <f>VLOOKUP($A40,'Data shares'!$C:$FA,76)</f>
        <v>2475</v>
      </c>
      <c r="G40" s="87">
        <f>VLOOKUP(A40,'Data shares'!$C$2:$CA$215,77,0)</f>
        <v>1.18E-2</v>
      </c>
      <c r="H40" s="86">
        <f>VLOOKUP($A40,'Data shares'!$C:$FA,90)</f>
        <v>89125</v>
      </c>
      <c r="I40" s="86">
        <f>VLOOKUP($A40,'Data shares'!$C:$FA,92)</f>
        <v>8450</v>
      </c>
      <c r="J40" s="87">
        <f>VLOOKUP($A40,'Data shares'!$C:$FA,93)</f>
        <v>0.1047</v>
      </c>
      <c r="K40" s="86">
        <f>VLOOKUP($A40,'Data shares'!$C:$FA,94)</f>
        <v>42525</v>
      </c>
      <c r="L40" s="86">
        <f>VLOOKUP($A40,'Data shares'!$C:$FA,96)</f>
        <v>400</v>
      </c>
      <c r="M40" s="87">
        <f>VLOOKUP($A40,'Data shares'!$C:$FA,97)</f>
        <v>9.4999999999999998E-3</v>
      </c>
      <c r="N40" s="86">
        <f>VLOOKUP($A40,'Data shares'!$C:$FA,78)</f>
        <v>201150</v>
      </c>
      <c r="O40" s="87">
        <f>VLOOKUP($A40,'Data shares'!$C:$FA,81)</f>
        <v>-2.2000000000000001E-3</v>
      </c>
    </row>
    <row r="41" spans="1:15" x14ac:dyDescent="0.25">
      <c r="A41" s="100" t="str">
        <f>'OI(Value)'!A41</f>
        <v>BPCL</v>
      </c>
      <c r="B41" s="82">
        <f>VLOOKUP(A41,'Data shares'!$C$2:$CV$215,98,0)</f>
        <v>59747700</v>
      </c>
      <c r="C41" s="82">
        <f>VLOOKUP(A41,'Data shares'!$C$2:$CX$215,100,0)</f>
        <v>361425</v>
      </c>
      <c r="D41" s="141">
        <f>VLOOKUP(A41,'Data shares'!$C$2:$CY$538,101,0)</f>
        <v>6.1000000000000004E-3</v>
      </c>
      <c r="E41" s="86">
        <f>VLOOKUP($A41,'Data shares'!$C:$FA,74)</f>
        <v>28319525</v>
      </c>
      <c r="F41" s="86">
        <f>VLOOKUP($A41,'Data shares'!$C:$FA,76)</f>
        <v>-626075</v>
      </c>
      <c r="G41" s="87">
        <f>VLOOKUP(A41,'Data shares'!$C$2:$CA$215,77,0)</f>
        <v>-2.1600000000000001E-2</v>
      </c>
      <c r="H41" s="86">
        <f>VLOOKUP($A41,'Data shares'!$C:$FA,90)</f>
        <v>19965275</v>
      </c>
      <c r="I41" s="86">
        <f>VLOOKUP($A41,'Data shares'!$C:$FA,92)</f>
        <v>795925</v>
      </c>
      <c r="J41" s="87">
        <f>VLOOKUP($A41,'Data shares'!$C:$FA,93)</f>
        <v>4.1500000000000002E-2</v>
      </c>
      <c r="K41" s="86">
        <f>VLOOKUP($A41,'Data shares'!$C:$FA,94)</f>
        <v>11462900</v>
      </c>
      <c r="L41" s="86">
        <f>VLOOKUP($A41,'Data shares'!$C:$FA,96)</f>
        <v>191575</v>
      </c>
      <c r="M41" s="87">
        <f>VLOOKUP($A41,'Data shares'!$C:$FA,97)</f>
        <v>1.7000000000000001E-2</v>
      </c>
      <c r="N41" s="86">
        <f>VLOOKUP($A41,'Data shares'!$C:$FA,78)</f>
        <v>26836300</v>
      </c>
      <c r="O41" s="87">
        <f>VLOOKUP($A41,'Data shares'!$C:$FA,81)</f>
        <v>-2.69E-2</v>
      </c>
    </row>
    <row r="42" spans="1:15" x14ac:dyDescent="0.25">
      <c r="A42" s="100" t="str">
        <f>'OI(Value)'!A42</f>
        <v>BRITANNIA</v>
      </c>
      <c r="B42" s="82">
        <f>VLOOKUP(A42,'Data shares'!$C$2:$CV$215,98,0)</f>
        <v>4771125</v>
      </c>
      <c r="C42" s="82">
        <f>VLOOKUP(A42,'Data shares'!$C$2:$CX$215,100,0)</f>
        <v>54750</v>
      </c>
      <c r="D42" s="141">
        <f>VLOOKUP(A42,'Data shares'!$C$2:$CY$538,101,0)</f>
        <v>1.1599999999999999E-2</v>
      </c>
      <c r="E42" s="86">
        <f>VLOOKUP($A42,'Data shares'!$C:$FA,74)</f>
        <v>2704875</v>
      </c>
      <c r="F42" s="86">
        <f>VLOOKUP($A42,'Data shares'!$C:$FA,76)</f>
        <v>-30125</v>
      </c>
      <c r="G42" s="87">
        <f>VLOOKUP(A42,'Data shares'!$C$2:$CA$215,77,0)</f>
        <v>-1.0999999999999999E-2</v>
      </c>
      <c r="H42" s="86">
        <f>VLOOKUP($A42,'Data shares'!$C:$FA,90)</f>
        <v>1263375</v>
      </c>
      <c r="I42" s="86">
        <f>VLOOKUP($A42,'Data shares'!$C:$FA,92)</f>
        <v>98375</v>
      </c>
      <c r="J42" s="87">
        <f>VLOOKUP($A42,'Data shares'!$C:$FA,93)</f>
        <v>8.4400000000000003E-2</v>
      </c>
      <c r="K42" s="86">
        <f>VLOOKUP($A42,'Data shares'!$C:$FA,94)</f>
        <v>802875</v>
      </c>
      <c r="L42" s="86">
        <f>VLOOKUP($A42,'Data shares'!$C:$FA,96)</f>
        <v>-13500</v>
      </c>
      <c r="M42" s="87">
        <f>VLOOKUP($A42,'Data shares'!$C:$FA,97)</f>
        <v>-1.6500000000000001E-2</v>
      </c>
      <c r="N42" s="86">
        <f>VLOOKUP($A42,'Data shares'!$C:$FA,78)</f>
        <v>2654500</v>
      </c>
      <c r="O42" s="87">
        <f>VLOOKUP($A42,'Data shares'!$C:$FA,81)</f>
        <v>-1.2500000000000001E-2</v>
      </c>
    </row>
    <row r="43" spans="1:15" x14ac:dyDescent="0.25">
      <c r="A43" s="100" t="str">
        <f>'OI(Value)'!A43</f>
        <v>BSE</v>
      </c>
      <c r="B43" s="82">
        <f>VLOOKUP(A43,'Data shares'!$C$2:$CV$215,98,0)</f>
        <v>34198500</v>
      </c>
      <c r="C43" s="82">
        <f>VLOOKUP(A43,'Data shares'!$C$2:$CX$215,100,0)</f>
        <v>-440250</v>
      </c>
      <c r="D43" s="141">
        <f>VLOOKUP(A43,'Data shares'!$C$2:$CY$538,101,0)</f>
        <v>-1.2699999999999999E-2</v>
      </c>
      <c r="E43" s="86">
        <f>VLOOKUP($A43,'Data shares'!$C:$FA,74)</f>
        <v>11711625</v>
      </c>
      <c r="F43" s="86">
        <f>VLOOKUP($A43,'Data shares'!$C:$FA,76)</f>
        <v>-204375</v>
      </c>
      <c r="G43" s="87">
        <f>VLOOKUP(A43,'Data shares'!$C$2:$CA$215,77,0)</f>
        <v>-1.72E-2</v>
      </c>
      <c r="H43" s="86">
        <f>VLOOKUP($A43,'Data shares'!$C:$FA,90)</f>
        <v>14941875</v>
      </c>
      <c r="I43" s="86">
        <f>VLOOKUP($A43,'Data shares'!$C:$FA,92)</f>
        <v>-110625</v>
      </c>
      <c r="J43" s="87">
        <f>VLOOKUP($A43,'Data shares'!$C:$FA,93)</f>
        <v>-7.3000000000000001E-3</v>
      </c>
      <c r="K43" s="86">
        <f>VLOOKUP($A43,'Data shares'!$C:$FA,94)</f>
        <v>7545000</v>
      </c>
      <c r="L43" s="86">
        <f>VLOOKUP($A43,'Data shares'!$C:$FA,96)</f>
        <v>-125250</v>
      </c>
      <c r="M43" s="87">
        <f>VLOOKUP($A43,'Data shares'!$C:$FA,97)</f>
        <v>-1.6299999999999999E-2</v>
      </c>
      <c r="N43" s="86">
        <f>VLOOKUP($A43,'Data shares'!$C:$FA,78)</f>
        <v>10194000</v>
      </c>
      <c r="O43" s="87">
        <f>VLOOKUP($A43,'Data shares'!$C:$FA,81)</f>
        <v>-3.6900000000000002E-2</v>
      </c>
    </row>
    <row r="44" spans="1:15" x14ac:dyDescent="0.25">
      <c r="A44" s="100" t="str">
        <f>'OI(Value)'!A44</f>
        <v>CAMS</v>
      </c>
      <c r="B44" s="82">
        <f>VLOOKUP(A44,'Data shares'!$C$2:$CV$215,98,0)</f>
        <v>19098000</v>
      </c>
      <c r="C44" s="82">
        <f>VLOOKUP(A44,'Data shares'!$C$2:$CX$215,100,0)</f>
        <v>554250</v>
      </c>
      <c r="D44" s="141">
        <f>VLOOKUP(A44,'Data shares'!$C$2:$CY$538,101,0)</f>
        <v>2.9899999999999999E-2</v>
      </c>
      <c r="E44" s="86">
        <f>VLOOKUP($A44,'Data shares'!$C:$FA,74)</f>
        <v>9324750</v>
      </c>
      <c r="F44" s="86">
        <f>VLOOKUP($A44,'Data shares'!$C:$FA,76)</f>
        <v>-62250</v>
      </c>
      <c r="G44" s="87">
        <f>VLOOKUP(A44,'Data shares'!$C$2:$CA$215,77,0)</f>
        <v>-6.6E-3</v>
      </c>
      <c r="H44" s="86">
        <f>VLOOKUP($A44,'Data shares'!$C:$FA,90)</f>
        <v>5910000</v>
      </c>
      <c r="I44" s="86">
        <f>VLOOKUP($A44,'Data shares'!$C:$FA,92)</f>
        <v>228000</v>
      </c>
      <c r="J44" s="87">
        <f>VLOOKUP($A44,'Data shares'!$C:$FA,93)</f>
        <v>4.0099999999999997E-2</v>
      </c>
      <c r="K44" s="86">
        <f>VLOOKUP($A44,'Data shares'!$C:$FA,94)</f>
        <v>3863250</v>
      </c>
      <c r="L44" s="86">
        <f>VLOOKUP($A44,'Data shares'!$C:$FA,96)</f>
        <v>388500</v>
      </c>
      <c r="M44" s="87">
        <f>VLOOKUP($A44,'Data shares'!$C:$FA,97)</f>
        <v>0.1118</v>
      </c>
      <c r="N44" s="86">
        <f>VLOOKUP($A44,'Data shares'!$C:$FA,78)</f>
        <v>8007750</v>
      </c>
      <c r="O44" s="87">
        <f>VLOOKUP($A44,'Data shares'!$C:$FA,81)</f>
        <v>-1.35E-2</v>
      </c>
    </row>
    <row r="45" spans="1:15" x14ac:dyDescent="0.25">
      <c r="A45" s="100" t="str">
        <f>'OI(Value)'!A45</f>
        <v>CANBK</v>
      </c>
      <c r="B45" s="82">
        <f>VLOOKUP(A45,'Data shares'!$C$2:$CV$215,98,0)</f>
        <v>346801500</v>
      </c>
      <c r="C45" s="82">
        <f>VLOOKUP(A45,'Data shares'!$C$2:$CX$215,100,0)</f>
        <v>-951750</v>
      </c>
      <c r="D45" s="141">
        <f>VLOOKUP(A45,'Data shares'!$C$2:$CY$538,101,0)</f>
        <v>-2.7000000000000001E-3</v>
      </c>
      <c r="E45" s="86">
        <f>VLOOKUP($A45,'Data shares'!$C:$FA,74)</f>
        <v>145266750</v>
      </c>
      <c r="F45" s="86">
        <f>VLOOKUP($A45,'Data shares'!$C:$FA,76)</f>
        <v>-722250</v>
      </c>
      <c r="G45" s="87">
        <f>VLOOKUP(A45,'Data shares'!$C$2:$CA$215,77,0)</f>
        <v>-4.8999999999999998E-3</v>
      </c>
      <c r="H45" s="86">
        <f>VLOOKUP($A45,'Data shares'!$C:$FA,90)</f>
        <v>110700000</v>
      </c>
      <c r="I45" s="86">
        <f>VLOOKUP($A45,'Data shares'!$C:$FA,92)</f>
        <v>-3996000</v>
      </c>
      <c r="J45" s="87">
        <f>VLOOKUP($A45,'Data shares'!$C:$FA,93)</f>
        <v>-3.4799999999999998E-2</v>
      </c>
      <c r="K45" s="86">
        <f>VLOOKUP($A45,'Data shares'!$C:$FA,94)</f>
        <v>90834750</v>
      </c>
      <c r="L45" s="86">
        <f>VLOOKUP($A45,'Data shares'!$C:$FA,96)</f>
        <v>3766500</v>
      </c>
      <c r="M45" s="87">
        <f>VLOOKUP($A45,'Data shares'!$C:$FA,97)</f>
        <v>4.3299999999999998E-2</v>
      </c>
      <c r="N45" s="86">
        <f>VLOOKUP($A45,'Data shares'!$C:$FA,78)</f>
        <v>122377500</v>
      </c>
      <c r="O45" s="87">
        <f>VLOOKUP($A45,'Data shares'!$C:$FA,81)</f>
        <v>-2.1100000000000001E-2</v>
      </c>
    </row>
    <row r="46" spans="1:15" x14ac:dyDescent="0.25">
      <c r="A46" s="100" t="str">
        <f>'OI(Value)'!A46</f>
        <v>CDSL</v>
      </c>
      <c r="B46" s="82">
        <f>VLOOKUP(A46,'Data shares'!$C$2:$CV$215,98,0)</f>
        <v>26885950</v>
      </c>
      <c r="C46" s="82">
        <f>VLOOKUP(A46,'Data shares'!$C$2:$CX$215,100,0)</f>
        <v>1340925</v>
      </c>
      <c r="D46" s="141">
        <f>VLOOKUP(A46,'Data shares'!$C$2:$CY$538,101,0)</f>
        <v>5.2499999999999998E-2</v>
      </c>
      <c r="E46" s="86">
        <f>VLOOKUP($A46,'Data shares'!$C:$FA,74)</f>
        <v>10077125</v>
      </c>
      <c r="F46" s="86">
        <f>VLOOKUP($A46,'Data shares'!$C:$FA,76)</f>
        <v>320150</v>
      </c>
      <c r="G46" s="87">
        <f>VLOOKUP(A46,'Data shares'!$C$2:$CA$215,77,0)</f>
        <v>3.2800000000000003E-2</v>
      </c>
      <c r="H46" s="86">
        <f>VLOOKUP($A46,'Data shares'!$C:$FA,90)</f>
        <v>11708275</v>
      </c>
      <c r="I46" s="86">
        <f>VLOOKUP($A46,'Data shares'!$C:$FA,92)</f>
        <v>915800</v>
      </c>
      <c r="J46" s="87">
        <f>VLOOKUP($A46,'Data shares'!$C:$FA,93)</f>
        <v>8.4900000000000003E-2</v>
      </c>
      <c r="K46" s="86">
        <f>VLOOKUP($A46,'Data shares'!$C:$FA,94)</f>
        <v>5100550</v>
      </c>
      <c r="L46" s="86">
        <f>VLOOKUP($A46,'Data shares'!$C:$FA,96)</f>
        <v>104975</v>
      </c>
      <c r="M46" s="87">
        <f>VLOOKUP($A46,'Data shares'!$C:$FA,97)</f>
        <v>2.1000000000000001E-2</v>
      </c>
      <c r="N46" s="86">
        <f>VLOOKUP($A46,'Data shares'!$C:$FA,78)</f>
        <v>8790350</v>
      </c>
      <c r="O46" s="87">
        <f>VLOOKUP($A46,'Data shares'!$C:$FA,81)</f>
        <v>1.7999999999999999E-2</v>
      </c>
    </row>
    <row r="47" spans="1:15" x14ac:dyDescent="0.25">
      <c r="A47" s="100" t="str">
        <f>'OI(Value)'!A47</f>
        <v>CGPOWER</v>
      </c>
      <c r="B47" s="82">
        <f>VLOOKUP(A47,'Data shares'!$C$2:$CV$215,98,0)</f>
        <v>28696850</v>
      </c>
      <c r="C47" s="82">
        <f>VLOOKUP(A47,'Data shares'!$C$2:$CX$215,100,0)</f>
        <v>1787550</v>
      </c>
      <c r="D47" s="141">
        <f>VLOOKUP(A47,'Data shares'!$C$2:$CY$538,101,0)</f>
        <v>6.6400000000000001E-2</v>
      </c>
      <c r="E47" s="86">
        <f>VLOOKUP($A47,'Data shares'!$C:$FA,74)</f>
        <v>14777250</v>
      </c>
      <c r="F47" s="86">
        <f>VLOOKUP($A47,'Data shares'!$C:$FA,76)</f>
        <v>-122400</v>
      </c>
      <c r="G47" s="87">
        <f>VLOOKUP(A47,'Data shares'!$C$2:$CA$215,77,0)</f>
        <v>-8.2000000000000007E-3</v>
      </c>
      <c r="H47" s="86">
        <f>VLOOKUP($A47,'Data shares'!$C:$FA,90)</f>
        <v>9639000</v>
      </c>
      <c r="I47" s="86">
        <f>VLOOKUP($A47,'Data shares'!$C:$FA,92)</f>
        <v>1757800</v>
      </c>
      <c r="J47" s="87">
        <f>VLOOKUP($A47,'Data shares'!$C:$FA,93)</f>
        <v>0.223</v>
      </c>
      <c r="K47" s="86">
        <f>VLOOKUP($A47,'Data shares'!$C:$FA,94)</f>
        <v>4280600</v>
      </c>
      <c r="L47" s="86">
        <f>VLOOKUP($A47,'Data shares'!$C:$FA,96)</f>
        <v>152150</v>
      </c>
      <c r="M47" s="87">
        <f>VLOOKUP($A47,'Data shares'!$C:$FA,97)</f>
        <v>3.6900000000000002E-2</v>
      </c>
      <c r="N47" s="86">
        <f>VLOOKUP($A47,'Data shares'!$C:$FA,78)</f>
        <v>13623800</v>
      </c>
      <c r="O47" s="87">
        <f>VLOOKUP($A47,'Data shares'!$C:$FA,81)</f>
        <v>-1.6799999999999999E-2</v>
      </c>
    </row>
    <row r="48" spans="1:15" x14ac:dyDescent="0.25">
      <c r="A48" s="100" t="str">
        <f>'OI(Value)'!A48</f>
        <v>CHOLAFIN</v>
      </c>
      <c r="B48" s="82">
        <f>VLOOKUP(A48,'Data shares'!$C$2:$CV$215,98,0)</f>
        <v>24522500</v>
      </c>
      <c r="C48" s="82">
        <f>VLOOKUP(A48,'Data shares'!$C$2:$CX$215,100,0)</f>
        <v>4370000</v>
      </c>
      <c r="D48" s="141">
        <f>VLOOKUP(A48,'Data shares'!$C$2:$CY$538,101,0)</f>
        <v>0.21679999999999999</v>
      </c>
      <c r="E48" s="86">
        <f>VLOOKUP($A48,'Data shares'!$C:$FA,74)</f>
        <v>14370625</v>
      </c>
      <c r="F48" s="86">
        <f>VLOOKUP($A48,'Data shares'!$C:$FA,76)</f>
        <v>222500</v>
      </c>
      <c r="G48" s="87">
        <f>VLOOKUP(A48,'Data shares'!$C$2:$CA$215,77,0)</f>
        <v>1.5699999999999999E-2</v>
      </c>
      <c r="H48" s="86">
        <f>VLOOKUP($A48,'Data shares'!$C:$FA,90)</f>
        <v>5844375</v>
      </c>
      <c r="I48" s="86">
        <f>VLOOKUP($A48,'Data shares'!$C:$FA,92)</f>
        <v>2195625</v>
      </c>
      <c r="J48" s="87">
        <f>VLOOKUP($A48,'Data shares'!$C:$FA,93)</f>
        <v>0.60170000000000001</v>
      </c>
      <c r="K48" s="86">
        <f>VLOOKUP($A48,'Data shares'!$C:$FA,94)</f>
        <v>4307500</v>
      </c>
      <c r="L48" s="86">
        <f>VLOOKUP($A48,'Data shares'!$C:$FA,96)</f>
        <v>1951875</v>
      </c>
      <c r="M48" s="87">
        <f>VLOOKUP($A48,'Data shares'!$C:$FA,97)</f>
        <v>0.8286</v>
      </c>
      <c r="N48" s="86">
        <f>VLOOKUP($A48,'Data shares'!$C:$FA,78)</f>
        <v>13539375</v>
      </c>
      <c r="O48" s="87">
        <f>VLOOKUP($A48,'Data shares'!$C:$FA,81)</f>
        <v>3.0999999999999999E-3</v>
      </c>
    </row>
    <row r="49" spans="1:15" x14ac:dyDescent="0.25">
      <c r="A49" s="100" t="str">
        <f>'OI(Value)'!A49</f>
        <v>CIPLA</v>
      </c>
      <c r="B49" s="82">
        <f>VLOOKUP(A49,'Data shares'!$C$2:$CV$215,98,0)</f>
        <v>23887500</v>
      </c>
      <c r="C49" s="82">
        <f>VLOOKUP(A49,'Data shares'!$C$2:$CX$215,100,0)</f>
        <v>435000</v>
      </c>
      <c r="D49" s="141">
        <f>VLOOKUP(A49,'Data shares'!$C$2:$CY$538,101,0)</f>
        <v>1.8499999999999999E-2</v>
      </c>
      <c r="E49" s="86">
        <f>VLOOKUP($A49,'Data shares'!$C:$FA,74)</f>
        <v>13770000</v>
      </c>
      <c r="F49" s="86">
        <f>VLOOKUP($A49,'Data shares'!$C:$FA,76)</f>
        <v>306750</v>
      </c>
      <c r="G49" s="87">
        <f>VLOOKUP(A49,'Data shares'!$C$2:$CA$215,77,0)</f>
        <v>2.2800000000000001E-2</v>
      </c>
      <c r="H49" s="86">
        <f>VLOOKUP($A49,'Data shares'!$C:$FA,90)</f>
        <v>6142875</v>
      </c>
      <c r="I49" s="86">
        <f>VLOOKUP($A49,'Data shares'!$C:$FA,92)</f>
        <v>144750</v>
      </c>
      <c r="J49" s="87">
        <f>VLOOKUP($A49,'Data shares'!$C:$FA,93)</f>
        <v>2.41E-2</v>
      </c>
      <c r="K49" s="86">
        <f>VLOOKUP($A49,'Data shares'!$C:$FA,94)</f>
        <v>3974625</v>
      </c>
      <c r="L49" s="86">
        <f>VLOOKUP($A49,'Data shares'!$C:$FA,96)</f>
        <v>-16500</v>
      </c>
      <c r="M49" s="87">
        <f>VLOOKUP($A49,'Data shares'!$C:$FA,97)</f>
        <v>-4.1000000000000003E-3</v>
      </c>
      <c r="N49" s="86">
        <f>VLOOKUP($A49,'Data shares'!$C:$FA,78)</f>
        <v>12388125</v>
      </c>
      <c r="O49" s="87">
        <f>VLOOKUP($A49,'Data shares'!$C:$FA,81)</f>
        <v>-4.1999999999999997E-3</v>
      </c>
    </row>
    <row r="50" spans="1:15" x14ac:dyDescent="0.25">
      <c r="A50" s="100" t="str">
        <f>'OI(Value)'!A50</f>
        <v>COALINDIA</v>
      </c>
      <c r="B50" s="82">
        <f>VLOOKUP(A50,'Data shares'!$C$2:$CV$215,98,0)</f>
        <v>94286700</v>
      </c>
      <c r="C50" s="82">
        <f>VLOOKUP(A50,'Data shares'!$C$2:$CX$215,100,0)</f>
        <v>849150</v>
      </c>
      <c r="D50" s="141">
        <f>VLOOKUP(A50,'Data shares'!$C$2:$CY$538,101,0)</f>
        <v>9.1000000000000004E-3</v>
      </c>
      <c r="E50" s="86">
        <f>VLOOKUP($A50,'Data shares'!$C:$FA,74)</f>
        <v>55823850</v>
      </c>
      <c r="F50" s="86">
        <f>VLOOKUP($A50,'Data shares'!$C:$FA,76)</f>
        <v>-460350</v>
      </c>
      <c r="G50" s="87">
        <f>VLOOKUP(A50,'Data shares'!$C$2:$CA$215,77,0)</f>
        <v>-8.2000000000000007E-3</v>
      </c>
      <c r="H50" s="86">
        <f>VLOOKUP($A50,'Data shares'!$C:$FA,90)</f>
        <v>19695150</v>
      </c>
      <c r="I50" s="86">
        <f>VLOOKUP($A50,'Data shares'!$C:$FA,92)</f>
        <v>707400</v>
      </c>
      <c r="J50" s="87">
        <f>VLOOKUP($A50,'Data shares'!$C:$FA,93)</f>
        <v>3.73E-2</v>
      </c>
      <c r="K50" s="86">
        <f>VLOOKUP($A50,'Data shares'!$C:$FA,94)</f>
        <v>18767700</v>
      </c>
      <c r="L50" s="86">
        <f>VLOOKUP($A50,'Data shares'!$C:$FA,96)</f>
        <v>602100</v>
      </c>
      <c r="M50" s="87">
        <f>VLOOKUP($A50,'Data shares'!$C:$FA,97)</f>
        <v>3.3099999999999997E-2</v>
      </c>
      <c r="N50" s="86">
        <f>VLOOKUP($A50,'Data shares'!$C:$FA,78)</f>
        <v>48726900</v>
      </c>
      <c r="O50" s="87">
        <f>VLOOKUP($A50,'Data shares'!$C:$FA,81)</f>
        <v>-1.6899999999999998E-2</v>
      </c>
    </row>
    <row r="51" spans="1:15" x14ac:dyDescent="0.25">
      <c r="A51" s="100" t="str">
        <f>'OI(Value)'!A51</f>
        <v>COFORGE</v>
      </c>
      <c r="B51" s="82">
        <f>VLOOKUP(A51,'Data shares'!$C$2:$CV$215,98,0)</f>
        <v>23776125</v>
      </c>
      <c r="C51" s="82">
        <f>VLOOKUP(A51,'Data shares'!$C$2:$CX$215,100,0)</f>
        <v>283125</v>
      </c>
      <c r="D51" s="141">
        <f>VLOOKUP(A51,'Data shares'!$C$2:$CY$538,101,0)</f>
        <v>1.21E-2</v>
      </c>
      <c r="E51" s="86">
        <f>VLOOKUP($A51,'Data shares'!$C:$FA,74)</f>
        <v>12476250</v>
      </c>
      <c r="F51" s="86">
        <f>VLOOKUP($A51,'Data shares'!$C:$FA,76)</f>
        <v>326625</v>
      </c>
      <c r="G51" s="87">
        <f>VLOOKUP(A51,'Data shares'!$C$2:$CA$215,77,0)</f>
        <v>2.69E-2</v>
      </c>
      <c r="H51" s="86">
        <f>VLOOKUP($A51,'Data shares'!$C:$FA,90)</f>
        <v>7752375</v>
      </c>
      <c r="I51" s="86">
        <f>VLOOKUP($A51,'Data shares'!$C:$FA,92)</f>
        <v>-101625</v>
      </c>
      <c r="J51" s="87">
        <f>VLOOKUP($A51,'Data shares'!$C:$FA,93)</f>
        <v>-1.29E-2</v>
      </c>
      <c r="K51" s="86">
        <f>VLOOKUP($A51,'Data shares'!$C:$FA,94)</f>
        <v>3547500</v>
      </c>
      <c r="L51" s="86">
        <f>VLOOKUP($A51,'Data shares'!$C:$FA,96)</f>
        <v>58125</v>
      </c>
      <c r="M51" s="87">
        <f>VLOOKUP($A51,'Data shares'!$C:$FA,97)</f>
        <v>1.67E-2</v>
      </c>
      <c r="N51" s="86">
        <f>VLOOKUP($A51,'Data shares'!$C:$FA,78)</f>
        <v>11776125</v>
      </c>
      <c r="O51" s="87">
        <f>VLOOKUP($A51,'Data shares'!$C:$FA,81)</f>
        <v>0.02</v>
      </c>
    </row>
    <row r="52" spans="1:15" x14ac:dyDescent="0.25">
      <c r="A52" s="100" t="str">
        <f>'OI(Value)'!A52</f>
        <v>COLPAL</v>
      </c>
      <c r="B52" s="82">
        <f>VLOOKUP(A52,'Data shares'!$C$2:$CV$215,98,0)</f>
        <v>12226050</v>
      </c>
      <c r="C52" s="82">
        <f>VLOOKUP(A52,'Data shares'!$C$2:$CX$215,100,0)</f>
        <v>1721250</v>
      </c>
      <c r="D52" s="141">
        <f>VLOOKUP(A52,'Data shares'!$C$2:$CY$538,101,0)</f>
        <v>0.16389999999999999</v>
      </c>
      <c r="E52" s="86">
        <f>VLOOKUP($A52,'Data shares'!$C:$FA,74)</f>
        <v>7190775</v>
      </c>
      <c r="F52" s="86">
        <f>VLOOKUP($A52,'Data shares'!$C:$FA,76)</f>
        <v>687600</v>
      </c>
      <c r="G52" s="87">
        <f>VLOOKUP(A52,'Data shares'!$C$2:$CA$215,77,0)</f>
        <v>0.1057</v>
      </c>
      <c r="H52" s="86">
        <f>VLOOKUP($A52,'Data shares'!$C:$FA,90)</f>
        <v>3096000</v>
      </c>
      <c r="I52" s="86">
        <f>VLOOKUP($A52,'Data shares'!$C:$FA,92)</f>
        <v>620100</v>
      </c>
      <c r="J52" s="87">
        <f>VLOOKUP($A52,'Data shares'!$C:$FA,93)</f>
        <v>0.2505</v>
      </c>
      <c r="K52" s="86">
        <f>VLOOKUP($A52,'Data shares'!$C:$FA,94)</f>
        <v>1939275</v>
      </c>
      <c r="L52" s="86">
        <f>VLOOKUP($A52,'Data shares'!$C:$FA,96)</f>
        <v>413550</v>
      </c>
      <c r="M52" s="87">
        <f>VLOOKUP($A52,'Data shares'!$C:$FA,97)</f>
        <v>0.27110000000000001</v>
      </c>
      <c r="N52" s="86">
        <f>VLOOKUP($A52,'Data shares'!$C:$FA,78)</f>
        <v>6347475</v>
      </c>
      <c r="O52" s="87">
        <f>VLOOKUP($A52,'Data shares'!$C:$FA,81)</f>
        <v>5.1200000000000002E-2</v>
      </c>
    </row>
    <row r="53" spans="1:15" x14ac:dyDescent="0.25">
      <c r="A53" s="100" t="str">
        <f>'OI(Value)'!A53</f>
        <v>CONCOR</v>
      </c>
      <c r="B53" s="82">
        <f>VLOOKUP(A53,'Data shares'!$C$2:$CV$215,98,0)</f>
        <v>64428750</v>
      </c>
      <c r="C53" s="82">
        <f>VLOOKUP(A53,'Data shares'!$C$2:$CX$215,100,0)</f>
        <v>1051250</v>
      </c>
      <c r="D53" s="141">
        <f>VLOOKUP(A53,'Data shares'!$C$2:$CY$538,101,0)</f>
        <v>1.66E-2</v>
      </c>
      <c r="E53" s="86">
        <f>VLOOKUP($A53,'Data shares'!$C:$FA,74)</f>
        <v>40350000</v>
      </c>
      <c r="F53" s="86">
        <f>VLOOKUP($A53,'Data shares'!$C:$FA,76)</f>
        <v>198750</v>
      </c>
      <c r="G53" s="87">
        <f>VLOOKUP(A53,'Data shares'!$C$2:$CA$215,77,0)</f>
        <v>5.0000000000000001E-3</v>
      </c>
      <c r="H53" s="86">
        <f>VLOOKUP($A53,'Data shares'!$C:$FA,90)</f>
        <v>13928750</v>
      </c>
      <c r="I53" s="86">
        <f>VLOOKUP($A53,'Data shares'!$C:$FA,92)</f>
        <v>567500</v>
      </c>
      <c r="J53" s="87">
        <f>VLOOKUP($A53,'Data shares'!$C:$FA,93)</f>
        <v>4.2500000000000003E-2</v>
      </c>
      <c r="K53" s="86">
        <f>VLOOKUP($A53,'Data shares'!$C:$FA,94)</f>
        <v>10150000</v>
      </c>
      <c r="L53" s="86">
        <f>VLOOKUP($A53,'Data shares'!$C:$FA,96)</f>
        <v>285000</v>
      </c>
      <c r="M53" s="87">
        <f>VLOOKUP($A53,'Data shares'!$C:$FA,97)</f>
        <v>2.8899999999999999E-2</v>
      </c>
      <c r="N53" s="86">
        <f>VLOOKUP($A53,'Data shares'!$C:$FA,78)</f>
        <v>36812500</v>
      </c>
      <c r="O53" s="87">
        <f>VLOOKUP($A53,'Data shares'!$C:$FA,81)</f>
        <v>-5.5999999999999999E-3</v>
      </c>
    </row>
    <row r="54" spans="1:15" x14ac:dyDescent="0.25">
      <c r="A54" s="100" t="str">
        <f>'OI(Value)'!A54</f>
        <v>CROMPTON</v>
      </c>
      <c r="B54" s="82">
        <f>VLOOKUP(A54,'Data shares'!$C$2:$CV$215,98,0)</f>
        <v>93393000</v>
      </c>
      <c r="C54" s="82">
        <f>VLOOKUP(A54,'Data shares'!$C$2:$CX$215,100,0)</f>
        <v>682200</v>
      </c>
      <c r="D54" s="141">
        <f>VLOOKUP(A54,'Data shares'!$C$2:$CY$538,101,0)</f>
        <v>7.4000000000000003E-3</v>
      </c>
      <c r="E54" s="86">
        <f>VLOOKUP($A54,'Data shares'!$C:$FA,74)</f>
        <v>56968200</v>
      </c>
      <c r="F54" s="86">
        <f>VLOOKUP($A54,'Data shares'!$C:$FA,76)</f>
        <v>-345600</v>
      </c>
      <c r="G54" s="87">
        <f>VLOOKUP(A54,'Data shares'!$C$2:$CA$215,77,0)</f>
        <v>-6.0000000000000001E-3</v>
      </c>
      <c r="H54" s="86">
        <f>VLOOKUP($A54,'Data shares'!$C:$FA,90)</f>
        <v>24476400</v>
      </c>
      <c r="I54" s="86">
        <f>VLOOKUP($A54,'Data shares'!$C:$FA,92)</f>
        <v>1270800</v>
      </c>
      <c r="J54" s="87">
        <f>VLOOKUP($A54,'Data shares'!$C:$FA,93)</f>
        <v>5.4800000000000001E-2</v>
      </c>
      <c r="K54" s="86">
        <f>VLOOKUP($A54,'Data shares'!$C:$FA,94)</f>
        <v>11948400</v>
      </c>
      <c r="L54" s="86">
        <f>VLOOKUP($A54,'Data shares'!$C:$FA,96)</f>
        <v>-243000</v>
      </c>
      <c r="M54" s="87">
        <f>VLOOKUP($A54,'Data shares'!$C:$FA,97)</f>
        <v>-1.9900000000000001E-2</v>
      </c>
      <c r="N54" s="86">
        <f>VLOOKUP($A54,'Data shares'!$C:$FA,78)</f>
        <v>52635600</v>
      </c>
      <c r="O54" s="87">
        <f>VLOOKUP($A54,'Data shares'!$C:$FA,81)</f>
        <v>-9.9000000000000008E-3</v>
      </c>
    </row>
    <row r="55" spans="1:15" x14ac:dyDescent="0.25">
      <c r="A55" s="100" t="str">
        <f>'OI(Value)'!A55</f>
        <v>CUMMINSIND</v>
      </c>
      <c r="B55" s="82">
        <f>VLOOKUP(A55,'Data shares'!$C$2:$CV$215,98,0)</f>
        <v>4776600</v>
      </c>
      <c r="C55" s="82">
        <f>VLOOKUP(A55,'Data shares'!$C$2:$CX$215,100,0)</f>
        <v>205400</v>
      </c>
      <c r="D55" s="141">
        <f>VLOOKUP(A55,'Data shares'!$C$2:$CY$538,101,0)</f>
        <v>4.4900000000000002E-2</v>
      </c>
      <c r="E55" s="86">
        <f>VLOOKUP($A55,'Data shares'!$C:$FA,74)</f>
        <v>2904600</v>
      </c>
      <c r="F55" s="86">
        <f>VLOOKUP($A55,'Data shares'!$C:$FA,76)</f>
        <v>-7000</v>
      </c>
      <c r="G55" s="87">
        <f>VLOOKUP(A55,'Data shares'!$C$2:$CA$215,77,0)</f>
        <v>-2.3999999999999998E-3</v>
      </c>
      <c r="H55" s="86">
        <f>VLOOKUP($A55,'Data shares'!$C:$FA,90)</f>
        <v>1072200</v>
      </c>
      <c r="I55" s="86">
        <f>VLOOKUP($A55,'Data shares'!$C:$FA,92)</f>
        <v>157200</v>
      </c>
      <c r="J55" s="87">
        <f>VLOOKUP($A55,'Data shares'!$C:$FA,93)</f>
        <v>0.17180000000000001</v>
      </c>
      <c r="K55" s="86">
        <f>VLOOKUP($A55,'Data shares'!$C:$FA,94)</f>
        <v>799800</v>
      </c>
      <c r="L55" s="86">
        <f>VLOOKUP($A55,'Data shares'!$C:$FA,96)</f>
        <v>55200</v>
      </c>
      <c r="M55" s="87">
        <f>VLOOKUP($A55,'Data shares'!$C:$FA,97)</f>
        <v>7.4099999999999999E-2</v>
      </c>
      <c r="N55" s="86">
        <f>VLOOKUP($A55,'Data shares'!$C:$FA,78)</f>
        <v>2821200</v>
      </c>
      <c r="O55" s="87">
        <f>VLOOKUP($A55,'Data shares'!$C:$FA,81)</f>
        <v>-6.7999999999999996E-3</v>
      </c>
    </row>
    <row r="56" spans="1:15" x14ac:dyDescent="0.25">
      <c r="A56" s="100" t="str">
        <f>'OI(Value)'!A56</f>
        <v>CYIENT</v>
      </c>
      <c r="B56" s="82">
        <f>VLOOKUP(A56,'Data shares'!$C$2:$CV$215,98,0)</f>
        <v>5620200</v>
      </c>
      <c r="C56" s="82">
        <f>VLOOKUP(A56,'Data shares'!$C$2:$CX$215,100,0)</f>
        <v>380800</v>
      </c>
      <c r="D56" s="141">
        <f>VLOOKUP(A56,'Data shares'!$C$2:$CY$538,101,0)</f>
        <v>7.2700000000000001E-2</v>
      </c>
      <c r="E56" s="86">
        <f>VLOOKUP($A56,'Data shares'!$C:$FA,74)</f>
        <v>3137350</v>
      </c>
      <c r="F56" s="86">
        <f>VLOOKUP($A56,'Data shares'!$C:$FA,76)</f>
        <v>-30175</v>
      </c>
      <c r="G56" s="87">
        <f>VLOOKUP(A56,'Data shares'!$C$2:$CA$215,77,0)</f>
        <v>-9.4999999999999998E-3</v>
      </c>
      <c r="H56" s="86">
        <f>VLOOKUP($A56,'Data shares'!$C:$FA,90)</f>
        <v>1475600</v>
      </c>
      <c r="I56" s="86">
        <f>VLOOKUP($A56,'Data shares'!$C:$FA,92)</f>
        <v>226100</v>
      </c>
      <c r="J56" s="87">
        <f>VLOOKUP($A56,'Data shares'!$C:$FA,93)</f>
        <v>0.18099999999999999</v>
      </c>
      <c r="K56" s="86">
        <f>VLOOKUP($A56,'Data shares'!$C:$FA,94)</f>
        <v>1007250</v>
      </c>
      <c r="L56" s="86">
        <f>VLOOKUP($A56,'Data shares'!$C:$FA,96)</f>
        <v>184875</v>
      </c>
      <c r="M56" s="87">
        <f>VLOOKUP($A56,'Data shares'!$C:$FA,97)</f>
        <v>0.2248</v>
      </c>
      <c r="N56" s="86">
        <f>VLOOKUP($A56,'Data shares'!$C:$FA,78)</f>
        <v>3137350</v>
      </c>
      <c r="O56" s="87">
        <f>VLOOKUP($A56,'Data shares'!$C:$FA,81)</f>
        <v>-9.4999999999999998E-3</v>
      </c>
    </row>
    <row r="57" spans="1:15" x14ac:dyDescent="0.25">
      <c r="A57" s="100" t="str">
        <f>'OI(Value)'!A57</f>
        <v>DABUR</v>
      </c>
      <c r="B57" s="82">
        <f>VLOOKUP(A57,'Data shares'!$C$2:$CV$215,98,0)</f>
        <v>43142500</v>
      </c>
      <c r="C57" s="82">
        <f>VLOOKUP(A57,'Data shares'!$C$2:$CX$215,100,0)</f>
        <v>1477500</v>
      </c>
      <c r="D57" s="141">
        <f>VLOOKUP(A57,'Data shares'!$C$2:$CY$538,101,0)</f>
        <v>3.5499999999999997E-2</v>
      </c>
      <c r="E57" s="86">
        <f>VLOOKUP($A57,'Data shares'!$C:$FA,74)</f>
        <v>19296250</v>
      </c>
      <c r="F57" s="86">
        <f>VLOOKUP($A57,'Data shares'!$C:$FA,76)</f>
        <v>336250</v>
      </c>
      <c r="G57" s="87">
        <f>VLOOKUP(A57,'Data shares'!$C$2:$CA$215,77,0)</f>
        <v>1.77E-2</v>
      </c>
      <c r="H57" s="86">
        <f>VLOOKUP($A57,'Data shares'!$C:$FA,90)</f>
        <v>15480000</v>
      </c>
      <c r="I57" s="86">
        <f>VLOOKUP($A57,'Data shares'!$C:$FA,92)</f>
        <v>647500</v>
      </c>
      <c r="J57" s="87">
        <f>VLOOKUP($A57,'Data shares'!$C:$FA,93)</f>
        <v>4.3700000000000003E-2</v>
      </c>
      <c r="K57" s="86">
        <f>VLOOKUP($A57,'Data shares'!$C:$FA,94)</f>
        <v>8366250</v>
      </c>
      <c r="L57" s="86">
        <f>VLOOKUP($A57,'Data shares'!$C:$FA,96)</f>
        <v>493750</v>
      </c>
      <c r="M57" s="87">
        <f>VLOOKUP($A57,'Data shares'!$C:$FA,97)</f>
        <v>6.2700000000000006E-2</v>
      </c>
      <c r="N57" s="86">
        <f>VLOOKUP($A57,'Data shares'!$C:$FA,78)</f>
        <v>18082500</v>
      </c>
      <c r="O57" s="87">
        <f>VLOOKUP($A57,'Data shares'!$C:$FA,81)</f>
        <v>1.2500000000000001E-2</v>
      </c>
    </row>
    <row r="58" spans="1:15" x14ac:dyDescent="0.25">
      <c r="A58" s="100" t="str">
        <f>'OI(Value)'!A58</f>
        <v>DALBHARAT</v>
      </c>
      <c r="B58" s="82">
        <f>VLOOKUP(A58,'Data shares'!$C$2:$CV$215,98,0)</f>
        <v>4771975</v>
      </c>
      <c r="C58" s="82">
        <f>VLOOKUP(A58,'Data shares'!$C$2:$CX$215,100,0)</f>
        <v>130000</v>
      </c>
      <c r="D58" s="141">
        <f>VLOOKUP(A58,'Data shares'!$C$2:$CY$538,101,0)</f>
        <v>2.8000000000000001E-2</v>
      </c>
      <c r="E58" s="86">
        <f>VLOOKUP($A58,'Data shares'!$C:$FA,74)</f>
        <v>2441725</v>
      </c>
      <c r="F58" s="86">
        <f>VLOOKUP($A58,'Data shares'!$C:$FA,76)</f>
        <v>92300</v>
      </c>
      <c r="G58" s="87">
        <f>VLOOKUP(A58,'Data shares'!$C$2:$CA$215,77,0)</f>
        <v>3.9300000000000002E-2</v>
      </c>
      <c r="H58" s="86">
        <f>VLOOKUP($A58,'Data shares'!$C:$FA,90)</f>
        <v>1326325</v>
      </c>
      <c r="I58" s="86">
        <f>VLOOKUP($A58,'Data shares'!$C:$FA,92)</f>
        <v>39325</v>
      </c>
      <c r="J58" s="87">
        <f>VLOOKUP($A58,'Data shares'!$C:$FA,93)</f>
        <v>3.0599999999999999E-2</v>
      </c>
      <c r="K58" s="86">
        <f>VLOOKUP($A58,'Data shares'!$C:$FA,94)</f>
        <v>1003925</v>
      </c>
      <c r="L58" s="86">
        <f>VLOOKUP($A58,'Data shares'!$C:$FA,96)</f>
        <v>-1625</v>
      </c>
      <c r="M58" s="87">
        <f>VLOOKUP($A58,'Data shares'!$C:$FA,97)</f>
        <v>-1.6000000000000001E-3</v>
      </c>
      <c r="N58" s="86">
        <f>VLOOKUP($A58,'Data shares'!$C:$FA,78)</f>
        <v>2205450</v>
      </c>
      <c r="O58" s="87">
        <f>VLOOKUP($A58,'Data shares'!$C:$FA,81)</f>
        <v>-5.3E-3</v>
      </c>
    </row>
    <row r="59" spans="1:15" x14ac:dyDescent="0.25">
      <c r="A59" s="100" t="str">
        <f>'OI(Value)'!A59</f>
        <v>DELHIVERY</v>
      </c>
      <c r="B59" s="82">
        <f>VLOOKUP(A59,'Data shares'!$C$2:$CV$215,98,0)</f>
        <v>39221650</v>
      </c>
      <c r="C59" s="82">
        <f>VLOOKUP(A59,'Data shares'!$C$2:$CX$215,100,0)</f>
        <v>732475</v>
      </c>
      <c r="D59" s="141">
        <f>VLOOKUP(A59,'Data shares'!$C$2:$CY$538,101,0)</f>
        <v>1.9E-2</v>
      </c>
      <c r="E59" s="86">
        <f>VLOOKUP($A59,'Data shares'!$C:$FA,74)</f>
        <v>16450600</v>
      </c>
      <c r="F59" s="86">
        <f>VLOOKUP($A59,'Data shares'!$C:$FA,76)</f>
        <v>265600</v>
      </c>
      <c r="G59" s="87">
        <f>VLOOKUP(A59,'Data shares'!$C$2:$CA$215,77,0)</f>
        <v>1.6400000000000001E-2</v>
      </c>
      <c r="H59" s="86">
        <f>VLOOKUP($A59,'Data shares'!$C:$FA,90)</f>
        <v>13804975</v>
      </c>
      <c r="I59" s="86">
        <f>VLOOKUP($A59,'Data shares'!$C:$FA,92)</f>
        <v>228250</v>
      </c>
      <c r="J59" s="87">
        <f>VLOOKUP($A59,'Data shares'!$C:$FA,93)</f>
        <v>1.6799999999999999E-2</v>
      </c>
      <c r="K59" s="86">
        <f>VLOOKUP($A59,'Data shares'!$C:$FA,94)</f>
        <v>8966075</v>
      </c>
      <c r="L59" s="86">
        <f>VLOOKUP($A59,'Data shares'!$C:$FA,96)</f>
        <v>238625</v>
      </c>
      <c r="M59" s="87">
        <f>VLOOKUP($A59,'Data shares'!$C:$FA,97)</f>
        <v>2.7300000000000001E-2</v>
      </c>
      <c r="N59" s="86">
        <f>VLOOKUP($A59,'Data shares'!$C:$FA,78)</f>
        <v>15386125</v>
      </c>
      <c r="O59" s="87">
        <f>VLOOKUP($A59,'Data shares'!$C:$FA,81)</f>
        <v>1.26E-2</v>
      </c>
    </row>
    <row r="60" spans="1:15" x14ac:dyDescent="0.25">
      <c r="A60" s="100" t="str">
        <f>'OI(Value)'!A60</f>
        <v>DIVISLAB</v>
      </c>
      <c r="B60" s="82">
        <f>VLOOKUP(A60,'Data shares'!$C$2:$CV$215,98,0)</f>
        <v>4657700</v>
      </c>
      <c r="C60" s="82">
        <f>VLOOKUP(A60,'Data shares'!$C$2:$CX$215,100,0)</f>
        <v>64000</v>
      </c>
      <c r="D60" s="141">
        <f>VLOOKUP(A60,'Data shares'!$C$2:$CY$538,101,0)</f>
        <v>1.3899999999999999E-2</v>
      </c>
      <c r="E60" s="86">
        <f>VLOOKUP($A60,'Data shares'!$C:$FA,74)</f>
        <v>3031200</v>
      </c>
      <c r="F60" s="86">
        <f>VLOOKUP($A60,'Data shares'!$C:$FA,76)</f>
        <v>22700</v>
      </c>
      <c r="G60" s="87">
        <f>VLOOKUP(A60,'Data shares'!$C$2:$CA$215,77,0)</f>
        <v>7.4999999999999997E-3</v>
      </c>
      <c r="H60" s="86">
        <f>VLOOKUP($A60,'Data shares'!$C:$FA,90)</f>
        <v>954400</v>
      </c>
      <c r="I60" s="86">
        <f>VLOOKUP($A60,'Data shares'!$C:$FA,92)</f>
        <v>36700</v>
      </c>
      <c r="J60" s="87">
        <f>VLOOKUP($A60,'Data shares'!$C:$FA,93)</f>
        <v>0.04</v>
      </c>
      <c r="K60" s="86">
        <f>VLOOKUP($A60,'Data shares'!$C:$FA,94)</f>
        <v>672100</v>
      </c>
      <c r="L60" s="86">
        <f>VLOOKUP($A60,'Data shares'!$C:$FA,96)</f>
        <v>4600</v>
      </c>
      <c r="M60" s="87">
        <f>VLOOKUP($A60,'Data shares'!$C:$FA,97)</f>
        <v>6.8999999999999999E-3</v>
      </c>
      <c r="N60" s="86">
        <f>VLOOKUP($A60,'Data shares'!$C:$FA,78)</f>
        <v>2929800</v>
      </c>
      <c r="O60" s="87">
        <f>VLOOKUP($A60,'Data shares'!$C:$FA,81)</f>
        <v>1.9E-3</v>
      </c>
    </row>
    <row r="61" spans="1:15" x14ac:dyDescent="0.25">
      <c r="A61" s="100" t="str">
        <f>'OI(Value)'!A61</f>
        <v>DIXON</v>
      </c>
      <c r="B61" s="82">
        <f>VLOOKUP(A61,'Data shares'!$C$2:$CV$215,98,0)</f>
        <v>7711800</v>
      </c>
      <c r="C61" s="82">
        <f>VLOOKUP(A61,'Data shares'!$C$2:$CX$215,100,0)</f>
        <v>393600</v>
      </c>
      <c r="D61" s="141">
        <f>VLOOKUP(A61,'Data shares'!$C$2:$CY$538,101,0)</f>
        <v>5.3800000000000001E-2</v>
      </c>
      <c r="E61" s="86">
        <f>VLOOKUP($A61,'Data shares'!$C:$FA,74)</f>
        <v>2218400</v>
      </c>
      <c r="F61" s="86">
        <f>VLOOKUP($A61,'Data shares'!$C:$FA,76)</f>
        <v>74950</v>
      </c>
      <c r="G61" s="87">
        <f>VLOOKUP(A61,'Data shares'!$C$2:$CA$215,77,0)</f>
        <v>3.5000000000000003E-2</v>
      </c>
      <c r="H61" s="86">
        <f>VLOOKUP($A61,'Data shares'!$C:$FA,90)</f>
        <v>3613050</v>
      </c>
      <c r="I61" s="86">
        <f>VLOOKUP($A61,'Data shares'!$C:$FA,92)</f>
        <v>316300</v>
      </c>
      <c r="J61" s="87">
        <f>VLOOKUP($A61,'Data shares'!$C:$FA,93)</f>
        <v>9.5899999999999999E-2</v>
      </c>
      <c r="K61" s="86">
        <f>VLOOKUP($A61,'Data shares'!$C:$FA,94)</f>
        <v>1880350</v>
      </c>
      <c r="L61" s="86">
        <f>VLOOKUP($A61,'Data shares'!$C:$FA,96)</f>
        <v>2350</v>
      </c>
      <c r="M61" s="87">
        <f>VLOOKUP($A61,'Data shares'!$C:$FA,97)</f>
        <v>1.2999999999999999E-3</v>
      </c>
      <c r="N61" s="86">
        <f>VLOOKUP($A61,'Data shares'!$C:$FA,78)</f>
        <v>1946700</v>
      </c>
      <c r="O61" s="87">
        <f>VLOOKUP($A61,'Data shares'!$C:$FA,81)</f>
        <v>2.8199999999999999E-2</v>
      </c>
    </row>
    <row r="62" spans="1:15" x14ac:dyDescent="0.25">
      <c r="A62" s="100" t="str">
        <f>'OI(Value)'!A62</f>
        <v>DLF</v>
      </c>
      <c r="B62" s="82">
        <f>VLOOKUP(A62,'Data shares'!$C$2:$CV$215,98,0)</f>
        <v>88187550</v>
      </c>
      <c r="C62" s="82">
        <f>VLOOKUP(A62,'Data shares'!$C$2:$CX$215,100,0)</f>
        <v>1239975</v>
      </c>
      <c r="D62" s="141">
        <f>VLOOKUP(A62,'Data shares'!$C$2:$CY$538,101,0)</f>
        <v>1.43E-2</v>
      </c>
      <c r="E62" s="86">
        <f>VLOOKUP($A62,'Data shares'!$C:$FA,74)</f>
        <v>51046050</v>
      </c>
      <c r="F62" s="86">
        <f>VLOOKUP($A62,'Data shares'!$C:$FA,76)</f>
        <v>681450</v>
      </c>
      <c r="G62" s="87">
        <f>VLOOKUP(A62,'Data shares'!$C$2:$CA$215,77,0)</f>
        <v>1.35E-2</v>
      </c>
      <c r="H62" s="86">
        <f>VLOOKUP($A62,'Data shares'!$C:$FA,90)</f>
        <v>22903650</v>
      </c>
      <c r="I62" s="86">
        <f>VLOOKUP($A62,'Data shares'!$C:$FA,92)</f>
        <v>386925</v>
      </c>
      <c r="J62" s="87">
        <f>VLOOKUP($A62,'Data shares'!$C:$FA,93)</f>
        <v>1.72E-2</v>
      </c>
      <c r="K62" s="86">
        <f>VLOOKUP($A62,'Data shares'!$C:$FA,94)</f>
        <v>14237850</v>
      </c>
      <c r="L62" s="86">
        <f>VLOOKUP($A62,'Data shares'!$C:$FA,96)</f>
        <v>171600</v>
      </c>
      <c r="M62" s="87">
        <f>VLOOKUP($A62,'Data shares'!$C:$FA,97)</f>
        <v>1.2200000000000001E-2</v>
      </c>
      <c r="N62" s="86">
        <f>VLOOKUP($A62,'Data shares'!$C:$FA,78)</f>
        <v>48055425</v>
      </c>
      <c r="O62" s="87">
        <f>VLOOKUP($A62,'Data shares'!$C:$FA,81)</f>
        <v>4.7999999999999996E-3</v>
      </c>
    </row>
    <row r="63" spans="1:15" x14ac:dyDescent="0.25">
      <c r="A63" s="100" t="str">
        <f>'OI(Value)'!A63</f>
        <v>DMART</v>
      </c>
      <c r="B63" s="82">
        <f>VLOOKUP(A63,'Data shares'!$C$2:$CV$215,98,0)</f>
        <v>9434850</v>
      </c>
      <c r="C63" s="82">
        <f>VLOOKUP(A63,'Data shares'!$C$2:$CX$215,100,0)</f>
        <v>110850</v>
      </c>
      <c r="D63" s="141">
        <f>VLOOKUP(A63,'Data shares'!$C$2:$CY$538,101,0)</f>
        <v>1.1900000000000001E-2</v>
      </c>
      <c r="E63" s="86">
        <f>VLOOKUP($A63,'Data shares'!$C:$FA,74)</f>
        <v>5844600</v>
      </c>
      <c r="F63" s="86">
        <f>VLOOKUP($A63,'Data shares'!$C:$FA,76)</f>
        <v>136500</v>
      </c>
      <c r="G63" s="87">
        <f>VLOOKUP(A63,'Data shares'!$C$2:$CA$215,77,0)</f>
        <v>2.3900000000000001E-2</v>
      </c>
      <c r="H63" s="86">
        <f>VLOOKUP($A63,'Data shares'!$C:$FA,90)</f>
        <v>2432400</v>
      </c>
      <c r="I63" s="86">
        <f>VLOOKUP($A63,'Data shares'!$C:$FA,92)</f>
        <v>-13500</v>
      </c>
      <c r="J63" s="87">
        <f>VLOOKUP($A63,'Data shares'!$C:$FA,93)</f>
        <v>-5.4999999999999997E-3</v>
      </c>
      <c r="K63" s="86">
        <f>VLOOKUP($A63,'Data shares'!$C:$FA,94)</f>
        <v>1157850</v>
      </c>
      <c r="L63" s="86">
        <f>VLOOKUP($A63,'Data shares'!$C:$FA,96)</f>
        <v>-12150</v>
      </c>
      <c r="M63" s="87">
        <f>VLOOKUP($A63,'Data shares'!$C:$FA,97)</f>
        <v>-1.04E-2</v>
      </c>
      <c r="N63" s="86">
        <f>VLOOKUP($A63,'Data shares'!$C:$FA,78)</f>
        <v>5401650</v>
      </c>
      <c r="O63" s="87">
        <f>VLOOKUP($A63,'Data shares'!$C:$FA,81)</f>
        <v>9.1000000000000004E-3</v>
      </c>
    </row>
    <row r="64" spans="1:15" x14ac:dyDescent="0.25">
      <c r="A64" s="100" t="str">
        <f>'OI(Value)'!A64</f>
        <v>DRREDDY</v>
      </c>
      <c r="B64" s="82">
        <f>VLOOKUP(A64,'Data shares'!$C$2:$CV$215,98,0)</f>
        <v>23740000</v>
      </c>
      <c r="C64" s="82">
        <f>VLOOKUP(A64,'Data shares'!$C$2:$CX$215,100,0)</f>
        <v>-115625</v>
      </c>
      <c r="D64" s="141">
        <f>VLOOKUP(A64,'Data shares'!$C$2:$CY$538,101,0)</f>
        <v>-4.7999999999999996E-3</v>
      </c>
      <c r="E64" s="86">
        <f>VLOOKUP($A64,'Data shares'!$C:$FA,74)</f>
        <v>13625000</v>
      </c>
      <c r="F64" s="86">
        <f>VLOOKUP($A64,'Data shares'!$C:$FA,76)</f>
        <v>129375</v>
      </c>
      <c r="G64" s="87">
        <f>VLOOKUP(A64,'Data shares'!$C$2:$CA$215,77,0)</f>
        <v>9.5999999999999992E-3</v>
      </c>
      <c r="H64" s="86">
        <f>VLOOKUP($A64,'Data shares'!$C:$FA,90)</f>
        <v>6792500</v>
      </c>
      <c r="I64" s="86">
        <f>VLOOKUP($A64,'Data shares'!$C:$FA,92)</f>
        <v>-116875</v>
      </c>
      <c r="J64" s="87">
        <f>VLOOKUP($A64,'Data shares'!$C:$FA,93)</f>
        <v>-1.6899999999999998E-2</v>
      </c>
      <c r="K64" s="86">
        <f>VLOOKUP($A64,'Data shares'!$C:$FA,94)</f>
        <v>3322500</v>
      </c>
      <c r="L64" s="86">
        <f>VLOOKUP($A64,'Data shares'!$C:$FA,96)</f>
        <v>-128125</v>
      </c>
      <c r="M64" s="87">
        <f>VLOOKUP($A64,'Data shares'!$C:$FA,97)</f>
        <v>-3.7100000000000001E-2</v>
      </c>
      <c r="N64" s="86">
        <f>VLOOKUP($A64,'Data shares'!$C:$FA,78)</f>
        <v>12516875</v>
      </c>
      <c r="O64" s="87">
        <f>VLOOKUP($A64,'Data shares'!$C:$FA,81)</f>
        <v>-1.6000000000000001E-3</v>
      </c>
    </row>
    <row r="65" spans="1:15" x14ac:dyDescent="0.25">
      <c r="A65" s="100" t="str">
        <f>'OI(Value)'!A65</f>
        <v>EICHERMOT</v>
      </c>
      <c r="B65" s="82">
        <f>VLOOKUP(A65,'Data shares'!$C$2:$CV$215,98,0)</f>
        <v>7971550</v>
      </c>
      <c r="C65" s="82">
        <f>VLOOKUP(A65,'Data shares'!$C$2:$CX$215,100,0)</f>
        <v>13875</v>
      </c>
      <c r="D65" s="141">
        <f>VLOOKUP(A65,'Data shares'!$C$2:$CY$538,101,0)</f>
        <v>1.6999999999999999E-3</v>
      </c>
      <c r="E65" s="86">
        <f>VLOOKUP($A65,'Data shares'!$C:$FA,74)</f>
        <v>3183225</v>
      </c>
      <c r="F65" s="86">
        <f>VLOOKUP($A65,'Data shares'!$C:$FA,76)</f>
        <v>46800</v>
      </c>
      <c r="G65" s="87">
        <f>VLOOKUP(A65,'Data shares'!$C$2:$CA$215,77,0)</f>
        <v>1.49E-2</v>
      </c>
      <c r="H65" s="86">
        <f>VLOOKUP($A65,'Data shares'!$C:$FA,90)</f>
        <v>2747750</v>
      </c>
      <c r="I65" s="86">
        <f>VLOOKUP($A65,'Data shares'!$C:$FA,92)</f>
        <v>-103050</v>
      </c>
      <c r="J65" s="87">
        <f>VLOOKUP($A65,'Data shares'!$C:$FA,93)</f>
        <v>-3.61E-2</v>
      </c>
      <c r="K65" s="86">
        <f>VLOOKUP($A65,'Data shares'!$C:$FA,94)</f>
        <v>2040575</v>
      </c>
      <c r="L65" s="86">
        <f>VLOOKUP($A65,'Data shares'!$C:$FA,96)</f>
        <v>70125</v>
      </c>
      <c r="M65" s="87">
        <f>VLOOKUP($A65,'Data shares'!$C:$FA,97)</f>
        <v>3.56E-2</v>
      </c>
      <c r="N65" s="86">
        <f>VLOOKUP($A65,'Data shares'!$C:$FA,78)</f>
        <v>2906925</v>
      </c>
      <c r="O65" s="87">
        <f>VLOOKUP($A65,'Data shares'!$C:$FA,81)</f>
        <v>-1.6799999999999999E-2</v>
      </c>
    </row>
    <row r="66" spans="1:15" x14ac:dyDescent="0.25">
      <c r="A66" s="100" t="str">
        <f>'OI(Value)'!A66</f>
        <v>ETERNAL</v>
      </c>
      <c r="B66" s="82">
        <f>VLOOKUP(A66,'Data shares'!$C$2:$CV$215,98,0)</f>
        <v>453795100</v>
      </c>
      <c r="C66" s="82">
        <f>VLOOKUP(A66,'Data shares'!$C$2:$CX$215,100,0)</f>
        <v>2769350</v>
      </c>
      <c r="D66" s="141">
        <f>VLOOKUP(A66,'Data shares'!$C$2:$CY$538,101,0)</f>
        <v>6.1000000000000004E-3</v>
      </c>
      <c r="E66" s="86">
        <f>VLOOKUP($A66,'Data shares'!$C:$FA,74)</f>
        <v>305237175</v>
      </c>
      <c r="F66" s="86">
        <f>VLOOKUP($A66,'Data shares'!$C:$FA,76)</f>
        <v>-288575</v>
      </c>
      <c r="G66" s="87">
        <f>VLOOKUP(A66,'Data shares'!$C$2:$CA$215,77,0)</f>
        <v>-8.9999999999999998E-4</v>
      </c>
      <c r="H66" s="86">
        <f>VLOOKUP($A66,'Data shares'!$C:$FA,90)</f>
        <v>97048500</v>
      </c>
      <c r="I66" s="86">
        <f>VLOOKUP($A66,'Data shares'!$C:$FA,92)</f>
        <v>3084600</v>
      </c>
      <c r="J66" s="87">
        <f>VLOOKUP($A66,'Data shares'!$C:$FA,93)</f>
        <v>3.2800000000000003E-2</v>
      </c>
      <c r="K66" s="86">
        <f>VLOOKUP($A66,'Data shares'!$C:$FA,94)</f>
        <v>51509425</v>
      </c>
      <c r="L66" s="86">
        <f>VLOOKUP($A66,'Data shares'!$C:$FA,96)</f>
        <v>-26675</v>
      </c>
      <c r="M66" s="87">
        <f>VLOOKUP($A66,'Data shares'!$C:$FA,97)</f>
        <v>-5.0000000000000001E-4</v>
      </c>
      <c r="N66" s="86">
        <f>VLOOKUP($A66,'Data shares'!$C:$FA,78)</f>
        <v>286647125</v>
      </c>
      <c r="O66" s="87">
        <f>VLOOKUP($A66,'Data shares'!$C:$FA,81)</f>
        <v>-8.5000000000000006E-3</v>
      </c>
    </row>
    <row r="67" spans="1:15" x14ac:dyDescent="0.25">
      <c r="A67" s="100" t="str">
        <f>'OI(Value)'!A67</f>
        <v>EXIDEIND</v>
      </c>
      <c r="B67" s="82">
        <f>VLOOKUP(A67,'Data shares'!$C$2:$CV$215,98,0)</f>
        <v>50310000</v>
      </c>
      <c r="C67" s="82">
        <f>VLOOKUP(A67,'Data shares'!$C$2:$CX$215,100,0)</f>
        <v>1045800</v>
      </c>
      <c r="D67" s="141">
        <f>VLOOKUP(A67,'Data shares'!$C$2:$CY$538,101,0)</f>
        <v>2.12E-2</v>
      </c>
      <c r="E67" s="86">
        <f>VLOOKUP($A67,'Data shares'!$C:$FA,74)</f>
        <v>31055400</v>
      </c>
      <c r="F67" s="86">
        <f>VLOOKUP($A67,'Data shares'!$C:$FA,76)</f>
        <v>151200</v>
      </c>
      <c r="G67" s="87">
        <f>VLOOKUP(A67,'Data shares'!$C$2:$CA$215,77,0)</f>
        <v>4.8999999999999998E-3</v>
      </c>
      <c r="H67" s="86">
        <f>VLOOKUP($A67,'Data shares'!$C:$FA,90)</f>
        <v>11291400</v>
      </c>
      <c r="I67" s="86">
        <f>VLOOKUP($A67,'Data shares'!$C:$FA,92)</f>
        <v>554400</v>
      </c>
      <c r="J67" s="87">
        <f>VLOOKUP($A67,'Data shares'!$C:$FA,93)</f>
        <v>5.16E-2</v>
      </c>
      <c r="K67" s="86">
        <f>VLOOKUP($A67,'Data shares'!$C:$FA,94)</f>
        <v>7963200</v>
      </c>
      <c r="L67" s="86">
        <f>VLOOKUP($A67,'Data shares'!$C:$FA,96)</f>
        <v>340200</v>
      </c>
      <c r="M67" s="87">
        <f>VLOOKUP($A67,'Data shares'!$C:$FA,97)</f>
        <v>4.4600000000000001E-2</v>
      </c>
      <c r="N67" s="86">
        <f>VLOOKUP($A67,'Data shares'!$C:$FA,78)</f>
        <v>28863000</v>
      </c>
      <c r="O67" s="87">
        <f>VLOOKUP($A67,'Data shares'!$C:$FA,81)</f>
        <v>-1.6999999999999999E-3</v>
      </c>
    </row>
    <row r="68" spans="1:15" x14ac:dyDescent="0.25">
      <c r="A68" s="100" t="str">
        <f>'OI(Value)'!A68</f>
        <v>FEDERALBNK</v>
      </c>
      <c r="B68" s="82">
        <f>VLOOKUP(A68,'Data shares'!$C$2:$CV$215,98,0)</f>
        <v>154985000</v>
      </c>
      <c r="C68" s="82">
        <f>VLOOKUP(A68,'Data shares'!$C$2:$CX$215,100,0)</f>
        <v>3165000</v>
      </c>
      <c r="D68" s="141">
        <f>VLOOKUP(A68,'Data shares'!$C$2:$CY$538,101,0)</f>
        <v>2.0799999999999999E-2</v>
      </c>
      <c r="E68" s="86">
        <f>VLOOKUP($A68,'Data shares'!$C:$FA,74)</f>
        <v>67220000</v>
      </c>
      <c r="F68" s="86">
        <f>VLOOKUP($A68,'Data shares'!$C:$FA,76)</f>
        <v>655000</v>
      </c>
      <c r="G68" s="87">
        <f>VLOOKUP(A68,'Data shares'!$C$2:$CA$215,77,0)</f>
        <v>9.7999999999999997E-3</v>
      </c>
      <c r="H68" s="86">
        <f>VLOOKUP($A68,'Data shares'!$C:$FA,90)</f>
        <v>44210000</v>
      </c>
      <c r="I68" s="86">
        <f>VLOOKUP($A68,'Data shares'!$C:$FA,92)</f>
        <v>1550000</v>
      </c>
      <c r="J68" s="87">
        <f>VLOOKUP($A68,'Data shares'!$C:$FA,93)</f>
        <v>3.6299999999999999E-2</v>
      </c>
      <c r="K68" s="86">
        <f>VLOOKUP($A68,'Data shares'!$C:$FA,94)</f>
        <v>43555000</v>
      </c>
      <c r="L68" s="86">
        <f>VLOOKUP($A68,'Data shares'!$C:$FA,96)</f>
        <v>960000</v>
      </c>
      <c r="M68" s="87">
        <f>VLOOKUP($A68,'Data shares'!$C:$FA,97)</f>
        <v>2.2499999999999999E-2</v>
      </c>
      <c r="N68" s="86">
        <f>VLOOKUP($A68,'Data shares'!$C:$FA,78)</f>
        <v>58725000</v>
      </c>
      <c r="O68" s="87">
        <f>VLOOKUP($A68,'Data shares'!$C:$FA,81)</f>
        <v>-6.3E-3</v>
      </c>
    </row>
    <row r="69" spans="1:15" x14ac:dyDescent="0.25">
      <c r="A69" s="100" t="str">
        <f>'OI(Value)'!A69</f>
        <v>FINNIFTY</v>
      </c>
      <c r="B69" s="82">
        <f>VLOOKUP(A69,'Data shares'!$C$2:$CV$215,98,0)</f>
        <v>1531220</v>
      </c>
      <c r="C69" s="82">
        <f>VLOOKUP(A69,'Data shares'!$C$2:$CX$215,100,0)</f>
        <v>159490</v>
      </c>
      <c r="D69" s="141">
        <f>VLOOKUP(A69,'Data shares'!$C$2:$CY$538,101,0)</f>
        <v>0.1163</v>
      </c>
      <c r="E69" s="86">
        <f>VLOOKUP($A69,'Data shares'!$C:$FA,74)</f>
        <v>43600</v>
      </c>
      <c r="F69" s="86">
        <f>VLOOKUP($A69,'Data shares'!$C:$FA,76)</f>
        <v>5950</v>
      </c>
      <c r="G69" s="87">
        <f>VLOOKUP(A69,'Data shares'!$C$2:$CA$215,77,0)</f>
        <v>0.158</v>
      </c>
      <c r="H69" s="86">
        <f>VLOOKUP($A69,'Data shares'!$C:$FA,90)</f>
        <v>946980</v>
      </c>
      <c r="I69" s="86">
        <f>VLOOKUP($A69,'Data shares'!$C:$FA,92)</f>
        <v>127660</v>
      </c>
      <c r="J69" s="87">
        <f>VLOOKUP($A69,'Data shares'!$C:$FA,93)</f>
        <v>0.15579999999999999</v>
      </c>
      <c r="K69" s="86">
        <f>VLOOKUP($A69,'Data shares'!$C:$FA,94)</f>
        <v>540640</v>
      </c>
      <c r="L69" s="86">
        <f>VLOOKUP($A69,'Data shares'!$C:$FA,96)</f>
        <v>25880</v>
      </c>
      <c r="M69" s="87">
        <f>VLOOKUP($A69,'Data shares'!$C:$FA,97)</f>
        <v>5.0299999999999997E-2</v>
      </c>
      <c r="N69" s="86">
        <f>VLOOKUP($A69,'Data shares'!$C:$FA,78)</f>
        <v>39520</v>
      </c>
      <c r="O69" s="87">
        <f>VLOOKUP($A69,'Data shares'!$C:$FA,81)</f>
        <v>8.9599999999999999E-2</v>
      </c>
    </row>
    <row r="70" spans="1:15" x14ac:dyDescent="0.25">
      <c r="A70" s="100" t="str">
        <f>'OI(Value)'!A70</f>
        <v>FORTIS</v>
      </c>
      <c r="B70" s="82">
        <f>VLOOKUP(A70,'Data shares'!$C$2:$CV$215,98,0)</f>
        <v>24092425</v>
      </c>
      <c r="C70" s="82">
        <f>VLOOKUP(A70,'Data shares'!$C$2:$CX$215,100,0)</f>
        <v>-134075</v>
      </c>
      <c r="D70" s="141">
        <f>VLOOKUP(A70,'Data shares'!$C$2:$CY$538,101,0)</f>
        <v>-5.4999999999999997E-3</v>
      </c>
      <c r="E70" s="86">
        <f>VLOOKUP($A70,'Data shares'!$C:$FA,74)</f>
        <v>14476225</v>
      </c>
      <c r="F70" s="86">
        <f>VLOOKUP($A70,'Data shares'!$C:$FA,76)</f>
        <v>-6200</v>
      </c>
      <c r="G70" s="87">
        <f>VLOOKUP(A70,'Data shares'!$C$2:$CA$215,77,0)</f>
        <v>-4.0000000000000002E-4</v>
      </c>
      <c r="H70" s="86">
        <f>VLOOKUP($A70,'Data shares'!$C:$FA,90)</f>
        <v>6654925</v>
      </c>
      <c r="I70" s="86">
        <f>VLOOKUP($A70,'Data shares'!$C:$FA,92)</f>
        <v>-197625</v>
      </c>
      <c r="J70" s="87">
        <f>VLOOKUP($A70,'Data shares'!$C:$FA,93)</f>
        <v>-2.8799999999999999E-2</v>
      </c>
      <c r="K70" s="86">
        <f>VLOOKUP($A70,'Data shares'!$C:$FA,94)</f>
        <v>2961275</v>
      </c>
      <c r="L70" s="86">
        <f>VLOOKUP($A70,'Data shares'!$C:$FA,96)</f>
        <v>69750</v>
      </c>
      <c r="M70" s="87">
        <f>VLOOKUP($A70,'Data shares'!$C:$FA,97)</f>
        <v>2.41E-2</v>
      </c>
      <c r="N70" s="86">
        <f>VLOOKUP($A70,'Data shares'!$C:$FA,78)</f>
        <v>13619850</v>
      </c>
      <c r="O70" s="87">
        <f>VLOOKUP($A70,'Data shares'!$C:$FA,81)</f>
        <v>-4.3E-3</v>
      </c>
    </row>
    <row r="71" spans="1:15" x14ac:dyDescent="0.25">
      <c r="A71" s="100" t="str">
        <f>'OI(Value)'!A71</f>
        <v>GAIL</v>
      </c>
      <c r="B71" s="82">
        <f>VLOOKUP(A71,'Data shares'!$C$2:$CV$215,98,0)</f>
        <v>213273900</v>
      </c>
      <c r="C71" s="82">
        <f>VLOOKUP(A71,'Data shares'!$C$2:$CX$215,100,0)</f>
        <v>-1959300</v>
      </c>
      <c r="D71" s="141">
        <f>VLOOKUP(A71,'Data shares'!$C$2:$CY$538,101,0)</f>
        <v>-9.1000000000000004E-3</v>
      </c>
      <c r="E71" s="86">
        <f>VLOOKUP($A71,'Data shares'!$C:$FA,74)</f>
        <v>99470700</v>
      </c>
      <c r="F71" s="86">
        <f>VLOOKUP($A71,'Data shares'!$C:$FA,76)</f>
        <v>-733950</v>
      </c>
      <c r="G71" s="87">
        <f>VLOOKUP(A71,'Data shares'!$C$2:$CA$215,77,0)</f>
        <v>-7.3000000000000001E-3</v>
      </c>
      <c r="H71" s="86">
        <f>VLOOKUP($A71,'Data shares'!$C:$FA,90)</f>
        <v>68389650</v>
      </c>
      <c r="I71" s="86">
        <f>VLOOKUP($A71,'Data shares'!$C:$FA,92)</f>
        <v>-1263150</v>
      </c>
      <c r="J71" s="87">
        <f>VLOOKUP($A71,'Data shares'!$C:$FA,93)</f>
        <v>-1.8100000000000002E-2</v>
      </c>
      <c r="K71" s="86">
        <f>VLOOKUP($A71,'Data shares'!$C:$FA,94)</f>
        <v>45413550</v>
      </c>
      <c r="L71" s="86">
        <f>VLOOKUP($A71,'Data shares'!$C:$FA,96)</f>
        <v>37800</v>
      </c>
      <c r="M71" s="87">
        <f>VLOOKUP($A71,'Data shares'!$C:$FA,97)</f>
        <v>8.0000000000000004E-4</v>
      </c>
      <c r="N71" s="86">
        <f>VLOOKUP($A71,'Data shares'!$C:$FA,78)</f>
        <v>89097750</v>
      </c>
      <c r="O71" s="87">
        <f>VLOOKUP($A71,'Data shares'!$C:$FA,81)</f>
        <v>-9.7999999999999997E-3</v>
      </c>
    </row>
    <row r="72" spans="1:15" x14ac:dyDescent="0.25">
      <c r="A72" s="100" t="str">
        <f>'OI(Value)'!A72</f>
        <v>GLENMARK</v>
      </c>
      <c r="B72" s="82">
        <f>VLOOKUP(A72,'Data shares'!$C$2:$CV$215,98,0)</f>
        <v>21753000</v>
      </c>
      <c r="C72" s="82">
        <f>VLOOKUP(A72,'Data shares'!$C$2:$CX$215,100,0)</f>
        <v>30750</v>
      </c>
      <c r="D72" s="141">
        <f>VLOOKUP(A72,'Data shares'!$C$2:$CY$538,101,0)</f>
        <v>1.4E-3</v>
      </c>
      <c r="E72" s="86">
        <f>VLOOKUP($A72,'Data shares'!$C:$FA,74)</f>
        <v>14554125</v>
      </c>
      <c r="F72" s="86">
        <f>VLOOKUP($A72,'Data shares'!$C:$FA,76)</f>
        <v>88500</v>
      </c>
      <c r="G72" s="87">
        <f>VLOOKUP(A72,'Data shares'!$C$2:$CA$215,77,0)</f>
        <v>6.1000000000000004E-3</v>
      </c>
      <c r="H72" s="86">
        <f>VLOOKUP($A72,'Data shares'!$C:$FA,90)</f>
        <v>4193250</v>
      </c>
      <c r="I72" s="86">
        <f>VLOOKUP($A72,'Data shares'!$C:$FA,92)</f>
        <v>10125</v>
      </c>
      <c r="J72" s="87">
        <f>VLOOKUP($A72,'Data shares'!$C:$FA,93)</f>
        <v>2.3999999999999998E-3</v>
      </c>
      <c r="K72" s="86">
        <f>VLOOKUP($A72,'Data shares'!$C:$FA,94)</f>
        <v>3005625</v>
      </c>
      <c r="L72" s="86">
        <f>VLOOKUP($A72,'Data shares'!$C:$FA,96)</f>
        <v>-67875</v>
      </c>
      <c r="M72" s="87">
        <f>VLOOKUP($A72,'Data shares'!$C:$FA,97)</f>
        <v>-2.2100000000000002E-2</v>
      </c>
      <c r="N72" s="86">
        <f>VLOOKUP($A72,'Data shares'!$C:$FA,78)</f>
        <v>14258250</v>
      </c>
      <c r="O72" s="87">
        <f>VLOOKUP($A72,'Data shares'!$C:$FA,81)</f>
        <v>2.8999999999999998E-3</v>
      </c>
    </row>
    <row r="73" spans="1:15" x14ac:dyDescent="0.25">
      <c r="A73" s="100" t="str">
        <f>'OI(Value)'!A73</f>
        <v>GMRAIRPORT</v>
      </c>
      <c r="B73" s="82">
        <f>VLOOKUP(A73,'Data shares'!$C$2:$CV$215,98,0)</f>
        <v>405087075</v>
      </c>
      <c r="C73" s="82">
        <f>VLOOKUP(A73,'Data shares'!$C$2:$CX$215,100,0)</f>
        <v>3055050</v>
      </c>
      <c r="D73" s="141">
        <f>VLOOKUP(A73,'Data shares'!$C$2:$CY$538,101,0)</f>
        <v>7.6E-3</v>
      </c>
      <c r="E73" s="86">
        <f>VLOOKUP($A73,'Data shares'!$C:$FA,74)</f>
        <v>173314800</v>
      </c>
      <c r="F73" s="86">
        <f>VLOOKUP($A73,'Data shares'!$C:$FA,76)</f>
        <v>-3515400</v>
      </c>
      <c r="G73" s="87">
        <f>VLOOKUP(A73,'Data shares'!$C$2:$CA$215,77,0)</f>
        <v>-1.9900000000000001E-2</v>
      </c>
      <c r="H73" s="86">
        <f>VLOOKUP($A73,'Data shares'!$C:$FA,90)</f>
        <v>150053175</v>
      </c>
      <c r="I73" s="86">
        <f>VLOOKUP($A73,'Data shares'!$C:$FA,92)</f>
        <v>5314950</v>
      </c>
      <c r="J73" s="87">
        <f>VLOOKUP($A73,'Data shares'!$C:$FA,93)</f>
        <v>3.6700000000000003E-2</v>
      </c>
      <c r="K73" s="86">
        <f>VLOOKUP($A73,'Data shares'!$C:$FA,94)</f>
        <v>81719100</v>
      </c>
      <c r="L73" s="86">
        <f>VLOOKUP($A73,'Data shares'!$C:$FA,96)</f>
        <v>1255500</v>
      </c>
      <c r="M73" s="87">
        <f>VLOOKUP($A73,'Data shares'!$C:$FA,97)</f>
        <v>1.5599999999999999E-2</v>
      </c>
      <c r="N73" s="86">
        <f>VLOOKUP($A73,'Data shares'!$C:$FA,78)</f>
        <v>154838025</v>
      </c>
      <c r="O73" s="87">
        <f>VLOOKUP($A73,'Data shares'!$C:$FA,81)</f>
        <v>-3.3599999999999998E-2</v>
      </c>
    </row>
    <row r="74" spans="1:15" x14ac:dyDescent="0.25">
      <c r="A74" s="100" t="str">
        <f>'OI(Value)'!A74</f>
        <v>GODREJCP</v>
      </c>
      <c r="B74" s="82">
        <f>VLOOKUP(A74,'Data shares'!$C$2:$CV$215,98,0)</f>
        <v>14213000</v>
      </c>
      <c r="C74" s="82">
        <f>VLOOKUP(A74,'Data shares'!$C$2:$CX$215,100,0)</f>
        <v>-212500</v>
      </c>
      <c r="D74" s="141">
        <f>VLOOKUP(A74,'Data shares'!$C$2:$CY$538,101,0)</f>
        <v>-1.47E-2</v>
      </c>
      <c r="E74" s="86">
        <f>VLOOKUP($A74,'Data shares'!$C:$FA,74)</f>
        <v>9289000</v>
      </c>
      <c r="F74" s="86">
        <f>VLOOKUP($A74,'Data shares'!$C:$FA,76)</f>
        <v>-67500</v>
      </c>
      <c r="G74" s="87">
        <f>VLOOKUP(A74,'Data shares'!$C$2:$CA$215,77,0)</f>
        <v>-7.1999999999999998E-3</v>
      </c>
      <c r="H74" s="86">
        <f>VLOOKUP($A74,'Data shares'!$C:$FA,90)</f>
        <v>2993500</v>
      </c>
      <c r="I74" s="86">
        <f>VLOOKUP($A74,'Data shares'!$C:$FA,92)</f>
        <v>-32000</v>
      </c>
      <c r="J74" s="87">
        <f>VLOOKUP($A74,'Data shares'!$C:$FA,93)</f>
        <v>-1.06E-2</v>
      </c>
      <c r="K74" s="86">
        <f>VLOOKUP($A74,'Data shares'!$C:$FA,94)</f>
        <v>1930500</v>
      </c>
      <c r="L74" s="86">
        <f>VLOOKUP($A74,'Data shares'!$C:$FA,96)</f>
        <v>-113000</v>
      </c>
      <c r="M74" s="87">
        <f>VLOOKUP($A74,'Data shares'!$C:$FA,97)</f>
        <v>-5.5300000000000002E-2</v>
      </c>
      <c r="N74" s="86">
        <f>VLOOKUP($A74,'Data shares'!$C:$FA,78)</f>
        <v>9061000</v>
      </c>
      <c r="O74" s="87">
        <f>VLOOKUP($A74,'Data shares'!$C:$FA,81)</f>
        <v>-1.14E-2</v>
      </c>
    </row>
    <row r="75" spans="1:15" x14ac:dyDescent="0.25">
      <c r="A75" s="100" t="str">
        <f>'OI(Value)'!A75</f>
        <v>GODREJPROP</v>
      </c>
      <c r="B75" s="82">
        <f>VLOOKUP(A75,'Data shares'!$C$2:$CV$215,98,0)</f>
        <v>14507625</v>
      </c>
      <c r="C75" s="82">
        <f>VLOOKUP(A75,'Data shares'!$C$2:$CX$215,100,0)</f>
        <v>273075</v>
      </c>
      <c r="D75" s="141">
        <f>VLOOKUP(A75,'Data shares'!$C$2:$CY$538,101,0)</f>
        <v>1.9199999999999998E-2</v>
      </c>
      <c r="E75" s="86">
        <f>VLOOKUP($A75,'Data shares'!$C:$FA,74)</f>
        <v>9103050</v>
      </c>
      <c r="F75" s="86">
        <f>VLOOKUP($A75,'Data shares'!$C:$FA,76)</f>
        <v>213400</v>
      </c>
      <c r="G75" s="87">
        <f>VLOOKUP(A75,'Data shares'!$C$2:$CA$215,77,0)</f>
        <v>2.4E-2</v>
      </c>
      <c r="H75" s="86">
        <f>VLOOKUP($A75,'Data shares'!$C:$FA,90)</f>
        <v>3381950</v>
      </c>
      <c r="I75" s="86">
        <f>VLOOKUP($A75,'Data shares'!$C:$FA,92)</f>
        <v>53625</v>
      </c>
      <c r="J75" s="87">
        <f>VLOOKUP($A75,'Data shares'!$C:$FA,93)</f>
        <v>1.61E-2</v>
      </c>
      <c r="K75" s="86">
        <f>VLOOKUP($A75,'Data shares'!$C:$FA,94)</f>
        <v>2022625</v>
      </c>
      <c r="L75" s="86">
        <f>VLOOKUP($A75,'Data shares'!$C:$FA,96)</f>
        <v>6050</v>
      </c>
      <c r="M75" s="87">
        <f>VLOOKUP($A75,'Data shares'!$C:$FA,97)</f>
        <v>3.0000000000000001E-3</v>
      </c>
      <c r="N75" s="86">
        <f>VLOOKUP($A75,'Data shares'!$C:$FA,78)</f>
        <v>8319575</v>
      </c>
      <c r="O75" s="87">
        <f>VLOOKUP($A75,'Data shares'!$C:$FA,81)</f>
        <v>-2.0500000000000001E-2</v>
      </c>
    </row>
    <row r="76" spans="1:15" x14ac:dyDescent="0.25">
      <c r="A76" s="100" t="str">
        <f>'OI(Value)'!A76</f>
        <v>GRASIM</v>
      </c>
      <c r="B76" s="82">
        <f>VLOOKUP(A76,'Data shares'!$C$2:$CV$215,98,0)</f>
        <v>20560250</v>
      </c>
      <c r="C76" s="82">
        <f>VLOOKUP(A76,'Data shares'!$C$2:$CX$215,100,0)</f>
        <v>-15250</v>
      </c>
      <c r="D76" s="141">
        <f>VLOOKUP(A76,'Data shares'!$C$2:$CY$538,101,0)</f>
        <v>-6.9999999999999999E-4</v>
      </c>
      <c r="E76" s="86">
        <f>VLOOKUP($A76,'Data shares'!$C:$FA,74)</f>
        <v>15975250</v>
      </c>
      <c r="F76" s="86">
        <f>VLOOKUP($A76,'Data shares'!$C:$FA,76)</f>
        <v>-7750</v>
      </c>
      <c r="G76" s="87">
        <f>VLOOKUP(A76,'Data shares'!$C$2:$CA$215,77,0)</f>
        <v>-5.0000000000000001E-4</v>
      </c>
      <c r="H76" s="86">
        <f>VLOOKUP($A76,'Data shares'!$C:$FA,90)</f>
        <v>2191750</v>
      </c>
      <c r="I76" s="86">
        <f>VLOOKUP($A76,'Data shares'!$C:$FA,92)</f>
        <v>0</v>
      </c>
      <c r="J76" s="87">
        <f>VLOOKUP($A76,'Data shares'!$C:$FA,93)</f>
        <v>0</v>
      </c>
      <c r="K76" s="86">
        <f>VLOOKUP($A76,'Data shares'!$C:$FA,94)</f>
        <v>2393250</v>
      </c>
      <c r="L76" s="86">
        <f>VLOOKUP($A76,'Data shares'!$C:$FA,96)</f>
        <v>-7500</v>
      </c>
      <c r="M76" s="87">
        <f>VLOOKUP($A76,'Data shares'!$C:$FA,97)</f>
        <v>-3.0999999999999999E-3</v>
      </c>
      <c r="N76" s="86">
        <f>VLOOKUP($A76,'Data shares'!$C:$FA,78)</f>
        <v>14789250</v>
      </c>
      <c r="O76" s="87">
        <f>VLOOKUP($A76,'Data shares'!$C:$FA,81)</f>
        <v>-1.8100000000000002E-2</v>
      </c>
    </row>
    <row r="77" spans="1:15" x14ac:dyDescent="0.25">
      <c r="A77" s="100" t="str">
        <f>'OI(Value)'!A77</f>
        <v>HAL</v>
      </c>
      <c r="B77" s="82">
        <f>VLOOKUP(A77,'Data shares'!$C$2:$CV$215,98,0)</f>
        <v>24108750</v>
      </c>
      <c r="C77" s="82">
        <f>VLOOKUP(A77,'Data shares'!$C$2:$CX$215,100,0)</f>
        <v>342750</v>
      </c>
      <c r="D77" s="141">
        <f>VLOOKUP(A77,'Data shares'!$C$2:$CY$538,101,0)</f>
        <v>1.44E-2</v>
      </c>
      <c r="E77" s="86">
        <f>VLOOKUP($A77,'Data shares'!$C:$FA,74)</f>
        <v>10456200</v>
      </c>
      <c r="F77" s="86">
        <f>VLOOKUP($A77,'Data shares'!$C:$FA,76)</f>
        <v>78300</v>
      </c>
      <c r="G77" s="87">
        <f>VLOOKUP(A77,'Data shares'!$C$2:$CA$215,77,0)</f>
        <v>7.4999999999999997E-3</v>
      </c>
      <c r="H77" s="86">
        <f>VLOOKUP($A77,'Data shares'!$C:$FA,90)</f>
        <v>9140550</v>
      </c>
      <c r="I77" s="86">
        <f>VLOOKUP($A77,'Data shares'!$C:$FA,92)</f>
        <v>192900</v>
      </c>
      <c r="J77" s="87">
        <f>VLOOKUP($A77,'Data shares'!$C:$FA,93)</f>
        <v>2.1600000000000001E-2</v>
      </c>
      <c r="K77" s="86">
        <f>VLOOKUP($A77,'Data shares'!$C:$FA,94)</f>
        <v>4512000</v>
      </c>
      <c r="L77" s="86">
        <f>VLOOKUP($A77,'Data shares'!$C:$FA,96)</f>
        <v>71550</v>
      </c>
      <c r="M77" s="87">
        <f>VLOOKUP($A77,'Data shares'!$C:$FA,97)</f>
        <v>1.61E-2</v>
      </c>
      <c r="N77" s="86">
        <f>VLOOKUP($A77,'Data shares'!$C:$FA,78)</f>
        <v>9246900</v>
      </c>
      <c r="O77" s="87">
        <f>VLOOKUP($A77,'Data shares'!$C:$FA,81)</f>
        <v>-5.0000000000000001E-4</v>
      </c>
    </row>
    <row r="78" spans="1:15" x14ac:dyDescent="0.25">
      <c r="A78" s="100" t="str">
        <f>'OI(Value)'!A78</f>
        <v>HAVELLS</v>
      </c>
      <c r="B78" s="82">
        <f>VLOOKUP(A78,'Data shares'!$C$2:$CV$215,98,0)</f>
        <v>13262000</v>
      </c>
      <c r="C78" s="82">
        <f>VLOOKUP(A78,'Data shares'!$C$2:$CX$215,100,0)</f>
        <v>292000</v>
      </c>
      <c r="D78" s="141">
        <f>VLOOKUP(A78,'Data shares'!$C$2:$CY$538,101,0)</f>
        <v>2.2499999999999999E-2</v>
      </c>
      <c r="E78" s="86">
        <f>VLOOKUP($A78,'Data shares'!$C:$FA,74)</f>
        <v>8538500</v>
      </c>
      <c r="F78" s="86">
        <f>VLOOKUP($A78,'Data shares'!$C:$FA,76)</f>
        <v>44500</v>
      </c>
      <c r="G78" s="87">
        <f>VLOOKUP(A78,'Data shares'!$C$2:$CA$215,77,0)</f>
        <v>5.1999999999999998E-3</v>
      </c>
      <c r="H78" s="86">
        <f>VLOOKUP($A78,'Data shares'!$C:$FA,90)</f>
        <v>2682000</v>
      </c>
      <c r="I78" s="86">
        <f>VLOOKUP($A78,'Data shares'!$C:$FA,92)</f>
        <v>165500</v>
      </c>
      <c r="J78" s="87">
        <f>VLOOKUP($A78,'Data shares'!$C:$FA,93)</f>
        <v>6.5799999999999997E-2</v>
      </c>
      <c r="K78" s="86">
        <f>VLOOKUP($A78,'Data shares'!$C:$FA,94)</f>
        <v>2041500</v>
      </c>
      <c r="L78" s="86">
        <f>VLOOKUP($A78,'Data shares'!$C:$FA,96)</f>
        <v>82000</v>
      </c>
      <c r="M78" s="87">
        <f>VLOOKUP($A78,'Data shares'!$C:$FA,97)</f>
        <v>4.1799999999999997E-2</v>
      </c>
      <c r="N78" s="86">
        <f>VLOOKUP($A78,'Data shares'!$C:$FA,78)</f>
        <v>8040500</v>
      </c>
      <c r="O78" s="87">
        <f>VLOOKUP($A78,'Data shares'!$C:$FA,81)</f>
        <v>4.1000000000000003E-3</v>
      </c>
    </row>
    <row r="79" spans="1:15" x14ac:dyDescent="0.25">
      <c r="A79" s="100" t="str">
        <f>'OI(Value)'!A79</f>
        <v>HCLTECH</v>
      </c>
      <c r="B79" s="82">
        <f>VLOOKUP(A79,'Data shares'!$C$2:$CV$215,98,0)</f>
        <v>28630700</v>
      </c>
      <c r="C79" s="82">
        <f>VLOOKUP(A79,'Data shares'!$C$2:$CX$215,100,0)</f>
        <v>-277550</v>
      </c>
      <c r="D79" s="141">
        <f>VLOOKUP(A79,'Data shares'!$C$2:$CY$538,101,0)</f>
        <v>-9.5999999999999992E-3</v>
      </c>
      <c r="E79" s="86">
        <f>VLOOKUP($A79,'Data shares'!$C:$FA,74)</f>
        <v>17044650</v>
      </c>
      <c r="F79" s="86">
        <f>VLOOKUP($A79,'Data shares'!$C:$FA,76)</f>
        <v>-309050</v>
      </c>
      <c r="G79" s="87">
        <f>VLOOKUP(A79,'Data shares'!$C$2:$CA$215,77,0)</f>
        <v>-1.78E-2</v>
      </c>
      <c r="H79" s="86">
        <f>VLOOKUP($A79,'Data shares'!$C:$FA,90)</f>
        <v>7372750</v>
      </c>
      <c r="I79" s="86">
        <f>VLOOKUP($A79,'Data shares'!$C:$FA,92)</f>
        <v>85400</v>
      </c>
      <c r="J79" s="87">
        <f>VLOOKUP($A79,'Data shares'!$C:$FA,93)</f>
        <v>1.17E-2</v>
      </c>
      <c r="K79" s="86">
        <f>VLOOKUP($A79,'Data shares'!$C:$FA,94)</f>
        <v>4213300</v>
      </c>
      <c r="L79" s="86">
        <f>VLOOKUP($A79,'Data shares'!$C:$FA,96)</f>
        <v>-53900</v>
      </c>
      <c r="M79" s="87">
        <f>VLOOKUP($A79,'Data shares'!$C:$FA,97)</f>
        <v>-1.26E-2</v>
      </c>
      <c r="N79" s="86">
        <f>VLOOKUP($A79,'Data shares'!$C:$FA,78)</f>
        <v>15855000</v>
      </c>
      <c r="O79" s="87">
        <f>VLOOKUP($A79,'Data shares'!$C:$FA,81)</f>
        <v>-2.4899999999999999E-2</v>
      </c>
    </row>
    <row r="80" spans="1:15" x14ac:dyDescent="0.25">
      <c r="A80" s="100" t="str">
        <f>'OI(Value)'!A80</f>
        <v>HDFCAMC</v>
      </c>
      <c r="B80" s="82">
        <f>VLOOKUP(A80,'Data shares'!$C$2:$CV$215,98,0)</f>
        <v>8957400</v>
      </c>
      <c r="C80" s="82">
        <f>VLOOKUP(A80,'Data shares'!$C$2:$CX$215,100,0)</f>
        <v>693600</v>
      </c>
      <c r="D80" s="141">
        <f>VLOOKUP(A80,'Data shares'!$C$2:$CY$538,101,0)</f>
        <v>8.3900000000000002E-2</v>
      </c>
      <c r="E80" s="86">
        <f>VLOOKUP($A80,'Data shares'!$C:$FA,74)</f>
        <v>4976400</v>
      </c>
      <c r="F80" s="86">
        <f>VLOOKUP($A80,'Data shares'!$C:$FA,76)</f>
        <v>172500</v>
      </c>
      <c r="G80" s="87">
        <f>VLOOKUP(A80,'Data shares'!$C$2:$CA$215,77,0)</f>
        <v>3.5900000000000001E-2</v>
      </c>
      <c r="H80" s="86">
        <f>VLOOKUP($A80,'Data shares'!$C:$FA,90)</f>
        <v>2235600</v>
      </c>
      <c r="I80" s="86">
        <f>VLOOKUP($A80,'Data shares'!$C:$FA,92)</f>
        <v>230400</v>
      </c>
      <c r="J80" s="87">
        <f>VLOOKUP($A80,'Data shares'!$C:$FA,93)</f>
        <v>0.1149</v>
      </c>
      <c r="K80" s="86">
        <f>VLOOKUP($A80,'Data shares'!$C:$FA,94)</f>
        <v>1745400</v>
      </c>
      <c r="L80" s="86">
        <f>VLOOKUP($A80,'Data shares'!$C:$FA,96)</f>
        <v>290700</v>
      </c>
      <c r="M80" s="87">
        <f>VLOOKUP($A80,'Data shares'!$C:$FA,97)</f>
        <v>0.19980000000000001</v>
      </c>
      <c r="N80" s="86">
        <f>VLOOKUP($A80,'Data shares'!$C:$FA,78)</f>
        <v>4401600</v>
      </c>
      <c r="O80" s="87">
        <f>VLOOKUP($A80,'Data shares'!$C:$FA,81)</f>
        <v>-1.6000000000000001E-3</v>
      </c>
    </row>
    <row r="81" spans="1:15" x14ac:dyDescent="0.25">
      <c r="A81" s="100" t="str">
        <f>'OI(Value)'!A81</f>
        <v>HDFCBANK</v>
      </c>
      <c r="B81" s="82">
        <f>VLOOKUP(A81,'Data shares'!$C$2:$CV$215,98,0)</f>
        <v>292844200</v>
      </c>
      <c r="C81" s="82">
        <f>VLOOKUP(A81,'Data shares'!$C$2:$CX$215,100,0)</f>
        <v>12986600</v>
      </c>
      <c r="D81" s="141">
        <f>VLOOKUP(A81,'Data shares'!$C$2:$CY$538,101,0)</f>
        <v>4.6399999999999997E-2</v>
      </c>
      <c r="E81" s="86">
        <f>VLOOKUP($A81,'Data shares'!$C:$FA,74)</f>
        <v>221651100</v>
      </c>
      <c r="F81" s="86">
        <f>VLOOKUP($A81,'Data shares'!$C:$FA,76)</f>
        <v>6028000</v>
      </c>
      <c r="G81" s="87">
        <f>VLOOKUP(A81,'Data shares'!$C$2:$CA$215,77,0)</f>
        <v>2.8000000000000001E-2</v>
      </c>
      <c r="H81" s="86">
        <f>VLOOKUP($A81,'Data shares'!$C:$FA,90)</f>
        <v>43398300</v>
      </c>
      <c r="I81" s="86">
        <f>VLOOKUP($A81,'Data shares'!$C:$FA,92)</f>
        <v>6564250</v>
      </c>
      <c r="J81" s="87">
        <f>VLOOKUP($A81,'Data shares'!$C:$FA,93)</f>
        <v>0.1782</v>
      </c>
      <c r="K81" s="86">
        <f>VLOOKUP($A81,'Data shares'!$C:$FA,94)</f>
        <v>27794800</v>
      </c>
      <c r="L81" s="86">
        <f>VLOOKUP($A81,'Data shares'!$C:$FA,96)</f>
        <v>394350</v>
      </c>
      <c r="M81" s="87">
        <f>VLOOKUP($A81,'Data shares'!$C:$FA,97)</f>
        <v>1.44E-2</v>
      </c>
      <c r="N81" s="86">
        <f>VLOOKUP($A81,'Data shares'!$C:$FA,78)</f>
        <v>185022750</v>
      </c>
      <c r="O81" s="87">
        <f>VLOOKUP($A81,'Data shares'!$C:$FA,81)</f>
        <v>-8.3999999999999995E-3</v>
      </c>
    </row>
    <row r="82" spans="1:15" x14ac:dyDescent="0.25">
      <c r="A82" s="100" t="str">
        <f>'OI(Value)'!A82</f>
        <v>HDFCLIFE</v>
      </c>
      <c r="B82" s="82">
        <f>VLOOKUP(A82,'Data shares'!$C$2:$CV$215,98,0)</f>
        <v>59710200</v>
      </c>
      <c r="C82" s="82">
        <f>VLOOKUP(A82,'Data shares'!$C$2:$CX$215,100,0)</f>
        <v>-1494900</v>
      </c>
      <c r="D82" s="141">
        <f>VLOOKUP(A82,'Data shares'!$C$2:$CY$538,101,0)</f>
        <v>-2.4400000000000002E-2</v>
      </c>
      <c r="E82" s="86">
        <f>VLOOKUP($A82,'Data shares'!$C:$FA,74)</f>
        <v>31430300</v>
      </c>
      <c r="F82" s="86">
        <f>VLOOKUP($A82,'Data shares'!$C:$FA,76)</f>
        <v>746900</v>
      </c>
      <c r="G82" s="87">
        <f>VLOOKUP(A82,'Data shares'!$C$2:$CA$215,77,0)</f>
        <v>2.4299999999999999E-2</v>
      </c>
      <c r="H82" s="86">
        <f>VLOOKUP($A82,'Data shares'!$C:$FA,90)</f>
        <v>19741700</v>
      </c>
      <c r="I82" s="86">
        <f>VLOOKUP($A82,'Data shares'!$C:$FA,92)</f>
        <v>-1842500</v>
      </c>
      <c r="J82" s="87">
        <f>VLOOKUP($A82,'Data shares'!$C:$FA,93)</f>
        <v>-8.5400000000000004E-2</v>
      </c>
      <c r="K82" s="86">
        <f>VLOOKUP($A82,'Data shares'!$C:$FA,94)</f>
        <v>8538200</v>
      </c>
      <c r="L82" s="86">
        <f>VLOOKUP($A82,'Data shares'!$C:$FA,96)</f>
        <v>-399300</v>
      </c>
      <c r="M82" s="87">
        <f>VLOOKUP($A82,'Data shares'!$C:$FA,97)</f>
        <v>-4.4699999999999997E-2</v>
      </c>
      <c r="N82" s="86">
        <f>VLOOKUP($A82,'Data shares'!$C:$FA,78)</f>
        <v>28877200</v>
      </c>
      <c r="O82" s="87">
        <f>VLOOKUP($A82,'Data shares'!$C:$FA,81)</f>
        <v>1.6899999999999998E-2</v>
      </c>
    </row>
    <row r="83" spans="1:15" x14ac:dyDescent="0.25">
      <c r="A83" s="100" t="str">
        <f>'OI(Value)'!A83</f>
        <v>HEROMOTOCO</v>
      </c>
      <c r="B83" s="82">
        <f>VLOOKUP(A83,'Data shares'!$C$2:$CV$215,98,0)</f>
        <v>11787300</v>
      </c>
      <c r="C83" s="82">
        <f>VLOOKUP(A83,'Data shares'!$C$2:$CX$215,100,0)</f>
        <v>819300</v>
      </c>
      <c r="D83" s="141">
        <f>VLOOKUP(A83,'Data shares'!$C$2:$CY$538,101,0)</f>
        <v>7.4700000000000003E-2</v>
      </c>
      <c r="E83" s="86">
        <f>VLOOKUP($A83,'Data shares'!$C:$FA,74)</f>
        <v>6099300</v>
      </c>
      <c r="F83" s="86">
        <f>VLOOKUP($A83,'Data shares'!$C:$FA,76)</f>
        <v>92550</v>
      </c>
      <c r="G83" s="87">
        <f>VLOOKUP(A83,'Data shares'!$C$2:$CA$215,77,0)</f>
        <v>1.54E-2</v>
      </c>
      <c r="H83" s="86">
        <f>VLOOKUP($A83,'Data shares'!$C:$FA,90)</f>
        <v>3677850</v>
      </c>
      <c r="I83" s="86">
        <f>VLOOKUP($A83,'Data shares'!$C:$FA,92)</f>
        <v>751050</v>
      </c>
      <c r="J83" s="87">
        <f>VLOOKUP($A83,'Data shares'!$C:$FA,93)</f>
        <v>0.25659999999999999</v>
      </c>
      <c r="K83" s="86">
        <f>VLOOKUP($A83,'Data shares'!$C:$FA,94)</f>
        <v>2010150</v>
      </c>
      <c r="L83" s="86">
        <f>VLOOKUP($A83,'Data shares'!$C:$FA,96)</f>
        <v>-24300</v>
      </c>
      <c r="M83" s="87">
        <f>VLOOKUP($A83,'Data shares'!$C:$FA,97)</f>
        <v>-1.1900000000000001E-2</v>
      </c>
      <c r="N83" s="86">
        <f>VLOOKUP($A83,'Data shares'!$C:$FA,78)</f>
        <v>5850900</v>
      </c>
      <c r="O83" s="87">
        <f>VLOOKUP($A83,'Data shares'!$C:$FA,81)</f>
        <v>8.2000000000000007E-3</v>
      </c>
    </row>
    <row r="84" spans="1:15" x14ac:dyDescent="0.25">
      <c r="A84" s="100" t="str">
        <f>'OI(Value)'!A84</f>
        <v>HFCL</v>
      </c>
      <c r="B84" s="82">
        <f>VLOOKUP(A84,'Data shares'!$C$2:$CV$215,98,0)</f>
        <v>213024150</v>
      </c>
      <c r="C84" s="82">
        <f>VLOOKUP(A84,'Data shares'!$C$2:$CX$215,100,0)</f>
        <v>-1006200</v>
      </c>
      <c r="D84" s="141">
        <f>VLOOKUP(A84,'Data shares'!$C$2:$CY$538,101,0)</f>
        <v>-4.7000000000000002E-3</v>
      </c>
      <c r="E84" s="86">
        <f>VLOOKUP($A84,'Data shares'!$C:$FA,74)</f>
        <v>104715750</v>
      </c>
      <c r="F84" s="86">
        <f>VLOOKUP($A84,'Data shares'!$C:$FA,76)</f>
        <v>-206400</v>
      </c>
      <c r="G84" s="87">
        <f>VLOOKUP(A84,'Data shares'!$C$2:$CA$215,77,0)</f>
        <v>-2E-3</v>
      </c>
      <c r="H84" s="86">
        <f>VLOOKUP($A84,'Data shares'!$C:$FA,90)</f>
        <v>76548600</v>
      </c>
      <c r="I84" s="86">
        <f>VLOOKUP($A84,'Data shares'!$C:$FA,92)</f>
        <v>-864300</v>
      </c>
      <c r="J84" s="87">
        <f>VLOOKUP($A84,'Data shares'!$C:$FA,93)</f>
        <v>-1.12E-2</v>
      </c>
      <c r="K84" s="86">
        <f>VLOOKUP($A84,'Data shares'!$C:$FA,94)</f>
        <v>31759800</v>
      </c>
      <c r="L84" s="86">
        <f>VLOOKUP($A84,'Data shares'!$C:$FA,96)</f>
        <v>64500</v>
      </c>
      <c r="M84" s="87">
        <f>VLOOKUP($A84,'Data shares'!$C:$FA,97)</f>
        <v>2E-3</v>
      </c>
      <c r="N84" s="86">
        <f>VLOOKUP($A84,'Data shares'!$C:$FA,78)</f>
        <v>104715750</v>
      </c>
      <c r="O84" s="87">
        <f>VLOOKUP($A84,'Data shares'!$C:$FA,81)</f>
        <v>-2E-3</v>
      </c>
    </row>
    <row r="85" spans="1:15" x14ac:dyDescent="0.25">
      <c r="A85" s="100" t="str">
        <f>'OI(Value)'!A85</f>
        <v>HINDALCO</v>
      </c>
      <c r="B85" s="82">
        <f>VLOOKUP(A85,'Data shares'!$C$2:$CV$215,98,0)</f>
        <v>105156800</v>
      </c>
      <c r="C85" s="82">
        <f>VLOOKUP(A85,'Data shares'!$C$2:$CX$215,100,0)</f>
        <v>244300</v>
      </c>
      <c r="D85" s="141">
        <f>VLOOKUP(A85,'Data shares'!$C$2:$CY$538,101,0)</f>
        <v>2.3E-3</v>
      </c>
      <c r="E85" s="86">
        <f>VLOOKUP($A85,'Data shares'!$C:$FA,74)</f>
        <v>78094800</v>
      </c>
      <c r="F85" s="86">
        <f>VLOOKUP($A85,'Data shares'!$C:$FA,76)</f>
        <v>85400</v>
      </c>
      <c r="G85" s="87">
        <f>VLOOKUP(A85,'Data shares'!$C$2:$CA$215,77,0)</f>
        <v>1.1000000000000001E-3</v>
      </c>
      <c r="H85" s="86">
        <f>VLOOKUP($A85,'Data shares'!$C:$FA,90)</f>
        <v>15589700</v>
      </c>
      <c r="I85" s="86">
        <f>VLOOKUP($A85,'Data shares'!$C:$FA,92)</f>
        <v>219100</v>
      </c>
      <c r="J85" s="87">
        <f>VLOOKUP($A85,'Data shares'!$C:$FA,93)</f>
        <v>1.43E-2</v>
      </c>
      <c r="K85" s="86">
        <f>VLOOKUP($A85,'Data shares'!$C:$FA,94)</f>
        <v>11472300</v>
      </c>
      <c r="L85" s="86">
        <f>VLOOKUP($A85,'Data shares'!$C:$FA,96)</f>
        <v>-60200</v>
      </c>
      <c r="M85" s="87">
        <f>VLOOKUP($A85,'Data shares'!$C:$FA,97)</f>
        <v>-5.1999999999999998E-3</v>
      </c>
      <c r="N85" s="86">
        <f>VLOOKUP($A85,'Data shares'!$C:$FA,78)</f>
        <v>74827900</v>
      </c>
      <c r="O85" s="87">
        <f>VLOOKUP($A85,'Data shares'!$C:$FA,81)</f>
        <v>-1.3899999999999999E-2</v>
      </c>
    </row>
    <row r="86" spans="1:15" x14ac:dyDescent="0.25">
      <c r="A86" s="100" t="str">
        <f>'OI(Value)'!A86</f>
        <v>HINDPETRO</v>
      </c>
      <c r="B86" s="82">
        <f>VLOOKUP(A86,'Data shares'!$C$2:$CV$215,98,0)</f>
        <v>62210025</v>
      </c>
      <c r="C86" s="82">
        <f>VLOOKUP(A86,'Data shares'!$C$2:$CX$215,100,0)</f>
        <v>305775</v>
      </c>
      <c r="D86" s="141">
        <f>VLOOKUP(A86,'Data shares'!$C$2:$CY$538,101,0)</f>
        <v>4.8999999999999998E-3</v>
      </c>
      <c r="E86" s="86">
        <f>VLOOKUP($A86,'Data shares'!$C:$FA,74)</f>
        <v>38282625</v>
      </c>
      <c r="F86" s="86">
        <f>VLOOKUP($A86,'Data shares'!$C:$FA,76)</f>
        <v>-356400</v>
      </c>
      <c r="G86" s="87">
        <f>VLOOKUP(A86,'Data shares'!$C$2:$CA$215,77,0)</f>
        <v>-9.1999999999999998E-3</v>
      </c>
      <c r="H86" s="86">
        <f>VLOOKUP($A86,'Data shares'!$C:$FA,90)</f>
        <v>15189525</v>
      </c>
      <c r="I86" s="86">
        <f>VLOOKUP($A86,'Data shares'!$C:$FA,92)</f>
        <v>338175</v>
      </c>
      <c r="J86" s="87">
        <f>VLOOKUP($A86,'Data shares'!$C:$FA,93)</f>
        <v>2.2800000000000001E-2</v>
      </c>
      <c r="K86" s="86">
        <f>VLOOKUP($A86,'Data shares'!$C:$FA,94)</f>
        <v>8737875</v>
      </c>
      <c r="L86" s="86">
        <f>VLOOKUP($A86,'Data shares'!$C:$FA,96)</f>
        <v>324000</v>
      </c>
      <c r="M86" s="87">
        <f>VLOOKUP($A86,'Data shares'!$C:$FA,97)</f>
        <v>3.85E-2</v>
      </c>
      <c r="N86" s="86">
        <f>VLOOKUP($A86,'Data shares'!$C:$FA,78)</f>
        <v>36749700</v>
      </c>
      <c r="O86" s="87">
        <f>VLOOKUP($A86,'Data shares'!$C:$FA,81)</f>
        <v>-1.2500000000000001E-2</v>
      </c>
    </row>
    <row r="87" spans="1:15" x14ac:dyDescent="0.25">
      <c r="A87" s="100" t="str">
        <f>'OI(Value)'!A87</f>
        <v>HINDUNILVR</v>
      </c>
      <c r="B87" s="82">
        <f>VLOOKUP(A87,'Data shares'!$C$2:$CV$215,98,0)</f>
        <v>21006300</v>
      </c>
      <c r="C87" s="82">
        <f>VLOOKUP(A87,'Data shares'!$C$2:$CX$215,100,0)</f>
        <v>636600</v>
      </c>
      <c r="D87" s="141">
        <f>VLOOKUP(A87,'Data shares'!$C$2:$CY$538,101,0)</f>
        <v>3.1300000000000001E-2</v>
      </c>
      <c r="E87" s="86">
        <f>VLOOKUP($A87,'Data shares'!$C:$FA,74)</f>
        <v>10963800</v>
      </c>
      <c r="F87" s="86">
        <f>VLOOKUP($A87,'Data shares'!$C:$FA,76)</f>
        <v>300600</v>
      </c>
      <c r="G87" s="87">
        <f>VLOOKUP(A87,'Data shares'!$C$2:$CA$215,77,0)</f>
        <v>2.8199999999999999E-2</v>
      </c>
      <c r="H87" s="86">
        <f>VLOOKUP($A87,'Data shares'!$C:$FA,90)</f>
        <v>6619500</v>
      </c>
      <c r="I87" s="86">
        <f>VLOOKUP($A87,'Data shares'!$C:$FA,92)</f>
        <v>269700</v>
      </c>
      <c r="J87" s="87">
        <f>VLOOKUP($A87,'Data shares'!$C:$FA,93)</f>
        <v>4.2500000000000003E-2</v>
      </c>
      <c r="K87" s="86">
        <f>VLOOKUP($A87,'Data shares'!$C:$FA,94)</f>
        <v>3423000</v>
      </c>
      <c r="L87" s="86">
        <f>VLOOKUP($A87,'Data shares'!$C:$FA,96)</f>
        <v>66300</v>
      </c>
      <c r="M87" s="87">
        <f>VLOOKUP($A87,'Data shares'!$C:$FA,97)</f>
        <v>1.9800000000000002E-2</v>
      </c>
      <c r="N87" s="86">
        <f>VLOOKUP($A87,'Data shares'!$C:$FA,78)</f>
        <v>9201900</v>
      </c>
      <c r="O87" s="87">
        <f>VLOOKUP($A87,'Data shares'!$C:$FA,81)</f>
        <v>2.6599999999999999E-2</v>
      </c>
    </row>
    <row r="88" spans="1:15" x14ac:dyDescent="0.25">
      <c r="A88" s="100" t="str">
        <f>'OI(Value)'!A88</f>
        <v>HINDZINC</v>
      </c>
      <c r="B88" s="82">
        <f>VLOOKUP(A88,'Data shares'!$C$2:$CV$215,98,0)</f>
        <v>122618825</v>
      </c>
      <c r="C88" s="82">
        <f>VLOOKUP(A88,'Data shares'!$C$2:$CX$215,100,0)</f>
        <v>10031525</v>
      </c>
      <c r="D88" s="141">
        <f>VLOOKUP(A88,'Data shares'!$C$2:$CY$538,101,0)</f>
        <v>8.9099999999999999E-2</v>
      </c>
      <c r="E88" s="86">
        <f>VLOOKUP($A88,'Data shares'!$C:$FA,74)</f>
        <v>36180375</v>
      </c>
      <c r="F88" s="86">
        <f>VLOOKUP($A88,'Data shares'!$C:$FA,76)</f>
        <v>281750</v>
      </c>
      <c r="G88" s="87">
        <f>VLOOKUP(A88,'Data shares'!$C$2:$CA$215,77,0)</f>
        <v>7.7999999999999996E-3</v>
      </c>
      <c r="H88" s="86">
        <f>VLOOKUP($A88,'Data shares'!$C:$FA,90)</f>
        <v>51931425</v>
      </c>
      <c r="I88" s="86">
        <f>VLOOKUP($A88,'Data shares'!$C:$FA,92)</f>
        <v>7463925</v>
      </c>
      <c r="J88" s="87">
        <f>VLOOKUP($A88,'Data shares'!$C:$FA,93)</f>
        <v>0.16789999999999999</v>
      </c>
      <c r="K88" s="86">
        <f>VLOOKUP($A88,'Data shares'!$C:$FA,94)</f>
        <v>34507025</v>
      </c>
      <c r="L88" s="86">
        <f>VLOOKUP($A88,'Data shares'!$C:$FA,96)</f>
        <v>2285850</v>
      </c>
      <c r="M88" s="87">
        <f>VLOOKUP($A88,'Data shares'!$C:$FA,97)</f>
        <v>7.0900000000000005E-2</v>
      </c>
      <c r="N88" s="86">
        <f>VLOOKUP($A88,'Data shares'!$C:$FA,78)</f>
        <v>31846325</v>
      </c>
      <c r="O88" s="87">
        <f>VLOOKUP($A88,'Data shares'!$C:$FA,81)</f>
        <v>-1.35E-2</v>
      </c>
    </row>
    <row r="89" spans="1:15" x14ac:dyDescent="0.25">
      <c r="A89" s="100" t="str">
        <f>'OI(Value)'!A89</f>
        <v>HUDCO</v>
      </c>
      <c r="B89" s="82">
        <f>VLOOKUP(A89,'Data shares'!$C$2:$CV$215,98,0)</f>
        <v>94841175</v>
      </c>
      <c r="C89" s="82">
        <f>VLOOKUP(A89,'Data shares'!$C$2:$CX$215,100,0)</f>
        <v>560550</v>
      </c>
      <c r="D89" s="141">
        <f>VLOOKUP(A89,'Data shares'!$C$2:$CY$538,101,0)</f>
        <v>5.8999999999999999E-3</v>
      </c>
      <c r="E89" s="86">
        <f>VLOOKUP($A89,'Data shares'!$C:$FA,74)</f>
        <v>34948350</v>
      </c>
      <c r="F89" s="86">
        <f>VLOOKUP($A89,'Data shares'!$C:$FA,76)</f>
        <v>-166500</v>
      </c>
      <c r="G89" s="87">
        <f>VLOOKUP(A89,'Data shares'!$C$2:$CA$215,77,0)</f>
        <v>-4.7000000000000002E-3</v>
      </c>
      <c r="H89" s="86">
        <f>VLOOKUP($A89,'Data shares'!$C:$FA,90)</f>
        <v>41647200</v>
      </c>
      <c r="I89" s="86">
        <f>VLOOKUP($A89,'Data shares'!$C:$FA,92)</f>
        <v>860250</v>
      </c>
      <c r="J89" s="87">
        <f>VLOOKUP($A89,'Data shares'!$C:$FA,93)</f>
        <v>2.1100000000000001E-2</v>
      </c>
      <c r="K89" s="86">
        <f>VLOOKUP($A89,'Data shares'!$C:$FA,94)</f>
        <v>18245625</v>
      </c>
      <c r="L89" s="86">
        <f>VLOOKUP($A89,'Data shares'!$C:$FA,96)</f>
        <v>-133200</v>
      </c>
      <c r="M89" s="87">
        <f>VLOOKUP($A89,'Data shares'!$C:$FA,97)</f>
        <v>-7.1999999999999998E-3</v>
      </c>
      <c r="N89" s="86">
        <f>VLOOKUP($A89,'Data shares'!$C:$FA,78)</f>
        <v>31762650</v>
      </c>
      <c r="O89" s="87">
        <f>VLOOKUP($A89,'Data shares'!$C:$FA,81)</f>
        <v>-1.24E-2</v>
      </c>
    </row>
    <row r="90" spans="1:15" x14ac:dyDescent="0.25">
      <c r="A90" s="100" t="str">
        <f>'OI(Value)'!A90</f>
        <v>ICICIBANK</v>
      </c>
      <c r="B90" s="82">
        <f>VLOOKUP(A90,'Data shares'!$C$2:$CV$215,98,0)</f>
        <v>187032300</v>
      </c>
      <c r="C90" s="82">
        <f>VLOOKUP(A90,'Data shares'!$C$2:$CX$215,100,0)</f>
        <v>8183700</v>
      </c>
      <c r="D90" s="141">
        <f>VLOOKUP(A90,'Data shares'!$C$2:$CY$538,101,0)</f>
        <v>4.58E-2</v>
      </c>
      <c r="E90" s="86">
        <f>VLOOKUP($A90,'Data shares'!$C:$FA,74)</f>
        <v>120298500</v>
      </c>
      <c r="F90" s="86">
        <f>VLOOKUP($A90,'Data shares'!$C:$FA,76)</f>
        <v>2055900</v>
      </c>
      <c r="G90" s="87">
        <f>VLOOKUP(A90,'Data shares'!$C$2:$CA$215,77,0)</f>
        <v>1.7399999999999999E-2</v>
      </c>
      <c r="H90" s="86">
        <f>VLOOKUP($A90,'Data shares'!$C:$FA,90)</f>
        <v>41790700</v>
      </c>
      <c r="I90" s="86">
        <f>VLOOKUP($A90,'Data shares'!$C:$FA,92)</f>
        <v>4960900</v>
      </c>
      <c r="J90" s="87">
        <f>VLOOKUP($A90,'Data shares'!$C:$FA,93)</f>
        <v>0.13469999999999999</v>
      </c>
      <c r="K90" s="86">
        <f>VLOOKUP($A90,'Data shares'!$C:$FA,94)</f>
        <v>24943100</v>
      </c>
      <c r="L90" s="86">
        <f>VLOOKUP($A90,'Data shares'!$C:$FA,96)</f>
        <v>1166900</v>
      </c>
      <c r="M90" s="87">
        <f>VLOOKUP($A90,'Data shares'!$C:$FA,97)</f>
        <v>4.9099999999999998E-2</v>
      </c>
      <c r="N90" s="86">
        <f>VLOOKUP($A90,'Data shares'!$C:$FA,78)</f>
        <v>100984800</v>
      </c>
      <c r="O90" s="87">
        <f>VLOOKUP($A90,'Data shares'!$C:$FA,81)</f>
        <v>-2.2100000000000002E-2</v>
      </c>
    </row>
    <row r="91" spans="1:15" x14ac:dyDescent="0.25">
      <c r="A91" s="100" t="str">
        <f>'OI(Value)'!A91</f>
        <v>ICICIGI</v>
      </c>
      <c r="B91" s="82">
        <f>VLOOKUP(A91,'Data shares'!$C$2:$CV$215,98,0)</f>
        <v>8750625</v>
      </c>
      <c r="C91" s="82">
        <f>VLOOKUP(A91,'Data shares'!$C$2:$CX$215,100,0)</f>
        <v>79300</v>
      </c>
      <c r="D91" s="141">
        <f>VLOOKUP(A91,'Data shares'!$C$2:$CY$538,101,0)</f>
        <v>9.1000000000000004E-3</v>
      </c>
      <c r="E91" s="86">
        <f>VLOOKUP($A91,'Data shares'!$C:$FA,74)</f>
        <v>5715775</v>
      </c>
      <c r="F91" s="86">
        <f>VLOOKUP($A91,'Data shares'!$C:$FA,76)</f>
        <v>-110825</v>
      </c>
      <c r="G91" s="87">
        <f>VLOOKUP(A91,'Data shares'!$C$2:$CA$215,77,0)</f>
        <v>-1.9E-2</v>
      </c>
      <c r="H91" s="86">
        <f>VLOOKUP($A91,'Data shares'!$C:$FA,90)</f>
        <v>1993550</v>
      </c>
      <c r="I91" s="86">
        <f>VLOOKUP($A91,'Data shares'!$C:$FA,92)</f>
        <v>177450</v>
      </c>
      <c r="J91" s="87">
        <f>VLOOKUP($A91,'Data shares'!$C:$FA,93)</f>
        <v>9.7699999999999995E-2</v>
      </c>
      <c r="K91" s="86">
        <f>VLOOKUP($A91,'Data shares'!$C:$FA,94)</f>
        <v>1041300</v>
      </c>
      <c r="L91" s="86">
        <f>VLOOKUP($A91,'Data shares'!$C:$FA,96)</f>
        <v>12675</v>
      </c>
      <c r="M91" s="87">
        <f>VLOOKUP($A91,'Data shares'!$C:$FA,97)</f>
        <v>1.23E-2</v>
      </c>
      <c r="N91" s="86">
        <f>VLOOKUP($A91,'Data shares'!$C:$FA,78)</f>
        <v>5585450</v>
      </c>
      <c r="O91" s="87">
        <f>VLOOKUP($A91,'Data shares'!$C:$FA,81)</f>
        <v>-2.5499999999999998E-2</v>
      </c>
    </row>
    <row r="92" spans="1:15" x14ac:dyDescent="0.25">
      <c r="A92" s="100" t="str">
        <f>'OI(Value)'!A92</f>
        <v>ICICIPRULI</v>
      </c>
      <c r="B92" s="82">
        <f>VLOOKUP(A92,'Data shares'!$C$2:$CV$215,98,0)</f>
        <v>23253575</v>
      </c>
      <c r="C92" s="82">
        <f>VLOOKUP(A92,'Data shares'!$C$2:$CX$215,100,0)</f>
        <v>-37000</v>
      </c>
      <c r="D92" s="141">
        <f>VLOOKUP(A92,'Data shares'!$C$2:$CY$538,101,0)</f>
        <v>-1.6000000000000001E-3</v>
      </c>
      <c r="E92" s="86">
        <f>VLOOKUP($A92,'Data shares'!$C:$FA,74)</f>
        <v>16427075</v>
      </c>
      <c r="F92" s="86">
        <f>VLOOKUP($A92,'Data shares'!$C:$FA,76)</f>
        <v>-23125</v>
      </c>
      <c r="G92" s="87">
        <f>VLOOKUP(A92,'Data shares'!$C$2:$CA$215,77,0)</f>
        <v>-1.4E-3</v>
      </c>
      <c r="H92" s="86">
        <f>VLOOKUP($A92,'Data shares'!$C:$FA,90)</f>
        <v>4688825</v>
      </c>
      <c r="I92" s="86">
        <f>VLOOKUP($A92,'Data shares'!$C:$FA,92)</f>
        <v>98050</v>
      </c>
      <c r="J92" s="87">
        <f>VLOOKUP($A92,'Data shares'!$C:$FA,93)</f>
        <v>2.1399999999999999E-2</v>
      </c>
      <c r="K92" s="86">
        <f>VLOOKUP($A92,'Data shares'!$C:$FA,94)</f>
        <v>2137675</v>
      </c>
      <c r="L92" s="86">
        <f>VLOOKUP($A92,'Data shares'!$C:$FA,96)</f>
        <v>-111925</v>
      </c>
      <c r="M92" s="87">
        <f>VLOOKUP($A92,'Data shares'!$C:$FA,97)</f>
        <v>-4.9799999999999997E-2</v>
      </c>
      <c r="N92" s="86">
        <f>VLOOKUP($A92,'Data shares'!$C:$FA,78)</f>
        <v>15971050</v>
      </c>
      <c r="O92" s="87">
        <f>VLOOKUP($A92,'Data shares'!$C:$FA,81)</f>
        <v>-4.4000000000000003E-3</v>
      </c>
    </row>
    <row r="93" spans="1:15" x14ac:dyDescent="0.25">
      <c r="A93" s="100" t="str">
        <f>'OI(Value)'!A93</f>
        <v>IDEA</v>
      </c>
      <c r="B93" s="82">
        <f>VLOOKUP(A93,'Data shares'!$C$2:$CV$215,98,0)</f>
        <v>10632906900</v>
      </c>
      <c r="C93" s="82">
        <f>VLOOKUP(A93,'Data shares'!$C$2:$CX$215,100,0)</f>
        <v>-73047450</v>
      </c>
      <c r="D93" s="141">
        <f>VLOOKUP(A93,'Data shares'!$C$2:$CY$538,101,0)</f>
        <v>-6.7999999999999996E-3</v>
      </c>
      <c r="E93" s="86">
        <f>VLOOKUP($A93,'Data shares'!$C:$FA,74)</f>
        <v>6943367400</v>
      </c>
      <c r="F93" s="86">
        <f>VLOOKUP($A93,'Data shares'!$C:$FA,76)</f>
        <v>17511375</v>
      </c>
      <c r="G93" s="87">
        <f>VLOOKUP(A93,'Data shares'!$C$2:$CA$215,77,0)</f>
        <v>2.5000000000000001E-3</v>
      </c>
      <c r="H93" s="86">
        <f>VLOOKUP($A93,'Data shares'!$C:$FA,90)</f>
        <v>2342807550</v>
      </c>
      <c r="I93" s="86">
        <f>VLOOKUP($A93,'Data shares'!$C:$FA,92)</f>
        <v>-83482800</v>
      </c>
      <c r="J93" s="87">
        <f>VLOOKUP($A93,'Data shares'!$C:$FA,93)</f>
        <v>-3.44E-2</v>
      </c>
      <c r="K93" s="86">
        <f>VLOOKUP($A93,'Data shares'!$C:$FA,94)</f>
        <v>1346731950</v>
      </c>
      <c r="L93" s="86">
        <f>VLOOKUP($A93,'Data shares'!$C:$FA,96)</f>
        <v>-7076025</v>
      </c>
      <c r="M93" s="87">
        <f>VLOOKUP($A93,'Data shares'!$C:$FA,97)</f>
        <v>-5.1999999999999998E-3</v>
      </c>
      <c r="N93" s="86">
        <f>VLOOKUP($A93,'Data shares'!$C:$FA,78)</f>
        <v>5986746000</v>
      </c>
      <c r="O93" s="87">
        <f>VLOOKUP($A93,'Data shares'!$C:$FA,81)</f>
        <v>-3.2000000000000002E-3</v>
      </c>
    </row>
    <row r="94" spans="1:15" x14ac:dyDescent="0.25">
      <c r="A94" s="100" t="str">
        <f>'OI(Value)'!A94</f>
        <v>IDFCFIRSTB</v>
      </c>
      <c r="B94" s="82">
        <f>VLOOKUP(A94,'Data shares'!$C$2:$CV$215,98,0)</f>
        <v>580744850</v>
      </c>
      <c r="C94" s="82">
        <f>VLOOKUP(A94,'Data shares'!$C$2:$CX$215,100,0)</f>
        <v>1929200</v>
      </c>
      <c r="D94" s="141">
        <f>VLOOKUP(A94,'Data shares'!$C$2:$CY$538,101,0)</f>
        <v>3.3E-3</v>
      </c>
      <c r="E94" s="86">
        <f>VLOOKUP($A94,'Data shares'!$C:$FA,74)</f>
        <v>352422175</v>
      </c>
      <c r="F94" s="86">
        <f>VLOOKUP($A94,'Data shares'!$C:$FA,76)</f>
        <v>185500</v>
      </c>
      <c r="G94" s="87">
        <f>VLOOKUP(A94,'Data shares'!$C$2:$CA$215,77,0)</f>
        <v>5.0000000000000001E-4</v>
      </c>
      <c r="H94" s="86">
        <f>VLOOKUP($A94,'Data shares'!$C:$FA,90)</f>
        <v>132613950</v>
      </c>
      <c r="I94" s="86">
        <f>VLOOKUP($A94,'Data shares'!$C:$FA,92)</f>
        <v>1057350</v>
      </c>
      <c r="J94" s="87">
        <f>VLOOKUP($A94,'Data shares'!$C:$FA,93)</f>
        <v>8.0000000000000002E-3</v>
      </c>
      <c r="K94" s="86">
        <f>VLOOKUP($A94,'Data shares'!$C:$FA,94)</f>
        <v>95708725</v>
      </c>
      <c r="L94" s="86">
        <f>VLOOKUP($A94,'Data shares'!$C:$FA,96)</f>
        <v>686350</v>
      </c>
      <c r="M94" s="87">
        <f>VLOOKUP($A94,'Data shares'!$C:$FA,97)</f>
        <v>7.1999999999999998E-3</v>
      </c>
      <c r="N94" s="86">
        <f>VLOOKUP($A94,'Data shares'!$C:$FA,78)</f>
        <v>302049650</v>
      </c>
      <c r="O94" s="87">
        <f>VLOOKUP($A94,'Data shares'!$C:$FA,81)</f>
        <v>-1.26E-2</v>
      </c>
    </row>
    <row r="95" spans="1:15" x14ac:dyDescent="0.25">
      <c r="A95" s="100" t="str">
        <f>'OI(Value)'!A95</f>
        <v>IEX</v>
      </c>
      <c r="B95" s="82">
        <f>VLOOKUP(A95,'Data shares'!$C$2:$CV$215,98,0)</f>
        <v>137433750</v>
      </c>
      <c r="C95" s="82">
        <f>VLOOKUP(A95,'Data shares'!$C$2:$CX$215,100,0)</f>
        <v>566250</v>
      </c>
      <c r="D95" s="141">
        <f>VLOOKUP(A95,'Data shares'!$C$2:$CY$538,101,0)</f>
        <v>4.1000000000000003E-3</v>
      </c>
      <c r="E95" s="86">
        <f>VLOOKUP($A95,'Data shares'!$C:$FA,74)</f>
        <v>56767500</v>
      </c>
      <c r="F95" s="86">
        <f>VLOOKUP($A95,'Data shares'!$C:$FA,76)</f>
        <v>603750</v>
      </c>
      <c r="G95" s="87">
        <f>VLOOKUP(A95,'Data shares'!$C$2:$CA$215,77,0)</f>
        <v>1.0699999999999999E-2</v>
      </c>
      <c r="H95" s="86">
        <f>VLOOKUP($A95,'Data shares'!$C:$FA,90)</f>
        <v>46747500</v>
      </c>
      <c r="I95" s="86">
        <f>VLOOKUP($A95,'Data shares'!$C:$FA,92)</f>
        <v>-165000</v>
      </c>
      <c r="J95" s="87">
        <f>VLOOKUP($A95,'Data shares'!$C:$FA,93)</f>
        <v>-3.5000000000000001E-3</v>
      </c>
      <c r="K95" s="86">
        <f>VLOOKUP($A95,'Data shares'!$C:$FA,94)</f>
        <v>33918750</v>
      </c>
      <c r="L95" s="86">
        <f>VLOOKUP($A95,'Data shares'!$C:$FA,96)</f>
        <v>127500</v>
      </c>
      <c r="M95" s="87">
        <f>VLOOKUP($A95,'Data shares'!$C:$FA,97)</f>
        <v>3.8E-3</v>
      </c>
      <c r="N95" s="86">
        <f>VLOOKUP($A95,'Data shares'!$C:$FA,78)</f>
        <v>50808750</v>
      </c>
      <c r="O95" s="87">
        <f>VLOOKUP($A95,'Data shares'!$C:$FA,81)</f>
        <v>6.4000000000000003E-3</v>
      </c>
    </row>
    <row r="96" spans="1:15" x14ac:dyDescent="0.25">
      <c r="A96" s="100" t="str">
        <f>'OI(Value)'!A96</f>
        <v>IIFL</v>
      </c>
      <c r="B96" s="82">
        <f>VLOOKUP(A96,'Data shares'!$C$2:$CV$215,98,0)</f>
        <v>24276450</v>
      </c>
      <c r="C96" s="82">
        <f>VLOOKUP(A96,'Data shares'!$C$2:$CX$215,100,0)</f>
        <v>471900</v>
      </c>
      <c r="D96" s="141">
        <f>VLOOKUP(A96,'Data shares'!$C$2:$CY$538,101,0)</f>
        <v>1.9800000000000002E-2</v>
      </c>
      <c r="E96" s="86">
        <f>VLOOKUP($A96,'Data shares'!$C:$FA,74)</f>
        <v>12094500</v>
      </c>
      <c r="F96" s="86">
        <f>VLOOKUP($A96,'Data shares'!$C:$FA,76)</f>
        <v>18150</v>
      </c>
      <c r="G96" s="87">
        <f>VLOOKUP(A96,'Data shares'!$C$2:$CA$215,77,0)</f>
        <v>1.5E-3</v>
      </c>
      <c r="H96" s="86">
        <f>VLOOKUP($A96,'Data shares'!$C:$FA,90)</f>
        <v>7599900</v>
      </c>
      <c r="I96" s="86">
        <f>VLOOKUP($A96,'Data shares'!$C:$FA,92)</f>
        <v>283800</v>
      </c>
      <c r="J96" s="87">
        <f>VLOOKUP($A96,'Data shares'!$C:$FA,93)</f>
        <v>3.8800000000000001E-2</v>
      </c>
      <c r="K96" s="86">
        <f>VLOOKUP($A96,'Data shares'!$C:$FA,94)</f>
        <v>4582050</v>
      </c>
      <c r="L96" s="86">
        <f>VLOOKUP($A96,'Data shares'!$C:$FA,96)</f>
        <v>169950</v>
      </c>
      <c r="M96" s="87">
        <f>VLOOKUP($A96,'Data shares'!$C:$FA,97)</f>
        <v>3.85E-2</v>
      </c>
      <c r="N96" s="86">
        <f>VLOOKUP($A96,'Data shares'!$C:$FA,78)</f>
        <v>11682000</v>
      </c>
      <c r="O96" s="87">
        <f>VLOOKUP($A96,'Data shares'!$C:$FA,81)</f>
        <v>1E-4</v>
      </c>
    </row>
    <row r="97" spans="1:15" x14ac:dyDescent="0.25">
      <c r="A97" s="100" t="str">
        <f>'OI(Value)'!A97</f>
        <v>INDHOTEL</v>
      </c>
      <c r="B97" s="82">
        <f>VLOOKUP(A97,'Data shares'!$C$2:$CV$215,98,0)</f>
        <v>44786000</v>
      </c>
      <c r="C97" s="82">
        <f>VLOOKUP(A97,'Data shares'!$C$2:$CX$215,100,0)</f>
        <v>2445000</v>
      </c>
      <c r="D97" s="141">
        <f>VLOOKUP(A97,'Data shares'!$C$2:$CY$538,101,0)</f>
        <v>5.7700000000000001E-2</v>
      </c>
      <c r="E97" s="86">
        <f>VLOOKUP($A97,'Data shares'!$C:$FA,74)</f>
        <v>27223000</v>
      </c>
      <c r="F97" s="86">
        <f>VLOOKUP($A97,'Data shares'!$C:$FA,76)</f>
        <v>719000</v>
      </c>
      <c r="G97" s="87">
        <f>VLOOKUP(A97,'Data shares'!$C$2:$CA$215,77,0)</f>
        <v>2.7099999999999999E-2</v>
      </c>
      <c r="H97" s="86">
        <f>VLOOKUP($A97,'Data shares'!$C:$FA,90)</f>
        <v>10998000</v>
      </c>
      <c r="I97" s="86">
        <f>VLOOKUP($A97,'Data shares'!$C:$FA,92)</f>
        <v>1397000</v>
      </c>
      <c r="J97" s="87">
        <f>VLOOKUP($A97,'Data shares'!$C:$FA,93)</f>
        <v>0.14549999999999999</v>
      </c>
      <c r="K97" s="86">
        <f>VLOOKUP($A97,'Data shares'!$C:$FA,94)</f>
        <v>6565000</v>
      </c>
      <c r="L97" s="86">
        <f>VLOOKUP($A97,'Data shares'!$C:$FA,96)</f>
        <v>329000</v>
      </c>
      <c r="M97" s="87">
        <f>VLOOKUP($A97,'Data shares'!$C:$FA,97)</f>
        <v>5.28E-2</v>
      </c>
      <c r="N97" s="86">
        <f>VLOOKUP($A97,'Data shares'!$C:$FA,78)</f>
        <v>25356000</v>
      </c>
      <c r="O97" s="87">
        <f>VLOOKUP($A97,'Data shares'!$C:$FA,81)</f>
        <v>1.6299999999999999E-2</v>
      </c>
    </row>
    <row r="98" spans="1:15" x14ac:dyDescent="0.25">
      <c r="A98" s="100" t="str">
        <f>'OI(Value)'!A98</f>
        <v>INDIANB</v>
      </c>
      <c r="B98" s="82">
        <f>VLOOKUP(A98,'Data shares'!$C$2:$CV$215,98,0)</f>
        <v>29351000</v>
      </c>
      <c r="C98" s="82">
        <f>VLOOKUP(A98,'Data shares'!$C$2:$CX$215,100,0)</f>
        <v>70000</v>
      </c>
      <c r="D98" s="141">
        <f>VLOOKUP(A98,'Data shares'!$C$2:$CY$538,101,0)</f>
        <v>2.3999999999999998E-3</v>
      </c>
      <c r="E98" s="86">
        <f>VLOOKUP($A98,'Data shares'!$C:$FA,74)</f>
        <v>11728000</v>
      </c>
      <c r="F98" s="86">
        <f>VLOOKUP($A98,'Data shares'!$C:$FA,76)</f>
        <v>-191000</v>
      </c>
      <c r="G98" s="87">
        <f>VLOOKUP(A98,'Data shares'!$C$2:$CA$215,77,0)</f>
        <v>-1.6E-2</v>
      </c>
      <c r="H98" s="86">
        <f>VLOOKUP($A98,'Data shares'!$C:$FA,90)</f>
        <v>12542000</v>
      </c>
      <c r="I98" s="86">
        <f>VLOOKUP($A98,'Data shares'!$C:$FA,92)</f>
        <v>236000</v>
      </c>
      <c r="J98" s="87">
        <f>VLOOKUP($A98,'Data shares'!$C:$FA,93)</f>
        <v>1.9199999999999998E-2</v>
      </c>
      <c r="K98" s="86">
        <f>VLOOKUP($A98,'Data shares'!$C:$FA,94)</f>
        <v>5081000</v>
      </c>
      <c r="L98" s="86">
        <f>VLOOKUP($A98,'Data shares'!$C:$FA,96)</f>
        <v>25000</v>
      </c>
      <c r="M98" s="87">
        <f>VLOOKUP($A98,'Data shares'!$C:$FA,97)</f>
        <v>4.8999999999999998E-3</v>
      </c>
      <c r="N98" s="86">
        <f>VLOOKUP($A98,'Data shares'!$C:$FA,78)</f>
        <v>11082000</v>
      </c>
      <c r="O98" s="87">
        <f>VLOOKUP($A98,'Data shares'!$C:$FA,81)</f>
        <v>-1.89E-2</v>
      </c>
    </row>
    <row r="99" spans="1:15" x14ac:dyDescent="0.25">
      <c r="A99" s="100" t="str">
        <f>'OI(Value)'!A99</f>
        <v>INDIAVIX</v>
      </c>
      <c r="B99" s="82">
        <f>VLOOKUP(A99,'Data shares'!$C$2:$CV$215,98,0)</f>
        <v>0</v>
      </c>
      <c r="C99" s="82">
        <f>VLOOKUP(A99,'Data shares'!$C$2:$CX$215,100,0)</f>
        <v>0</v>
      </c>
      <c r="D99" s="141">
        <f>VLOOKUP(A99,'Data shares'!$C$2:$CY$538,101,0)</f>
        <v>0</v>
      </c>
      <c r="E99" s="86">
        <f>VLOOKUP($A99,'Data shares'!$C:$FA,74)</f>
        <v>0</v>
      </c>
      <c r="F99" s="86">
        <f>VLOOKUP($A99,'Data shares'!$C:$FA,76)</f>
        <v>0</v>
      </c>
      <c r="G99" s="87">
        <f>VLOOKUP(A99,'Data shares'!$C$2:$CA$215,77,0)</f>
        <v>0</v>
      </c>
      <c r="H99" s="86">
        <f>VLOOKUP($A99,'Data shares'!$C:$FA,90)</f>
        <v>0</v>
      </c>
      <c r="I99" s="86">
        <f>VLOOKUP($A99,'Data shares'!$C:$FA,92)</f>
        <v>0</v>
      </c>
      <c r="J99" s="87">
        <f>VLOOKUP($A99,'Data shares'!$C:$FA,93)</f>
        <v>0</v>
      </c>
      <c r="K99" s="86">
        <f>VLOOKUP($A99,'Data shares'!$C:$FA,94)</f>
        <v>0</v>
      </c>
      <c r="L99" s="86">
        <f>VLOOKUP($A99,'Data shares'!$C:$FA,96)</f>
        <v>0</v>
      </c>
      <c r="M99" s="87">
        <f>VLOOKUP($A99,'Data shares'!$C:$FA,97)</f>
        <v>0</v>
      </c>
      <c r="N99" s="86">
        <f>VLOOKUP($A99,'Data shares'!$C:$FA,78)</f>
        <v>0</v>
      </c>
      <c r="O99" s="87">
        <f>VLOOKUP($A99,'Data shares'!$C:$FA,81)</f>
        <v>0</v>
      </c>
    </row>
    <row r="100" spans="1:15" x14ac:dyDescent="0.25">
      <c r="A100" s="100" t="str">
        <f>'OI(Value)'!A100</f>
        <v>INDIGO</v>
      </c>
      <c r="B100" s="82">
        <f>VLOOKUP(A100,'Data shares'!$C$2:$CV$215,98,0)</f>
        <v>37648500</v>
      </c>
      <c r="C100" s="82">
        <f>VLOOKUP(A100,'Data shares'!$C$2:$CX$215,100,0)</f>
        <v>-956550</v>
      </c>
      <c r="D100" s="141">
        <f>VLOOKUP(A100,'Data shares'!$C$2:$CY$538,101,0)</f>
        <v>-2.4799999999999999E-2</v>
      </c>
      <c r="E100" s="86">
        <f>VLOOKUP($A100,'Data shares'!$C:$FA,74)</f>
        <v>12282600</v>
      </c>
      <c r="F100" s="86">
        <f>VLOOKUP($A100,'Data shares'!$C:$FA,76)</f>
        <v>-213750</v>
      </c>
      <c r="G100" s="87">
        <f>VLOOKUP(A100,'Data shares'!$C$2:$CA$215,77,0)</f>
        <v>-1.7100000000000001E-2</v>
      </c>
      <c r="H100" s="86">
        <f>VLOOKUP($A100,'Data shares'!$C:$FA,90)</f>
        <v>17122350</v>
      </c>
      <c r="I100" s="86">
        <f>VLOOKUP($A100,'Data shares'!$C:$FA,92)</f>
        <v>-456000</v>
      </c>
      <c r="J100" s="87">
        <f>VLOOKUP($A100,'Data shares'!$C:$FA,93)</f>
        <v>-2.5899999999999999E-2</v>
      </c>
      <c r="K100" s="86">
        <f>VLOOKUP($A100,'Data shares'!$C:$FA,94)</f>
        <v>8243550</v>
      </c>
      <c r="L100" s="86">
        <f>VLOOKUP($A100,'Data shares'!$C:$FA,96)</f>
        <v>-286800</v>
      </c>
      <c r="M100" s="87">
        <f>VLOOKUP($A100,'Data shares'!$C:$FA,97)</f>
        <v>-3.3599999999999998E-2</v>
      </c>
      <c r="N100" s="86">
        <f>VLOOKUP($A100,'Data shares'!$C:$FA,78)</f>
        <v>10935900</v>
      </c>
      <c r="O100" s="87">
        <f>VLOOKUP($A100,'Data shares'!$C:$FA,81)</f>
        <v>-2.1700000000000001E-2</v>
      </c>
    </row>
    <row r="101" spans="1:15" x14ac:dyDescent="0.25">
      <c r="A101" s="100" t="str">
        <f>'OI(Value)'!A101</f>
        <v>INDUSINDBK</v>
      </c>
      <c r="B101" s="82">
        <f>VLOOKUP(A101,'Data shares'!$C$2:$CV$215,98,0)</f>
        <v>71937600</v>
      </c>
      <c r="C101" s="82">
        <f>VLOOKUP(A101,'Data shares'!$C$2:$CX$215,100,0)</f>
        <v>612500</v>
      </c>
      <c r="D101" s="141">
        <f>VLOOKUP(A101,'Data shares'!$C$2:$CY$538,101,0)</f>
        <v>8.6E-3</v>
      </c>
      <c r="E101" s="86">
        <f>VLOOKUP($A101,'Data shares'!$C:$FA,74)</f>
        <v>47792500</v>
      </c>
      <c r="F101" s="86">
        <f>VLOOKUP($A101,'Data shares'!$C:$FA,76)</f>
        <v>-219100</v>
      </c>
      <c r="G101" s="87">
        <f>VLOOKUP(A101,'Data shares'!$C$2:$CA$215,77,0)</f>
        <v>-4.5999999999999999E-3</v>
      </c>
      <c r="H101" s="86">
        <f>VLOOKUP($A101,'Data shares'!$C:$FA,90)</f>
        <v>14210000</v>
      </c>
      <c r="I101" s="86">
        <f>VLOOKUP($A101,'Data shares'!$C:$FA,92)</f>
        <v>455700</v>
      </c>
      <c r="J101" s="87">
        <f>VLOOKUP($A101,'Data shares'!$C:$FA,93)</f>
        <v>3.3099999999999997E-2</v>
      </c>
      <c r="K101" s="86">
        <f>VLOOKUP($A101,'Data shares'!$C:$FA,94)</f>
        <v>9935100</v>
      </c>
      <c r="L101" s="86">
        <f>VLOOKUP($A101,'Data shares'!$C:$FA,96)</f>
        <v>375900</v>
      </c>
      <c r="M101" s="87">
        <f>VLOOKUP($A101,'Data shares'!$C:$FA,97)</f>
        <v>3.9300000000000002E-2</v>
      </c>
      <c r="N101" s="86">
        <f>VLOOKUP($A101,'Data shares'!$C:$FA,78)</f>
        <v>43131900</v>
      </c>
      <c r="O101" s="87">
        <f>VLOOKUP($A101,'Data shares'!$C:$FA,81)</f>
        <v>-2.3199999999999998E-2</v>
      </c>
    </row>
    <row r="102" spans="1:15" x14ac:dyDescent="0.25">
      <c r="A102" s="100" t="str">
        <f>'OI(Value)'!A102</f>
        <v>INDUSTOWER</v>
      </c>
      <c r="B102" s="82">
        <f>VLOOKUP(A102,'Data shares'!$C$2:$CV$215,98,0)</f>
        <v>126299800</v>
      </c>
      <c r="C102" s="82">
        <f>VLOOKUP(A102,'Data shares'!$C$2:$CX$215,100,0)</f>
        <v>-1014900</v>
      </c>
      <c r="D102" s="141">
        <f>VLOOKUP(A102,'Data shares'!$C$2:$CY$538,101,0)</f>
        <v>-8.0000000000000002E-3</v>
      </c>
      <c r="E102" s="86">
        <f>VLOOKUP($A102,'Data shares'!$C:$FA,74)</f>
        <v>83617900</v>
      </c>
      <c r="F102" s="86">
        <f>VLOOKUP($A102,'Data shares'!$C:$FA,76)</f>
        <v>-924800</v>
      </c>
      <c r="G102" s="87">
        <f>VLOOKUP(A102,'Data shares'!$C$2:$CA$215,77,0)</f>
        <v>-1.09E-2</v>
      </c>
      <c r="H102" s="86">
        <f>VLOOKUP($A102,'Data shares'!$C:$FA,90)</f>
        <v>26888900</v>
      </c>
      <c r="I102" s="86">
        <f>VLOOKUP($A102,'Data shares'!$C:$FA,92)</f>
        <v>-243100</v>
      </c>
      <c r="J102" s="87">
        <f>VLOOKUP($A102,'Data shares'!$C:$FA,93)</f>
        <v>-8.9999999999999993E-3</v>
      </c>
      <c r="K102" s="86">
        <f>VLOOKUP($A102,'Data shares'!$C:$FA,94)</f>
        <v>15793000</v>
      </c>
      <c r="L102" s="86">
        <f>VLOOKUP($A102,'Data shares'!$C:$FA,96)</f>
        <v>153000</v>
      </c>
      <c r="M102" s="87">
        <f>VLOOKUP($A102,'Data shares'!$C:$FA,97)</f>
        <v>9.7999999999999997E-3</v>
      </c>
      <c r="N102" s="86">
        <f>VLOOKUP($A102,'Data shares'!$C:$FA,78)</f>
        <v>80750000</v>
      </c>
      <c r="O102" s="87">
        <f>VLOOKUP($A102,'Data shares'!$C:$FA,81)</f>
        <v>-1.41E-2</v>
      </c>
    </row>
    <row r="103" spans="1:15" x14ac:dyDescent="0.25">
      <c r="A103" s="100" t="str">
        <f>'OI(Value)'!A103</f>
        <v>INFY</v>
      </c>
      <c r="B103" s="82">
        <f>VLOOKUP(A103,'Data shares'!$C$2:$CV$215,98,0)</f>
        <v>116527200</v>
      </c>
      <c r="C103" s="82">
        <f>VLOOKUP(A103,'Data shares'!$C$2:$CX$215,100,0)</f>
        <v>2659600</v>
      </c>
      <c r="D103" s="141">
        <f>VLOOKUP(A103,'Data shares'!$C$2:$CY$538,101,0)</f>
        <v>2.3400000000000001E-2</v>
      </c>
      <c r="E103" s="86">
        <f>VLOOKUP($A103,'Data shares'!$C:$FA,74)</f>
        <v>70711600</v>
      </c>
      <c r="F103" s="86">
        <f>VLOOKUP($A103,'Data shares'!$C:$FA,76)</f>
        <v>1053200</v>
      </c>
      <c r="G103" s="87">
        <f>VLOOKUP(A103,'Data shares'!$C$2:$CA$215,77,0)</f>
        <v>1.5100000000000001E-2</v>
      </c>
      <c r="H103" s="86">
        <f>VLOOKUP($A103,'Data shares'!$C:$FA,90)</f>
        <v>27824000</v>
      </c>
      <c r="I103" s="86">
        <f>VLOOKUP($A103,'Data shares'!$C:$FA,92)</f>
        <v>885600</v>
      </c>
      <c r="J103" s="87">
        <f>VLOOKUP($A103,'Data shares'!$C:$FA,93)</f>
        <v>3.2899999999999999E-2</v>
      </c>
      <c r="K103" s="86">
        <f>VLOOKUP($A103,'Data shares'!$C:$FA,94)</f>
        <v>17991600</v>
      </c>
      <c r="L103" s="86">
        <f>VLOOKUP($A103,'Data shares'!$C:$FA,96)</f>
        <v>720800</v>
      </c>
      <c r="M103" s="87">
        <f>VLOOKUP($A103,'Data shares'!$C:$FA,97)</f>
        <v>4.1700000000000001E-2</v>
      </c>
      <c r="N103" s="86">
        <f>VLOOKUP($A103,'Data shares'!$C:$FA,78)</f>
        <v>59705600</v>
      </c>
      <c r="O103" s="87">
        <f>VLOOKUP($A103,'Data shares'!$C:$FA,81)</f>
        <v>-2.2100000000000002E-2</v>
      </c>
    </row>
    <row r="104" spans="1:15" x14ac:dyDescent="0.25">
      <c r="A104" s="100" t="str">
        <f>'OI(Value)'!A104</f>
        <v>INOXWIND</v>
      </c>
      <c r="B104" s="82">
        <f>VLOOKUP(A104,'Data shares'!$C$2:$CV$215,98,0)</f>
        <v>157497562</v>
      </c>
      <c r="C104" s="82">
        <f>VLOOKUP(A104,'Data shares'!$C$2:$CX$215,100,0)</f>
        <v>-1357876</v>
      </c>
      <c r="D104" s="141">
        <f>VLOOKUP(A104,'Data shares'!$C$2:$CY$538,101,0)</f>
        <v>-8.5000000000000006E-3</v>
      </c>
      <c r="E104" s="86">
        <f>VLOOKUP($A104,'Data shares'!$C:$FA,74)</f>
        <v>88268690</v>
      </c>
      <c r="F104" s="86">
        <f>VLOOKUP($A104,'Data shares'!$C:$FA,76)</f>
        <v>-533879</v>
      </c>
      <c r="G104" s="87">
        <f>VLOOKUP(A104,'Data shares'!$C$2:$CA$215,77,0)</f>
        <v>-6.0000000000000001E-3</v>
      </c>
      <c r="H104" s="86">
        <f>VLOOKUP($A104,'Data shares'!$C:$FA,90)</f>
        <v>46514642</v>
      </c>
      <c r="I104" s="86">
        <f>VLOOKUP($A104,'Data shares'!$C:$FA,92)</f>
        <v>-128940</v>
      </c>
      <c r="J104" s="87">
        <f>VLOOKUP($A104,'Data shares'!$C:$FA,93)</f>
        <v>-2.8E-3</v>
      </c>
      <c r="K104" s="86">
        <f>VLOOKUP($A104,'Data shares'!$C:$FA,94)</f>
        <v>22714230</v>
      </c>
      <c r="L104" s="86">
        <f>VLOOKUP($A104,'Data shares'!$C:$FA,96)</f>
        <v>-695057</v>
      </c>
      <c r="M104" s="87">
        <f>VLOOKUP($A104,'Data shares'!$C:$FA,97)</f>
        <v>-2.9700000000000001E-2</v>
      </c>
      <c r="N104" s="86">
        <f>VLOOKUP($A104,'Data shares'!$C:$FA,78)</f>
        <v>81783640</v>
      </c>
      <c r="O104" s="87">
        <f>VLOOKUP($A104,'Data shares'!$C:$FA,81)</f>
        <v>-9.1999999999999998E-3</v>
      </c>
    </row>
    <row r="105" spans="1:15" x14ac:dyDescent="0.25">
      <c r="A105" s="100" t="str">
        <f>'OI(Value)'!A105</f>
        <v>IOC</v>
      </c>
      <c r="B105" s="82">
        <f>VLOOKUP(A105,'Data shares'!$C$2:$CV$215,98,0)</f>
        <v>201781125</v>
      </c>
      <c r="C105" s="82">
        <f>VLOOKUP(A105,'Data shares'!$C$2:$CX$215,100,0)</f>
        <v>2422875</v>
      </c>
      <c r="D105" s="141">
        <f>VLOOKUP(A105,'Data shares'!$C$2:$CY$538,101,0)</f>
        <v>1.2200000000000001E-2</v>
      </c>
      <c r="E105" s="86">
        <f>VLOOKUP($A105,'Data shares'!$C:$FA,74)</f>
        <v>96798000</v>
      </c>
      <c r="F105" s="86">
        <f>VLOOKUP($A105,'Data shares'!$C:$FA,76)</f>
        <v>1272375</v>
      </c>
      <c r="G105" s="87">
        <f>VLOOKUP(A105,'Data shares'!$C$2:$CA$215,77,0)</f>
        <v>1.3299999999999999E-2</v>
      </c>
      <c r="H105" s="86">
        <f>VLOOKUP($A105,'Data shares'!$C:$FA,90)</f>
        <v>63194625</v>
      </c>
      <c r="I105" s="86">
        <f>VLOOKUP($A105,'Data shares'!$C:$FA,92)</f>
        <v>-2457000</v>
      </c>
      <c r="J105" s="87">
        <f>VLOOKUP($A105,'Data shares'!$C:$FA,93)</f>
        <v>-3.7400000000000003E-2</v>
      </c>
      <c r="K105" s="86">
        <f>VLOOKUP($A105,'Data shares'!$C:$FA,94)</f>
        <v>41788500</v>
      </c>
      <c r="L105" s="86">
        <f>VLOOKUP($A105,'Data shares'!$C:$FA,96)</f>
        <v>3607500</v>
      </c>
      <c r="M105" s="87">
        <f>VLOOKUP($A105,'Data shares'!$C:$FA,97)</f>
        <v>9.4500000000000001E-2</v>
      </c>
      <c r="N105" s="86">
        <f>VLOOKUP($A105,'Data shares'!$C:$FA,78)</f>
        <v>90948000</v>
      </c>
      <c r="O105" s="87">
        <f>VLOOKUP($A105,'Data shares'!$C:$FA,81)</f>
        <v>9.9000000000000008E-3</v>
      </c>
    </row>
    <row r="106" spans="1:15" x14ac:dyDescent="0.25">
      <c r="A106" s="100" t="str">
        <f>'OI(Value)'!A106</f>
        <v>IRCTC</v>
      </c>
      <c r="B106" s="82">
        <f>VLOOKUP(A106,'Data shares'!$C$2:$CV$215,98,0)</f>
        <v>38381875</v>
      </c>
      <c r="C106" s="82">
        <f>VLOOKUP(A106,'Data shares'!$C$2:$CX$215,100,0)</f>
        <v>700875</v>
      </c>
      <c r="D106" s="141">
        <f>VLOOKUP(A106,'Data shares'!$C$2:$CY$538,101,0)</f>
        <v>1.8599999999999998E-2</v>
      </c>
      <c r="E106" s="86">
        <f>VLOOKUP($A106,'Data shares'!$C:$FA,74)</f>
        <v>20697250</v>
      </c>
      <c r="F106" s="86">
        <f>VLOOKUP($A106,'Data shares'!$C:$FA,76)</f>
        <v>278250</v>
      </c>
      <c r="G106" s="87">
        <f>VLOOKUP(A106,'Data shares'!$C$2:$CA$215,77,0)</f>
        <v>1.3599999999999999E-2</v>
      </c>
      <c r="H106" s="86">
        <f>VLOOKUP($A106,'Data shares'!$C:$FA,90)</f>
        <v>10379250</v>
      </c>
      <c r="I106" s="86">
        <f>VLOOKUP($A106,'Data shares'!$C:$FA,92)</f>
        <v>70875</v>
      </c>
      <c r="J106" s="87">
        <f>VLOOKUP($A106,'Data shares'!$C:$FA,93)</f>
        <v>6.8999999999999999E-3</v>
      </c>
      <c r="K106" s="86">
        <f>VLOOKUP($A106,'Data shares'!$C:$FA,94)</f>
        <v>7305375</v>
      </c>
      <c r="L106" s="86">
        <f>VLOOKUP($A106,'Data shares'!$C:$FA,96)</f>
        <v>351750</v>
      </c>
      <c r="M106" s="87">
        <f>VLOOKUP($A106,'Data shares'!$C:$FA,97)</f>
        <v>5.0599999999999999E-2</v>
      </c>
      <c r="N106" s="86">
        <f>VLOOKUP($A106,'Data shares'!$C:$FA,78)</f>
        <v>18263875</v>
      </c>
      <c r="O106" s="87">
        <f>VLOOKUP($A106,'Data shares'!$C:$FA,81)</f>
        <v>6.4000000000000003E-3</v>
      </c>
    </row>
    <row r="107" spans="1:15" x14ac:dyDescent="0.25">
      <c r="A107" s="100" t="str">
        <f>'OI(Value)'!A107</f>
        <v>IREDA</v>
      </c>
      <c r="B107" s="82">
        <f>VLOOKUP(A107,'Data shares'!$C$2:$CV$215,98,0)</f>
        <v>112787400</v>
      </c>
      <c r="C107" s="82">
        <f>VLOOKUP(A107,'Data shares'!$C$2:$CX$215,100,0)</f>
        <v>3681150</v>
      </c>
      <c r="D107" s="141">
        <f>VLOOKUP(A107,'Data shares'!$C$2:$CY$538,101,0)</f>
        <v>3.3700000000000001E-2</v>
      </c>
      <c r="E107" s="86">
        <f>VLOOKUP($A107,'Data shares'!$C:$FA,74)</f>
        <v>54989550</v>
      </c>
      <c r="F107" s="86">
        <f>VLOOKUP($A107,'Data shares'!$C:$FA,76)</f>
        <v>2197650</v>
      </c>
      <c r="G107" s="87">
        <f>VLOOKUP(A107,'Data shares'!$C$2:$CA$215,77,0)</f>
        <v>4.1599999999999998E-2</v>
      </c>
      <c r="H107" s="86">
        <f>VLOOKUP($A107,'Data shares'!$C:$FA,90)</f>
        <v>38522700</v>
      </c>
      <c r="I107" s="86">
        <f>VLOOKUP($A107,'Data shares'!$C:$FA,92)</f>
        <v>679650</v>
      </c>
      <c r="J107" s="87">
        <f>VLOOKUP($A107,'Data shares'!$C:$FA,93)</f>
        <v>1.7999999999999999E-2</v>
      </c>
      <c r="K107" s="86">
        <f>VLOOKUP($A107,'Data shares'!$C:$FA,94)</f>
        <v>19275150</v>
      </c>
      <c r="L107" s="86">
        <f>VLOOKUP($A107,'Data shares'!$C:$FA,96)</f>
        <v>803850</v>
      </c>
      <c r="M107" s="87">
        <f>VLOOKUP($A107,'Data shares'!$C:$FA,97)</f>
        <v>4.3499999999999997E-2</v>
      </c>
      <c r="N107" s="86">
        <f>VLOOKUP($A107,'Data shares'!$C:$FA,78)</f>
        <v>41607000</v>
      </c>
      <c r="O107" s="87">
        <f>VLOOKUP($A107,'Data shares'!$C:$FA,81)</f>
        <v>1.9300000000000001E-2</v>
      </c>
    </row>
    <row r="108" spans="1:15" x14ac:dyDescent="0.25">
      <c r="A108" s="100" t="str">
        <f>'OI(Value)'!A108</f>
        <v>IRFC</v>
      </c>
      <c r="B108" s="82">
        <f>VLOOKUP(A108,'Data shares'!$C$2:$CV$215,98,0)</f>
        <v>112935250</v>
      </c>
      <c r="C108" s="82">
        <f>VLOOKUP(A108,'Data shares'!$C$2:$CX$215,100,0)</f>
        <v>1938000</v>
      </c>
      <c r="D108" s="141">
        <f>VLOOKUP(A108,'Data shares'!$C$2:$CY$538,101,0)</f>
        <v>1.7500000000000002E-2</v>
      </c>
      <c r="E108" s="86">
        <f>VLOOKUP($A108,'Data shares'!$C:$FA,74)</f>
        <v>47974000</v>
      </c>
      <c r="F108" s="86">
        <f>VLOOKUP($A108,'Data shares'!$C:$FA,76)</f>
        <v>1173000</v>
      </c>
      <c r="G108" s="87">
        <f>VLOOKUP(A108,'Data shares'!$C$2:$CA$215,77,0)</f>
        <v>2.5100000000000001E-2</v>
      </c>
      <c r="H108" s="86">
        <f>VLOOKUP($A108,'Data shares'!$C:$FA,90)</f>
        <v>43996000</v>
      </c>
      <c r="I108" s="86">
        <f>VLOOKUP($A108,'Data shares'!$C:$FA,92)</f>
        <v>263500</v>
      </c>
      <c r="J108" s="87">
        <f>VLOOKUP($A108,'Data shares'!$C:$FA,93)</f>
        <v>6.0000000000000001E-3</v>
      </c>
      <c r="K108" s="86">
        <f>VLOOKUP($A108,'Data shares'!$C:$FA,94)</f>
        <v>20965250</v>
      </c>
      <c r="L108" s="86">
        <f>VLOOKUP($A108,'Data shares'!$C:$FA,96)</f>
        <v>501500</v>
      </c>
      <c r="M108" s="87">
        <f>VLOOKUP($A108,'Data shares'!$C:$FA,97)</f>
        <v>2.4500000000000001E-2</v>
      </c>
      <c r="N108" s="86">
        <f>VLOOKUP($A108,'Data shares'!$C:$FA,78)</f>
        <v>41463000</v>
      </c>
      <c r="O108" s="87">
        <f>VLOOKUP($A108,'Data shares'!$C:$FA,81)</f>
        <v>9.4000000000000004E-3</v>
      </c>
    </row>
    <row r="109" spans="1:15" x14ac:dyDescent="0.25">
      <c r="A109" s="100" t="str">
        <f>'OI(Value)'!A109</f>
        <v>ITC</v>
      </c>
      <c r="B109" s="82">
        <f>VLOOKUP(A109,'Data shares'!$C$2:$CV$215,98,0)</f>
        <v>276201600</v>
      </c>
      <c r="C109" s="82">
        <f>VLOOKUP(A109,'Data shares'!$C$2:$CX$215,100,0)</f>
        <v>4408000</v>
      </c>
      <c r="D109" s="141">
        <f>VLOOKUP(A109,'Data shares'!$C$2:$CY$538,101,0)</f>
        <v>1.6199999999999999E-2</v>
      </c>
      <c r="E109" s="86">
        <f>VLOOKUP($A109,'Data shares'!$C:$FA,74)</f>
        <v>173939200</v>
      </c>
      <c r="F109" s="86">
        <f>VLOOKUP($A109,'Data shares'!$C:$FA,76)</f>
        <v>1497600</v>
      </c>
      <c r="G109" s="87">
        <f>VLOOKUP(A109,'Data shares'!$C$2:$CA$215,77,0)</f>
        <v>8.6999999999999994E-3</v>
      </c>
      <c r="H109" s="86">
        <f>VLOOKUP($A109,'Data shares'!$C:$FA,90)</f>
        <v>63188800</v>
      </c>
      <c r="I109" s="86">
        <f>VLOOKUP($A109,'Data shares'!$C:$FA,92)</f>
        <v>2556800</v>
      </c>
      <c r="J109" s="87">
        <f>VLOOKUP($A109,'Data shares'!$C:$FA,93)</f>
        <v>4.2200000000000001E-2</v>
      </c>
      <c r="K109" s="86">
        <f>VLOOKUP($A109,'Data shares'!$C:$FA,94)</f>
        <v>39073600</v>
      </c>
      <c r="L109" s="86">
        <f>VLOOKUP($A109,'Data shares'!$C:$FA,96)</f>
        <v>353600</v>
      </c>
      <c r="M109" s="87">
        <f>VLOOKUP($A109,'Data shares'!$C:$FA,97)</f>
        <v>9.1000000000000004E-3</v>
      </c>
      <c r="N109" s="86">
        <f>VLOOKUP($A109,'Data shares'!$C:$FA,78)</f>
        <v>155156800</v>
      </c>
      <c r="O109" s="87">
        <f>VLOOKUP($A109,'Data shares'!$C:$FA,81)</f>
        <v>-1.14E-2</v>
      </c>
    </row>
    <row r="110" spans="1:15" x14ac:dyDescent="0.25">
      <c r="A110" s="100" t="str">
        <f>'OI(Value)'!A110</f>
        <v>JINDALSTEL</v>
      </c>
      <c r="B110" s="82">
        <f>VLOOKUP(A110,'Data shares'!$C$2:$CV$215,98,0)</f>
        <v>22001250</v>
      </c>
      <c r="C110" s="82">
        <f>VLOOKUP(A110,'Data shares'!$C$2:$CX$215,100,0)</f>
        <v>497500</v>
      </c>
      <c r="D110" s="141">
        <f>VLOOKUP(A110,'Data shares'!$C$2:$CY$538,101,0)</f>
        <v>2.3099999999999999E-2</v>
      </c>
      <c r="E110" s="86">
        <f>VLOOKUP($A110,'Data shares'!$C:$FA,74)</f>
        <v>12578750</v>
      </c>
      <c r="F110" s="86">
        <f>VLOOKUP($A110,'Data shares'!$C:$FA,76)</f>
        <v>295625</v>
      </c>
      <c r="G110" s="87">
        <f>VLOOKUP(A110,'Data shares'!$C$2:$CA$215,77,0)</f>
        <v>2.41E-2</v>
      </c>
      <c r="H110" s="86">
        <f>VLOOKUP($A110,'Data shares'!$C:$FA,90)</f>
        <v>5899375</v>
      </c>
      <c r="I110" s="86">
        <f>VLOOKUP($A110,'Data shares'!$C:$FA,92)</f>
        <v>193125</v>
      </c>
      <c r="J110" s="87">
        <f>VLOOKUP($A110,'Data shares'!$C:$FA,93)</f>
        <v>3.3799999999999997E-2</v>
      </c>
      <c r="K110" s="86">
        <f>VLOOKUP($A110,'Data shares'!$C:$FA,94)</f>
        <v>3523125</v>
      </c>
      <c r="L110" s="86">
        <f>VLOOKUP($A110,'Data shares'!$C:$FA,96)</f>
        <v>8750</v>
      </c>
      <c r="M110" s="87">
        <f>VLOOKUP($A110,'Data shares'!$C:$FA,97)</f>
        <v>2.5000000000000001E-3</v>
      </c>
      <c r="N110" s="86">
        <f>VLOOKUP($A110,'Data shares'!$C:$FA,78)</f>
        <v>12234375</v>
      </c>
      <c r="O110" s="87">
        <f>VLOOKUP($A110,'Data shares'!$C:$FA,81)</f>
        <v>1.8200000000000001E-2</v>
      </c>
    </row>
    <row r="111" spans="1:15" x14ac:dyDescent="0.25">
      <c r="A111" s="100" t="str">
        <f>'OI(Value)'!A111</f>
        <v>JIOFIN</v>
      </c>
      <c r="B111" s="82">
        <f>VLOOKUP(A111,'Data shares'!$C$2:$CV$215,98,0)</f>
        <v>274621000</v>
      </c>
      <c r="C111" s="82">
        <f>VLOOKUP(A111,'Data shares'!$C$2:$CX$215,100,0)</f>
        <v>3184250</v>
      </c>
      <c r="D111" s="141">
        <f>VLOOKUP(A111,'Data shares'!$C$2:$CY$538,101,0)</f>
        <v>1.17E-2</v>
      </c>
      <c r="E111" s="86">
        <f>VLOOKUP($A111,'Data shares'!$C:$FA,74)</f>
        <v>159313550</v>
      </c>
      <c r="F111" s="86">
        <f>VLOOKUP($A111,'Data shares'!$C:$FA,76)</f>
        <v>1083350</v>
      </c>
      <c r="G111" s="87">
        <f>VLOOKUP(A111,'Data shares'!$C$2:$CA$215,77,0)</f>
        <v>6.7999999999999996E-3</v>
      </c>
      <c r="H111" s="86">
        <f>VLOOKUP($A111,'Data shares'!$C:$FA,90)</f>
        <v>68631750</v>
      </c>
      <c r="I111" s="86">
        <f>VLOOKUP($A111,'Data shares'!$C:$FA,92)</f>
        <v>2093850</v>
      </c>
      <c r="J111" s="87">
        <f>VLOOKUP($A111,'Data shares'!$C:$FA,93)</f>
        <v>3.15E-2</v>
      </c>
      <c r="K111" s="86">
        <f>VLOOKUP($A111,'Data shares'!$C:$FA,94)</f>
        <v>46675700</v>
      </c>
      <c r="L111" s="86">
        <f>VLOOKUP($A111,'Data shares'!$C:$FA,96)</f>
        <v>7050</v>
      </c>
      <c r="M111" s="87">
        <f>VLOOKUP($A111,'Data shares'!$C:$FA,97)</f>
        <v>2.0000000000000001E-4</v>
      </c>
      <c r="N111" s="86">
        <f>VLOOKUP($A111,'Data shares'!$C:$FA,78)</f>
        <v>135597350</v>
      </c>
      <c r="O111" s="87">
        <f>VLOOKUP($A111,'Data shares'!$C:$FA,81)</f>
        <v>-8.0000000000000004E-4</v>
      </c>
    </row>
    <row r="112" spans="1:15" x14ac:dyDescent="0.25">
      <c r="A112" s="100" t="str">
        <f>'OI(Value)'!A112</f>
        <v>JSWENERGY</v>
      </c>
      <c r="B112" s="82">
        <f>VLOOKUP(A112,'Data shares'!$C$2:$CV$215,98,0)</f>
        <v>73213000</v>
      </c>
      <c r="C112" s="82">
        <f>VLOOKUP(A112,'Data shares'!$C$2:$CX$215,100,0)</f>
        <v>-747000</v>
      </c>
      <c r="D112" s="141">
        <f>VLOOKUP(A112,'Data shares'!$C$2:$CY$538,101,0)</f>
        <v>-1.01E-2</v>
      </c>
      <c r="E112" s="86">
        <f>VLOOKUP($A112,'Data shares'!$C:$FA,74)</f>
        <v>46778000</v>
      </c>
      <c r="F112" s="86">
        <f>VLOOKUP($A112,'Data shares'!$C:$FA,76)</f>
        <v>-704000</v>
      </c>
      <c r="G112" s="87">
        <f>VLOOKUP(A112,'Data shares'!$C$2:$CA$215,77,0)</f>
        <v>-1.4800000000000001E-2</v>
      </c>
      <c r="H112" s="86">
        <f>VLOOKUP($A112,'Data shares'!$C:$FA,90)</f>
        <v>15713000</v>
      </c>
      <c r="I112" s="86">
        <f>VLOOKUP($A112,'Data shares'!$C:$FA,92)</f>
        <v>-24000</v>
      </c>
      <c r="J112" s="87">
        <f>VLOOKUP($A112,'Data shares'!$C:$FA,93)</f>
        <v>-1.5E-3</v>
      </c>
      <c r="K112" s="86">
        <f>VLOOKUP($A112,'Data shares'!$C:$FA,94)</f>
        <v>10722000</v>
      </c>
      <c r="L112" s="86">
        <f>VLOOKUP($A112,'Data shares'!$C:$FA,96)</f>
        <v>-19000</v>
      </c>
      <c r="M112" s="87">
        <f>VLOOKUP($A112,'Data shares'!$C:$FA,97)</f>
        <v>-1.8E-3</v>
      </c>
      <c r="N112" s="86">
        <f>VLOOKUP($A112,'Data shares'!$C:$FA,78)</f>
        <v>44596000</v>
      </c>
      <c r="O112" s="87">
        <f>VLOOKUP($A112,'Data shares'!$C:$FA,81)</f>
        <v>-2.01E-2</v>
      </c>
    </row>
    <row r="113" spans="1:15" x14ac:dyDescent="0.25">
      <c r="A113" s="100" t="str">
        <f>'OI(Value)'!A113</f>
        <v>JSWSTEEL</v>
      </c>
      <c r="B113" s="82">
        <f>VLOOKUP(A113,'Data shares'!$C$2:$CV$215,98,0)</f>
        <v>80272350</v>
      </c>
      <c r="C113" s="82">
        <f>VLOOKUP(A113,'Data shares'!$C$2:$CX$215,100,0)</f>
        <v>476550</v>
      </c>
      <c r="D113" s="141">
        <f>VLOOKUP(A113,'Data shares'!$C$2:$CY$538,101,0)</f>
        <v>6.0000000000000001E-3</v>
      </c>
      <c r="E113" s="86">
        <f>VLOOKUP($A113,'Data shares'!$C:$FA,74)</f>
        <v>49486950</v>
      </c>
      <c r="F113" s="86">
        <f>VLOOKUP($A113,'Data shares'!$C:$FA,76)</f>
        <v>191025</v>
      </c>
      <c r="G113" s="87">
        <f>VLOOKUP(A113,'Data shares'!$C$2:$CA$215,77,0)</f>
        <v>3.8999999999999998E-3</v>
      </c>
      <c r="H113" s="86">
        <f>VLOOKUP($A113,'Data shares'!$C:$FA,90)</f>
        <v>20433600</v>
      </c>
      <c r="I113" s="86">
        <f>VLOOKUP($A113,'Data shares'!$C:$FA,92)</f>
        <v>494100</v>
      </c>
      <c r="J113" s="87">
        <f>VLOOKUP($A113,'Data shares'!$C:$FA,93)</f>
        <v>2.4799999999999999E-2</v>
      </c>
      <c r="K113" s="86">
        <f>VLOOKUP($A113,'Data shares'!$C:$FA,94)</f>
        <v>10351800</v>
      </c>
      <c r="L113" s="86">
        <f>VLOOKUP($A113,'Data shares'!$C:$FA,96)</f>
        <v>-208575</v>
      </c>
      <c r="M113" s="87">
        <f>VLOOKUP($A113,'Data shares'!$C:$FA,97)</f>
        <v>-1.9800000000000002E-2</v>
      </c>
      <c r="N113" s="86">
        <f>VLOOKUP($A113,'Data shares'!$C:$FA,78)</f>
        <v>46975950</v>
      </c>
      <c r="O113" s="87">
        <f>VLOOKUP($A113,'Data shares'!$C:$FA,81)</f>
        <v>-2.3999999999999998E-3</v>
      </c>
    </row>
    <row r="114" spans="1:15" x14ac:dyDescent="0.25">
      <c r="A114" s="100" t="str">
        <f>'OI(Value)'!A114</f>
        <v>JUBLFOOD</v>
      </c>
      <c r="B114" s="82">
        <f>VLOOKUP(A114,'Data shares'!$C$2:$CV$215,98,0)</f>
        <v>44898750</v>
      </c>
      <c r="C114" s="82">
        <f>VLOOKUP(A114,'Data shares'!$C$2:$CX$215,100,0)</f>
        <v>2377500</v>
      </c>
      <c r="D114" s="141">
        <f>VLOOKUP(A114,'Data shares'!$C$2:$CY$538,101,0)</f>
        <v>5.5899999999999998E-2</v>
      </c>
      <c r="E114" s="86">
        <f>VLOOKUP($A114,'Data shares'!$C:$FA,74)</f>
        <v>22225000</v>
      </c>
      <c r="F114" s="86">
        <f>VLOOKUP($A114,'Data shares'!$C:$FA,76)</f>
        <v>413750</v>
      </c>
      <c r="G114" s="87">
        <f>VLOOKUP(A114,'Data shares'!$C$2:$CA$215,77,0)</f>
        <v>1.9E-2</v>
      </c>
      <c r="H114" s="86">
        <f>VLOOKUP($A114,'Data shares'!$C:$FA,90)</f>
        <v>14525000</v>
      </c>
      <c r="I114" s="86">
        <f>VLOOKUP($A114,'Data shares'!$C:$FA,92)</f>
        <v>1630000</v>
      </c>
      <c r="J114" s="87">
        <f>VLOOKUP($A114,'Data shares'!$C:$FA,93)</f>
        <v>0.12640000000000001</v>
      </c>
      <c r="K114" s="86">
        <f>VLOOKUP($A114,'Data shares'!$C:$FA,94)</f>
        <v>8148750</v>
      </c>
      <c r="L114" s="86">
        <f>VLOOKUP($A114,'Data shares'!$C:$FA,96)</f>
        <v>333750</v>
      </c>
      <c r="M114" s="87">
        <f>VLOOKUP($A114,'Data shares'!$C:$FA,97)</f>
        <v>4.2700000000000002E-2</v>
      </c>
      <c r="N114" s="86">
        <f>VLOOKUP($A114,'Data shares'!$C:$FA,78)</f>
        <v>19737500</v>
      </c>
      <c r="O114" s="87">
        <f>VLOOKUP($A114,'Data shares'!$C:$FA,81)</f>
        <v>-6.0000000000000001E-3</v>
      </c>
    </row>
    <row r="115" spans="1:15" x14ac:dyDescent="0.25">
      <c r="A115" s="100" t="str">
        <f>'OI(Value)'!A115</f>
        <v>KALYANKJIL</v>
      </c>
      <c r="B115" s="82">
        <f>VLOOKUP(A115,'Data shares'!$C$2:$CV$215,98,0)</f>
        <v>51778725</v>
      </c>
      <c r="C115" s="82">
        <f>VLOOKUP(A115,'Data shares'!$C$2:$CX$215,100,0)</f>
        <v>1153850</v>
      </c>
      <c r="D115" s="141">
        <f>VLOOKUP(A115,'Data shares'!$C$2:$CY$538,101,0)</f>
        <v>2.2800000000000001E-2</v>
      </c>
      <c r="E115" s="86">
        <f>VLOOKUP($A115,'Data shares'!$C:$FA,74)</f>
        <v>33984525</v>
      </c>
      <c r="F115" s="86">
        <f>VLOOKUP($A115,'Data shares'!$C:$FA,76)</f>
        <v>739075</v>
      </c>
      <c r="G115" s="87">
        <f>VLOOKUP(A115,'Data shares'!$C$2:$CA$215,77,0)</f>
        <v>2.2200000000000001E-2</v>
      </c>
      <c r="H115" s="86">
        <f>VLOOKUP($A115,'Data shares'!$C:$FA,90)</f>
        <v>11475050</v>
      </c>
      <c r="I115" s="86">
        <f>VLOOKUP($A115,'Data shares'!$C:$FA,92)</f>
        <v>521700</v>
      </c>
      <c r="J115" s="87">
        <f>VLOOKUP($A115,'Data shares'!$C:$FA,93)</f>
        <v>4.7600000000000003E-2</v>
      </c>
      <c r="K115" s="86">
        <f>VLOOKUP($A115,'Data shares'!$C:$FA,94)</f>
        <v>6319150</v>
      </c>
      <c r="L115" s="86">
        <f>VLOOKUP($A115,'Data shares'!$C:$FA,96)</f>
        <v>-106925</v>
      </c>
      <c r="M115" s="87">
        <f>VLOOKUP($A115,'Data shares'!$C:$FA,97)</f>
        <v>-1.66E-2</v>
      </c>
      <c r="N115" s="86">
        <f>VLOOKUP($A115,'Data shares'!$C:$FA,78)</f>
        <v>32572175</v>
      </c>
      <c r="O115" s="87">
        <f>VLOOKUP($A115,'Data shares'!$C:$FA,81)</f>
        <v>1.55E-2</v>
      </c>
    </row>
    <row r="116" spans="1:15" x14ac:dyDescent="0.25">
      <c r="A116" s="100" t="str">
        <f>'OI(Value)'!A116</f>
        <v>KAYNES</v>
      </c>
      <c r="B116" s="82">
        <f>VLOOKUP(A116,'Data shares'!$C$2:$CV$215,98,0)</f>
        <v>15503000</v>
      </c>
      <c r="C116" s="82">
        <f>VLOOKUP(A116,'Data shares'!$C$2:$CX$215,100,0)</f>
        <v>262000</v>
      </c>
      <c r="D116" s="141">
        <f>VLOOKUP(A116,'Data shares'!$C$2:$CY$538,101,0)</f>
        <v>1.72E-2</v>
      </c>
      <c r="E116" s="86">
        <f>VLOOKUP($A116,'Data shares'!$C:$FA,74)</f>
        <v>3817500</v>
      </c>
      <c r="F116" s="86">
        <f>VLOOKUP($A116,'Data shares'!$C:$FA,76)</f>
        <v>81300</v>
      </c>
      <c r="G116" s="87">
        <f>VLOOKUP(A116,'Data shares'!$C$2:$CA$215,77,0)</f>
        <v>2.18E-2</v>
      </c>
      <c r="H116" s="86">
        <f>VLOOKUP($A116,'Data shares'!$C:$FA,90)</f>
        <v>8352600</v>
      </c>
      <c r="I116" s="86">
        <f>VLOOKUP($A116,'Data shares'!$C:$FA,92)</f>
        <v>136200</v>
      </c>
      <c r="J116" s="87">
        <f>VLOOKUP($A116,'Data shares'!$C:$FA,93)</f>
        <v>1.66E-2</v>
      </c>
      <c r="K116" s="86">
        <f>VLOOKUP($A116,'Data shares'!$C:$FA,94)</f>
        <v>3332900</v>
      </c>
      <c r="L116" s="86">
        <f>VLOOKUP($A116,'Data shares'!$C:$FA,96)</f>
        <v>44500</v>
      </c>
      <c r="M116" s="87">
        <f>VLOOKUP($A116,'Data shares'!$C:$FA,97)</f>
        <v>1.35E-2</v>
      </c>
      <c r="N116" s="86">
        <f>VLOOKUP($A116,'Data shares'!$C:$FA,78)</f>
        <v>3272600</v>
      </c>
      <c r="O116" s="87">
        <f>VLOOKUP($A116,'Data shares'!$C:$FA,81)</f>
        <v>1.4500000000000001E-2</v>
      </c>
    </row>
    <row r="117" spans="1:15" x14ac:dyDescent="0.25">
      <c r="A117" s="100" t="str">
        <f>'OI(Value)'!A117</f>
        <v>KEI</v>
      </c>
      <c r="B117" s="82">
        <f>VLOOKUP(A117,'Data shares'!$C$2:$CV$215,98,0)</f>
        <v>2301425</v>
      </c>
      <c r="C117" s="82">
        <f>VLOOKUP(A117,'Data shares'!$C$2:$CX$215,100,0)</f>
        <v>202650</v>
      </c>
      <c r="D117" s="141">
        <f>VLOOKUP(A117,'Data shares'!$C$2:$CY$538,101,0)</f>
        <v>9.6600000000000005E-2</v>
      </c>
      <c r="E117" s="86">
        <f>VLOOKUP($A117,'Data shares'!$C:$FA,74)</f>
        <v>1156750</v>
      </c>
      <c r="F117" s="86">
        <f>VLOOKUP($A117,'Data shares'!$C:$FA,76)</f>
        <v>69475</v>
      </c>
      <c r="G117" s="87">
        <f>VLOOKUP(A117,'Data shares'!$C$2:$CA$215,77,0)</f>
        <v>6.3899999999999998E-2</v>
      </c>
      <c r="H117" s="86">
        <f>VLOOKUP($A117,'Data shares'!$C:$FA,90)</f>
        <v>684425</v>
      </c>
      <c r="I117" s="86">
        <f>VLOOKUP($A117,'Data shares'!$C:$FA,92)</f>
        <v>58275</v>
      </c>
      <c r="J117" s="87">
        <f>VLOOKUP($A117,'Data shares'!$C:$FA,93)</f>
        <v>9.3100000000000002E-2</v>
      </c>
      <c r="K117" s="86">
        <f>VLOOKUP($A117,'Data shares'!$C:$FA,94)</f>
        <v>460250</v>
      </c>
      <c r="L117" s="86">
        <f>VLOOKUP($A117,'Data shares'!$C:$FA,96)</f>
        <v>74900</v>
      </c>
      <c r="M117" s="87">
        <f>VLOOKUP($A117,'Data shares'!$C:$FA,97)</f>
        <v>0.19439999999999999</v>
      </c>
      <c r="N117" s="86">
        <f>VLOOKUP($A117,'Data shares'!$C:$FA,78)</f>
        <v>1055075</v>
      </c>
      <c r="O117" s="87">
        <f>VLOOKUP($A117,'Data shares'!$C:$FA,81)</f>
        <v>4.8500000000000001E-2</v>
      </c>
    </row>
    <row r="118" spans="1:15" x14ac:dyDescent="0.25">
      <c r="A118" s="100" t="str">
        <f>'OI(Value)'!A118</f>
        <v>KFINTECH</v>
      </c>
      <c r="B118" s="82">
        <f>VLOOKUP(A118,'Data shares'!$C$2:$CV$215,98,0)</f>
        <v>8595300</v>
      </c>
      <c r="C118" s="82">
        <f>VLOOKUP(A118,'Data shares'!$C$2:$CX$215,100,0)</f>
        <v>15600</v>
      </c>
      <c r="D118" s="141">
        <f>VLOOKUP(A118,'Data shares'!$C$2:$CY$538,101,0)</f>
        <v>1.8E-3</v>
      </c>
      <c r="E118" s="86">
        <f>VLOOKUP($A118,'Data shares'!$C:$FA,74)</f>
        <v>3680450</v>
      </c>
      <c r="F118" s="86">
        <f>VLOOKUP($A118,'Data shares'!$C:$FA,76)</f>
        <v>101250</v>
      </c>
      <c r="G118" s="87">
        <f>VLOOKUP(A118,'Data shares'!$C$2:$CA$215,77,0)</f>
        <v>2.8299999999999999E-2</v>
      </c>
      <c r="H118" s="86">
        <f>VLOOKUP($A118,'Data shares'!$C:$FA,90)</f>
        <v>2996150</v>
      </c>
      <c r="I118" s="86">
        <f>VLOOKUP($A118,'Data shares'!$C:$FA,92)</f>
        <v>-62450</v>
      </c>
      <c r="J118" s="87">
        <f>VLOOKUP($A118,'Data shares'!$C:$FA,93)</f>
        <v>-2.0400000000000001E-2</v>
      </c>
      <c r="K118" s="86">
        <f>VLOOKUP($A118,'Data shares'!$C:$FA,94)</f>
        <v>1918700</v>
      </c>
      <c r="L118" s="86">
        <f>VLOOKUP($A118,'Data shares'!$C:$FA,96)</f>
        <v>-23200</v>
      </c>
      <c r="M118" s="87">
        <f>VLOOKUP($A118,'Data shares'!$C:$FA,97)</f>
        <v>-1.1900000000000001E-2</v>
      </c>
      <c r="N118" s="86">
        <f>VLOOKUP($A118,'Data shares'!$C:$FA,78)</f>
        <v>3321450</v>
      </c>
      <c r="O118" s="87">
        <f>VLOOKUP($A118,'Data shares'!$C:$FA,81)</f>
        <v>1.5800000000000002E-2</v>
      </c>
    </row>
    <row r="119" spans="1:15" x14ac:dyDescent="0.25">
      <c r="A119" s="100" t="str">
        <f>'OI(Value)'!A119</f>
        <v>KOTAKBANK</v>
      </c>
      <c r="B119" s="82">
        <f>VLOOKUP(A119,'Data shares'!$C$2:$CV$215,98,0)</f>
        <v>57025600</v>
      </c>
      <c r="C119" s="82">
        <f>VLOOKUP(A119,'Data shares'!$C$2:$CX$215,100,0)</f>
        <v>-79200</v>
      </c>
      <c r="D119" s="141">
        <f>VLOOKUP(A119,'Data shares'!$C$2:$CY$538,101,0)</f>
        <v>-1.4E-3</v>
      </c>
      <c r="E119" s="86">
        <f>VLOOKUP($A119,'Data shares'!$C:$FA,74)</f>
        <v>40432000</v>
      </c>
      <c r="F119" s="86">
        <f>VLOOKUP($A119,'Data shares'!$C:$FA,76)</f>
        <v>92000</v>
      </c>
      <c r="G119" s="87">
        <f>VLOOKUP(A119,'Data shares'!$C$2:$CA$215,77,0)</f>
        <v>2.3E-3</v>
      </c>
      <c r="H119" s="86">
        <f>VLOOKUP($A119,'Data shares'!$C:$FA,90)</f>
        <v>8988000</v>
      </c>
      <c r="I119" s="86">
        <f>VLOOKUP($A119,'Data shares'!$C:$FA,92)</f>
        <v>90000</v>
      </c>
      <c r="J119" s="87">
        <f>VLOOKUP($A119,'Data shares'!$C:$FA,93)</f>
        <v>1.01E-2</v>
      </c>
      <c r="K119" s="86">
        <f>VLOOKUP($A119,'Data shares'!$C:$FA,94)</f>
        <v>7605600</v>
      </c>
      <c r="L119" s="86">
        <f>VLOOKUP($A119,'Data shares'!$C:$FA,96)</f>
        <v>-261200</v>
      </c>
      <c r="M119" s="87">
        <f>VLOOKUP($A119,'Data shares'!$C:$FA,97)</f>
        <v>-3.32E-2</v>
      </c>
      <c r="N119" s="86">
        <f>VLOOKUP($A119,'Data shares'!$C:$FA,78)</f>
        <v>34760800</v>
      </c>
      <c r="O119" s="87">
        <f>VLOOKUP($A119,'Data shares'!$C:$FA,81)</f>
        <v>-3.78E-2</v>
      </c>
    </row>
    <row r="120" spans="1:15" x14ac:dyDescent="0.25">
      <c r="A120" s="100" t="str">
        <f>'OI(Value)'!A120</f>
        <v>KPITTECH</v>
      </c>
      <c r="B120" s="82">
        <f>VLOOKUP(A120,'Data shares'!$C$2:$CV$215,98,0)</f>
        <v>8094650</v>
      </c>
      <c r="C120" s="82">
        <f>VLOOKUP(A120,'Data shares'!$C$2:$CX$215,100,0)</f>
        <v>213925</v>
      </c>
      <c r="D120" s="141">
        <f>VLOOKUP(A120,'Data shares'!$C$2:$CY$538,101,0)</f>
        <v>2.7099999999999999E-2</v>
      </c>
      <c r="E120" s="86">
        <f>VLOOKUP($A120,'Data shares'!$C:$FA,74)</f>
        <v>3842450</v>
      </c>
      <c r="F120" s="86">
        <f>VLOOKUP($A120,'Data shares'!$C:$FA,76)</f>
        <v>75625</v>
      </c>
      <c r="G120" s="87">
        <f>VLOOKUP(A120,'Data shares'!$C$2:$CA$215,77,0)</f>
        <v>2.01E-2</v>
      </c>
      <c r="H120" s="86">
        <f>VLOOKUP($A120,'Data shares'!$C:$FA,90)</f>
        <v>2678000</v>
      </c>
      <c r="I120" s="86">
        <f>VLOOKUP($A120,'Data shares'!$C:$FA,92)</f>
        <v>68825</v>
      </c>
      <c r="J120" s="87">
        <f>VLOOKUP($A120,'Data shares'!$C:$FA,93)</f>
        <v>2.64E-2</v>
      </c>
      <c r="K120" s="86">
        <f>VLOOKUP($A120,'Data shares'!$C:$FA,94)</f>
        <v>1574200</v>
      </c>
      <c r="L120" s="86">
        <f>VLOOKUP($A120,'Data shares'!$C:$FA,96)</f>
        <v>69475</v>
      </c>
      <c r="M120" s="87">
        <f>VLOOKUP($A120,'Data shares'!$C:$FA,97)</f>
        <v>4.6199999999999998E-2</v>
      </c>
      <c r="N120" s="86">
        <f>VLOOKUP($A120,'Data shares'!$C:$FA,78)</f>
        <v>3501600</v>
      </c>
      <c r="O120" s="87">
        <f>VLOOKUP($A120,'Data shares'!$C:$FA,81)</f>
        <v>1.5900000000000001E-2</v>
      </c>
    </row>
    <row r="121" spans="1:15" x14ac:dyDescent="0.25">
      <c r="A121" s="100" t="str">
        <f>'OI(Value)'!A121</f>
        <v>LAURUSLABS</v>
      </c>
      <c r="B121" s="82">
        <f>VLOOKUP(A121,'Data shares'!$C$2:$CV$215,98,0)</f>
        <v>30004150</v>
      </c>
      <c r="C121" s="82">
        <f>VLOOKUP(A121,'Data shares'!$C$2:$CX$215,100,0)</f>
        <v>-235450</v>
      </c>
      <c r="D121" s="141">
        <f>VLOOKUP(A121,'Data shares'!$C$2:$CY$538,101,0)</f>
        <v>-7.7999999999999996E-3</v>
      </c>
      <c r="E121" s="86">
        <f>VLOOKUP($A121,'Data shares'!$C:$FA,74)</f>
        <v>16296200</v>
      </c>
      <c r="F121" s="86">
        <f>VLOOKUP($A121,'Data shares'!$C:$FA,76)</f>
        <v>-124100</v>
      </c>
      <c r="G121" s="87">
        <f>VLOOKUP(A121,'Data shares'!$C$2:$CA$215,77,0)</f>
        <v>-7.6E-3</v>
      </c>
      <c r="H121" s="86">
        <f>VLOOKUP($A121,'Data shares'!$C:$FA,90)</f>
        <v>8849350</v>
      </c>
      <c r="I121" s="86">
        <f>VLOOKUP($A121,'Data shares'!$C:$FA,92)</f>
        <v>-151300</v>
      </c>
      <c r="J121" s="87">
        <f>VLOOKUP($A121,'Data shares'!$C:$FA,93)</f>
        <v>-1.6799999999999999E-2</v>
      </c>
      <c r="K121" s="86">
        <f>VLOOKUP($A121,'Data shares'!$C:$FA,94)</f>
        <v>4858600</v>
      </c>
      <c r="L121" s="86">
        <f>VLOOKUP($A121,'Data shares'!$C:$FA,96)</f>
        <v>39950</v>
      </c>
      <c r="M121" s="87">
        <f>VLOOKUP($A121,'Data shares'!$C:$FA,97)</f>
        <v>8.3000000000000001E-3</v>
      </c>
      <c r="N121" s="86">
        <f>VLOOKUP($A121,'Data shares'!$C:$FA,78)</f>
        <v>14839300</v>
      </c>
      <c r="O121" s="87">
        <f>VLOOKUP($A121,'Data shares'!$C:$FA,81)</f>
        <v>-1.12E-2</v>
      </c>
    </row>
    <row r="122" spans="1:15" x14ac:dyDescent="0.25">
      <c r="A122" s="100" t="str">
        <f>'OI(Value)'!A122</f>
        <v>LICHSGFIN</v>
      </c>
      <c r="B122" s="82">
        <f>VLOOKUP(A122,'Data shares'!$C$2:$CV$215,98,0)</f>
        <v>54515000</v>
      </c>
      <c r="C122" s="82">
        <f>VLOOKUP(A122,'Data shares'!$C$2:$CX$215,100,0)</f>
        <v>176000</v>
      </c>
      <c r="D122" s="141">
        <f>VLOOKUP(A122,'Data shares'!$C$2:$CY$538,101,0)</f>
        <v>3.2000000000000002E-3</v>
      </c>
      <c r="E122" s="86">
        <f>VLOOKUP($A122,'Data shares'!$C:$FA,74)</f>
        <v>35773000</v>
      </c>
      <c r="F122" s="86">
        <f>VLOOKUP($A122,'Data shares'!$C:$FA,76)</f>
        <v>212000</v>
      </c>
      <c r="G122" s="87">
        <f>VLOOKUP(A122,'Data shares'!$C$2:$CA$215,77,0)</f>
        <v>6.0000000000000001E-3</v>
      </c>
      <c r="H122" s="86">
        <f>VLOOKUP($A122,'Data shares'!$C:$FA,90)</f>
        <v>10732000</v>
      </c>
      <c r="I122" s="86">
        <f>VLOOKUP($A122,'Data shares'!$C:$FA,92)</f>
        <v>-74000</v>
      </c>
      <c r="J122" s="87">
        <f>VLOOKUP($A122,'Data shares'!$C:$FA,93)</f>
        <v>-6.7999999999999996E-3</v>
      </c>
      <c r="K122" s="86">
        <f>VLOOKUP($A122,'Data shares'!$C:$FA,94)</f>
        <v>8010000</v>
      </c>
      <c r="L122" s="86">
        <f>VLOOKUP($A122,'Data shares'!$C:$FA,96)</f>
        <v>38000</v>
      </c>
      <c r="M122" s="87">
        <f>VLOOKUP($A122,'Data shares'!$C:$FA,97)</f>
        <v>4.7999999999999996E-3</v>
      </c>
      <c r="N122" s="86">
        <f>VLOOKUP($A122,'Data shares'!$C:$FA,78)</f>
        <v>32805000</v>
      </c>
      <c r="O122" s="87">
        <f>VLOOKUP($A122,'Data shares'!$C:$FA,81)</f>
        <v>1.9E-3</v>
      </c>
    </row>
    <row r="123" spans="1:15" x14ac:dyDescent="0.25">
      <c r="A123" s="100" t="str">
        <f>'OI(Value)'!A123</f>
        <v>LICI</v>
      </c>
      <c r="B123" s="82">
        <f>VLOOKUP(A123,'Data shares'!$C$2:$CV$215,98,0)</f>
        <v>25594100</v>
      </c>
      <c r="C123" s="82">
        <f>VLOOKUP(A123,'Data shares'!$C$2:$CX$215,100,0)</f>
        <v>98700</v>
      </c>
      <c r="D123" s="141">
        <f>VLOOKUP(A123,'Data shares'!$C$2:$CY$538,101,0)</f>
        <v>3.8999999999999998E-3</v>
      </c>
      <c r="E123" s="86">
        <f>VLOOKUP($A123,'Data shares'!$C:$FA,74)</f>
        <v>11551400</v>
      </c>
      <c r="F123" s="86">
        <f>VLOOKUP($A123,'Data shares'!$C:$FA,76)</f>
        <v>7700</v>
      </c>
      <c r="G123" s="87">
        <f>VLOOKUP(A123,'Data shares'!$C$2:$CA$215,77,0)</f>
        <v>6.9999999999999999E-4</v>
      </c>
      <c r="H123" s="86">
        <f>VLOOKUP($A123,'Data shares'!$C:$FA,90)</f>
        <v>9514400</v>
      </c>
      <c r="I123" s="86">
        <f>VLOOKUP($A123,'Data shares'!$C:$FA,92)</f>
        <v>245700</v>
      </c>
      <c r="J123" s="87">
        <f>VLOOKUP($A123,'Data shares'!$C:$FA,93)</f>
        <v>2.6499999999999999E-2</v>
      </c>
      <c r="K123" s="86">
        <f>VLOOKUP($A123,'Data shares'!$C:$FA,94)</f>
        <v>4528300</v>
      </c>
      <c r="L123" s="86">
        <f>VLOOKUP($A123,'Data shares'!$C:$FA,96)</f>
        <v>-154700</v>
      </c>
      <c r="M123" s="87">
        <f>VLOOKUP($A123,'Data shares'!$C:$FA,97)</f>
        <v>-3.3000000000000002E-2</v>
      </c>
      <c r="N123" s="86">
        <f>VLOOKUP($A123,'Data shares'!$C:$FA,78)</f>
        <v>9847600</v>
      </c>
      <c r="O123" s="87">
        <f>VLOOKUP($A123,'Data shares'!$C:$FA,81)</f>
        <v>-1.2999999999999999E-2</v>
      </c>
    </row>
    <row r="124" spans="1:15" x14ac:dyDescent="0.25">
      <c r="A124" s="100" t="str">
        <f>'OI(Value)'!A124</f>
        <v>LODHA</v>
      </c>
      <c r="B124" s="82">
        <f>VLOOKUP(A124,'Data shares'!$C$2:$CV$215,98,0)</f>
        <v>21223800</v>
      </c>
      <c r="C124" s="82">
        <f>VLOOKUP(A124,'Data shares'!$C$2:$CX$215,100,0)</f>
        <v>1304100</v>
      </c>
      <c r="D124" s="141">
        <f>VLOOKUP(A124,'Data shares'!$C$2:$CY$538,101,0)</f>
        <v>6.5500000000000003E-2</v>
      </c>
      <c r="E124" s="86">
        <f>VLOOKUP($A124,'Data shares'!$C:$FA,74)</f>
        <v>13173750</v>
      </c>
      <c r="F124" s="86">
        <f>VLOOKUP($A124,'Data shares'!$C:$FA,76)</f>
        <v>284850</v>
      </c>
      <c r="G124" s="87">
        <f>VLOOKUP(A124,'Data shares'!$C$2:$CA$215,77,0)</f>
        <v>2.2100000000000002E-2</v>
      </c>
      <c r="H124" s="86">
        <f>VLOOKUP($A124,'Data shares'!$C:$FA,90)</f>
        <v>5736150</v>
      </c>
      <c r="I124" s="86">
        <f>VLOOKUP($A124,'Data shares'!$C:$FA,92)</f>
        <v>858600</v>
      </c>
      <c r="J124" s="87">
        <f>VLOOKUP($A124,'Data shares'!$C:$FA,93)</f>
        <v>0.17599999999999999</v>
      </c>
      <c r="K124" s="86">
        <f>VLOOKUP($A124,'Data shares'!$C:$FA,94)</f>
        <v>2313900</v>
      </c>
      <c r="L124" s="86">
        <f>VLOOKUP($A124,'Data shares'!$C:$FA,96)</f>
        <v>160650</v>
      </c>
      <c r="M124" s="87">
        <f>VLOOKUP($A124,'Data shares'!$C:$FA,97)</f>
        <v>7.46E-2</v>
      </c>
      <c r="N124" s="86">
        <f>VLOOKUP($A124,'Data shares'!$C:$FA,78)</f>
        <v>12316050</v>
      </c>
      <c r="O124" s="87">
        <f>VLOOKUP($A124,'Data shares'!$C:$FA,81)</f>
        <v>-8.9999999999999993E-3</v>
      </c>
    </row>
    <row r="125" spans="1:15" x14ac:dyDescent="0.25">
      <c r="A125" s="100" t="str">
        <f>'OI(Value)'!A125</f>
        <v>LT</v>
      </c>
      <c r="B125" s="82">
        <f>VLOOKUP(A125,'Data shares'!$C$2:$CV$215,98,0)</f>
        <v>22598275</v>
      </c>
      <c r="C125" s="82">
        <f>VLOOKUP(A125,'Data shares'!$C$2:$CX$215,100,0)</f>
        <v>-214550</v>
      </c>
      <c r="D125" s="141">
        <f>VLOOKUP(A125,'Data shares'!$C$2:$CY$538,101,0)</f>
        <v>-9.4000000000000004E-3</v>
      </c>
      <c r="E125" s="86">
        <f>VLOOKUP($A125,'Data shares'!$C:$FA,74)</f>
        <v>13672225</v>
      </c>
      <c r="F125" s="86">
        <f>VLOOKUP($A125,'Data shares'!$C:$FA,76)</f>
        <v>-33950</v>
      </c>
      <c r="G125" s="87">
        <f>VLOOKUP(A125,'Data shares'!$C$2:$CA$215,77,0)</f>
        <v>-2.5000000000000001E-3</v>
      </c>
      <c r="H125" s="86">
        <f>VLOOKUP($A125,'Data shares'!$C:$FA,90)</f>
        <v>5687850</v>
      </c>
      <c r="I125" s="86">
        <f>VLOOKUP($A125,'Data shares'!$C:$FA,92)</f>
        <v>-95375</v>
      </c>
      <c r="J125" s="87">
        <f>VLOOKUP($A125,'Data shares'!$C:$FA,93)</f>
        <v>-1.6500000000000001E-2</v>
      </c>
      <c r="K125" s="86">
        <f>VLOOKUP($A125,'Data shares'!$C:$FA,94)</f>
        <v>3238200</v>
      </c>
      <c r="L125" s="86">
        <f>VLOOKUP($A125,'Data shares'!$C:$FA,96)</f>
        <v>-85225</v>
      </c>
      <c r="M125" s="87">
        <f>VLOOKUP($A125,'Data shares'!$C:$FA,97)</f>
        <v>-2.5600000000000001E-2</v>
      </c>
      <c r="N125" s="86">
        <f>VLOOKUP($A125,'Data shares'!$C:$FA,78)</f>
        <v>11724650</v>
      </c>
      <c r="O125" s="87">
        <f>VLOOKUP($A125,'Data shares'!$C:$FA,81)</f>
        <v>-1.66E-2</v>
      </c>
    </row>
    <row r="126" spans="1:15" x14ac:dyDescent="0.25">
      <c r="A126" s="100" t="str">
        <f>'OI(Value)'!A126</f>
        <v>LTF</v>
      </c>
      <c r="B126" s="82">
        <f>VLOOKUP(A126,'Data shares'!$C$2:$CV$215,98,0)</f>
        <v>102118206</v>
      </c>
      <c r="C126" s="82">
        <f>VLOOKUP(A126,'Data shares'!$C$2:$CX$215,100,0)</f>
        <v>1844006</v>
      </c>
      <c r="D126" s="141">
        <f>VLOOKUP(A126,'Data shares'!$C$2:$CY$538,101,0)</f>
        <v>1.84E-2</v>
      </c>
      <c r="E126" s="86">
        <f>VLOOKUP($A126,'Data shares'!$C:$FA,74)</f>
        <v>40596504</v>
      </c>
      <c r="F126" s="86">
        <f>VLOOKUP($A126,'Data shares'!$C:$FA,76)</f>
        <v>-225244</v>
      </c>
      <c r="G126" s="87">
        <f>VLOOKUP(A126,'Data shares'!$C$2:$CA$215,77,0)</f>
        <v>-5.4999999999999997E-3</v>
      </c>
      <c r="H126" s="86">
        <f>VLOOKUP($A126,'Data shares'!$C:$FA,90)</f>
        <v>37459088</v>
      </c>
      <c r="I126" s="86">
        <f>VLOOKUP($A126,'Data shares'!$C:$FA,92)</f>
        <v>1215298</v>
      </c>
      <c r="J126" s="87">
        <f>VLOOKUP($A126,'Data shares'!$C:$FA,93)</f>
        <v>3.3500000000000002E-2</v>
      </c>
      <c r="K126" s="86">
        <f>VLOOKUP($A126,'Data shares'!$C:$FA,94)</f>
        <v>24062614</v>
      </c>
      <c r="L126" s="86">
        <f>VLOOKUP($A126,'Data shares'!$C:$FA,96)</f>
        <v>853952</v>
      </c>
      <c r="M126" s="87">
        <f>VLOOKUP($A126,'Data shares'!$C:$FA,97)</f>
        <v>3.6799999999999999E-2</v>
      </c>
      <c r="N126" s="86">
        <f>VLOOKUP($A126,'Data shares'!$C:$FA,78)</f>
        <v>38337504</v>
      </c>
      <c r="O126" s="87">
        <f>VLOOKUP($A126,'Data shares'!$C:$FA,81)</f>
        <v>-1.29E-2</v>
      </c>
    </row>
    <row r="127" spans="1:15" x14ac:dyDescent="0.25">
      <c r="A127" s="100" t="str">
        <f>'OI(Value)'!A127</f>
        <v>LTIM</v>
      </c>
      <c r="B127" s="82">
        <f>VLOOKUP(A127,'Data shares'!$C$2:$CV$215,98,0)</f>
        <v>3959850</v>
      </c>
      <c r="C127" s="82">
        <f>VLOOKUP(A127,'Data shares'!$C$2:$CX$215,100,0)</f>
        <v>106050</v>
      </c>
      <c r="D127" s="141">
        <f>VLOOKUP(A127,'Data shares'!$C$2:$CY$538,101,0)</f>
        <v>2.75E-2</v>
      </c>
      <c r="E127" s="86">
        <f>VLOOKUP($A127,'Data shares'!$C:$FA,74)</f>
        <v>2307750</v>
      </c>
      <c r="F127" s="86">
        <f>VLOOKUP($A127,'Data shares'!$C:$FA,76)</f>
        <v>68850</v>
      </c>
      <c r="G127" s="87">
        <f>VLOOKUP(A127,'Data shares'!$C$2:$CA$215,77,0)</f>
        <v>3.0800000000000001E-2</v>
      </c>
      <c r="H127" s="86">
        <f>VLOOKUP($A127,'Data shares'!$C:$FA,90)</f>
        <v>923100</v>
      </c>
      <c r="I127" s="86">
        <f>VLOOKUP($A127,'Data shares'!$C:$FA,92)</f>
        <v>28800</v>
      </c>
      <c r="J127" s="87">
        <f>VLOOKUP($A127,'Data shares'!$C:$FA,93)</f>
        <v>3.2199999999999999E-2</v>
      </c>
      <c r="K127" s="86">
        <f>VLOOKUP($A127,'Data shares'!$C:$FA,94)</f>
        <v>729000</v>
      </c>
      <c r="L127" s="86">
        <f>VLOOKUP($A127,'Data shares'!$C:$FA,96)</f>
        <v>8400</v>
      </c>
      <c r="M127" s="87">
        <f>VLOOKUP($A127,'Data shares'!$C:$FA,97)</f>
        <v>1.17E-2</v>
      </c>
      <c r="N127" s="86">
        <f>VLOOKUP($A127,'Data shares'!$C:$FA,78)</f>
        <v>2115600</v>
      </c>
      <c r="O127" s="87">
        <f>VLOOKUP($A127,'Data shares'!$C:$FA,81)</f>
        <v>2.0500000000000001E-2</v>
      </c>
    </row>
    <row r="128" spans="1:15" x14ac:dyDescent="0.25">
      <c r="A128" s="100" t="str">
        <f>'OI(Value)'!A128</f>
        <v>LUPIN</v>
      </c>
      <c r="B128" s="82">
        <f>VLOOKUP(A128,'Data shares'!$C$2:$CV$215,98,0)</f>
        <v>12523475</v>
      </c>
      <c r="C128" s="82">
        <f>VLOOKUP(A128,'Data shares'!$C$2:$CX$215,100,0)</f>
        <v>-97325</v>
      </c>
      <c r="D128" s="141">
        <f>VLOOKUP(A128,'Data shares'!$C$2:$CY$538,101,0)</f>
        <v>-7.7000000000000002E-3</v>
      </c>
      <c r="E128" s="86">
        <f>VLOOKUP($A128,'Data shares'!$C:$FA,74)</f>
        <v>7223300</v>
      </c>
      <c r="F128" s="86">
        <f>VLOOKUP($A128,'Data shares'!$C:$FA,76)</f>
        <v>-178925</v>
      </c>
      <c r="G128" s="87">
        <f>VLOOKUP(A128,'Data shares'!$C$2:$CA$215,77,0)</f>
        <v>-2.4199999999999999E-2</v>
      </c>
      <c r="H128" s="86">
        <f>VLOOKUP($A128,'Data shares'!$C:$FA,90)</f>
        <v>3006450</v>
      </c>
      <c r="I128" s="86">
        <f>VLOOKUP($A128,'Data shares'!$C:$FA,92)</f>
        <v>29325</v>
      </c>
      <c r="J128" s="87">
        <f>VLOOKUP($A128,'Data shares'!$C:$FA,93)</f>
        <v>9.9000000000000008E-3</v>
      </c>
      <c r="K128" s="86">
        <f>VLOOKUP($A128,'Data shares'!$C:$FA,94)</f>
        <v>2293725</v>
      </c>
      <c r="L128" s="86">
        <f>VLOOKUP($A128,'Data shares'!$C:$FA,96)</f>
        <v>52275</v>
      </c>
      <c r="M128" s="87">
        <f>VLOOKUP($A128,'Data shares'!$C:$FA,97)</f>
        <v>2.3300000000000001E-2</v>
      </c>
      <c r="N128" s="86">
        <f>VLOOKUP($A128,'Data shares'!$C:$FA,78)</f>
        <v>6906250</v>
      </c>
      <c r="O128" s="87">
        <f>VLOOKUP($A128,'Data shares'!$C:$FA,81)</f>
        <v>-2.8899999999999999E-2</v>
      </c>
    </row>
    <row r="129" spans="1:15" x14ac:dyDescent="0.25">
      <c r="A129" s="100" t="str">
        <f>'OI(Value)'!A129</f>
        <v>M&amp;M</v>
      </c>
      <c r="B129" s="82">
        <f>VLOOKUP(A129,'Data shares'!$C$2:$CV$215,98,0)</f>
        <v>28718400</v>
      </c>
      <c r="C129" s="82">
        <f>VLOOKUP(A129,'Data shares'!$C$2:$CX$215,100,0)</f>
        <v>-272800</v>
      </c>
      <c r="D129" s="141">
        <f>VLOOKUP(A129,'Data shares'!$C$2:$CY$538,101,0)</f>
        <v>-9.4000000000000004E-3</v>
      </c>
      <c r="E129" s="86">
        <f>VLOOKUP($A129,'Data shares'!$C:$FA,74)</f>
        <v>18454000</v>
      </c>
      <c r="F129" s="86">
        <f>VLOOKUP($A129,'Data shares'!$C:$FA,76)</f>
        <v>-106000</v>
      </c>
      <c r="G129" s="87">
        <f>VLOOKUP(A129,'Data shares'!$C$2:$CA$215,77,0)</f>
        <v>-5.7000000000000002E-3</v>
      </c>
      <c r="H129" s="86">
        <f>VLOOKUP($A129,'Data shares'!$C:$FA,90)</f>
        <v>6686600</v>
      </c>
      <c r="I129" s="86">
        <f>VLOOKUP($A129,'Data shares'!$C:$FA,92)</f>
        <v>-50600</v>
      </c>
      <c r="J129" s="87">
        <f>VLOOKUP($A129,'Data shares'!$C:$FA,93)</f>
        <v>-7.4999999999999997E-3</v>
      </c>
      <c r="K129" s="86">
        <f>VLOOKUP($A129,'Data shares'!$C:$FA,94)</f>
        <v>3577800</v>
      </c>
      <c r="L129" s="86">
        <f>VLOOKUP($A129,'Data shares'!$C:$FA,96)</f>
        <v>-116200</v>
      </c>
      <c r="M129" s="87">
        <f>VLOOKUP($A129,'Data shares'!$C:$FA,97)</f>
        <v>-3.15E-2</v>
      </c>
      <c r="N129" s="86">
        <f>VLOOKUP($A129,'Data shares'!$C:$FA,78)</f>
        <v>16608400</v>
      </c>
      <c r="O129" s="87">
        <f>VLOOKUP($A129,'Data shares'!$C:$FA,81)</f>
        <v>-2.4299999999999999E-2</v>
      </c>
    </row>
    <row r="130" spans="1:15" x14ac:dyDescent="0.25">
      <c r="A130" s="100" t="str">
        <f>'OI(Value)'!A130</f>
        <v>MANAPPURAM</v>
      </c>
      <c r="B130" s="82">
        <f>VLOOKUP(A130,'Data shares'!$C$2:$CV$215,98,0)</f>
        <v>69012000</v>
      </c>
      <c r="C130" s="82">
        <f>VLOOKUP(A130,'Data shares'!$C$2:$CX$215,100,0)</f>
        <v>-198000</v>
      </c>
      <c r="D130" s="141">
        <f>VLOOKUP(A130,'Data shares'!$C$2:$CY$538,101,0)</f>
        <v>-2.8999999999999998E-3</v>
      </c>
      <c r="E130" s="86">
        <f>VLOOKUP($A130,'Data shares'!$C:$FA,74)</f>
        <v>39552000</v>
      </c>
      <c r="F130" s="86">
        <f>VLOOKUP($A130,'Data shares'!$C:$FA,76)</f>
        <v>-1233000</v>
      </c>
      <c r="G130" s="87">
        <f>VLOOKUP(A130,'Data shares'!$C$2:$CA$215,77,0)</f>
        <v>-3.0200000000000001E-2</v>
      </c>
      <c r="H130" s="86">
        <f>VLOOKUP($A130,'Data shares'!$C:$FA,90)</f>
        <v>17715000</v>
      </c>
      <c r="I130" s="86">
        <f>VLOOKUP($A130,'Data shares'!$C:$FA,92)</f>
        <v>789000</v>
      </c>
      <c r="J130" s="87">
        <f>VLOOKUP($A130,'Data shares'!$C:$FA,93)</f>
        <v>4.6600000000000003E-2</v>
      </c>
      <c r="K130" s="86">
        <f>VLOOKUP($A130,'Data shares'!$C:$FA,94)</f>
        <v>11745000</v>
      </c>
      <c r="L130" s="86">
        <f>VLOOKUP($A130,'Data shares'!$C:$FA,96)</f>
        <v>246000</v>
      </c>
      <c r="M130" s="87">
        <f>VLOOKUP($A130,'Data shares'!$C:$FA,97)</f>
        <v>2.1399999999999999E-2</v>
      </c>
      <c r="N130" s="86">
        <f>VLOOKUP($A130,'Data shares'!$C:$FA,78)</f>
        <v>37662000</v>
      </c>
      <c r="O130" s="87">
        <f>VLOOKUP($A130,'Data shares'!$C:$FA,81)</f>
        <v>-4.1000000000000002E-2</v>
      </c>
    </row>
    <row r="131" spans="1:15" x14ac:dyDescent="0.25">
      <c r="A131" s="100" t="str">
        <f>'OI(Value)'!A131</f>
        <v>MANKIND</v>
      </c>
      <c r="B131" s="82">
        <f>VLOOKUP(A131,'Data shares'!$C$2:$CV$215,98,0)</f>
        <v>4409100</v>
      </c>
      <c r="C131" s="82">
        <f>VLOOKUP(A131,'Data shares'!$C$2:$CX$215,100,0)</f>
        <v>84600</v>
      </c>
      <c r="D131" s="141">
        <f>VLOOKUP(A131,'Data shares'!$C$2:$CY$538,101,0)</f>
        <v>1.9599999999999999E-2</v>
      </c>
      <c r="E131" s="86">
        <f>VLOOKUP($A131,'Data shares'!$C:$FA,74)</f>
        <v>2661975</v>
      </c>
      <c r="F131" s="86">
        <f>VLOOKUP($A131,'Data shares'!$C:$FA,76)</f>
        <v>34875</v>
      </c>
      <c r="G131" s="87">
        <f>VLOOKUP(A131,'Data shares'!$C$2:$CA$215,77,0)</f>
        <v>1.3299999999999999E-2</v>
      </c>
      <c r="H131" s="86">
        <f>VLOOKUP($A131,'Data shares'!$C:$FA,90)</f>
        <v>1179000</v>
      </c>
      <c r="I131" s="86">
        <f>VLOOKUP($A131,'Data shares'!$C:$FA,92)</f>
        <v>39375</v>
      </c>
      <c r="J131" s="87">
        <f>VLOOKUP($A131,'Data shares'!$C:$FA,93)</f>
        <v>3.4599999999999999E-2</v>
      </c>
      <c r="K131" s="86">
        <f>VLOOKUP($A131,'Data shares'!$C:$FA,94)</f>
        <v>568125</v>
      </c>
      <c r="L131" s="86">
        <f>VLOOKUP($A131,'Data shares'!$C:$FA,96)</f>
        <v>10350</v>
      </c>
      <c r="M131" s="87">
        <f>VLOOKUP($A131,'Data shares'!$C:$FA,97)</f>
        <v>1.8599999999999998E-2</v>
      </c>
      <c r="N131" s="86">
        <f>VLOOKUP($A131,'Data shares'!$C:$FA,78)</f>
        <v>2453175</v>
      </c>
      <c r="O131" s="87">
        <f>VLOOKUP($A131,'Data shares'!$C:$FA,81)</f>
        <v>4.1000000000000003E-3</v>
      </c>
    </row>
    <row r="132" spans="1:15" x14ac:dyDescent="0.25">
      <c r="A132" s="100" t="str">
        <f>'OI(Value)'!A132</f>
        <v>MARICO</v>
      </c>
      <c r="B132" s="82">
        <f>VLOOKUP(A132,'Data shares'!$C$2:$CV$215,98,0)</f>
        <v>44415600</v>
      </c>
      <c r="C132" s="82">
        <f>VLOOKUP(A132,'Data shares'!$C$2:$CX$215,100,0)</f>
        <v>110400</v>
      </c>
      <c r="D132" s="141">
        <f>VLOOKUP(A132,'Data shares'!$C$2:$CY$538,101,0)</f>
        <v>2.5000000000000001E-3</v>
      </c>
      <c r="E132" s="86">
        <f>VLOOKUP($A132,'Data shares'!$C:$FA,74)</f>
        <v>33944400</v>
      </c>
      <c r="F132" s="86">
        <f>VLOOKUP($A132,'Data shares'!$C:$FA,76)</f>
        <v>-120000</v>
      </c>
      <c r="G132" s="87">
        <f>VLOOKUP(A132,'Data shares'!$C$2:$CA$215,77,0)</f>
        <v>-3.5000000000000001E-3</v>
      </c>
      <c r="H132" s="86">
        <f>VLOOKUP($A132,'Data shares'!$C:$FA,90)</f>
        <v>6520800</v>
      </c>
      <c r="I132" s="86">
        <f>VLOOKUP($A132,'Data shares'!$C:$FA,92)</f>
        <v>122400</v>
      </c>
      <c r="J132" s="87">
        <f>VLOOKUP($A132,'Data shares'!$C:$FA,93)</f>
        <v>1.9099999999999999E-2</v>
      </c>
      <c r="K132" s="86">
        <f>VLOOKUP($A132,'Data shares'!$C:$FA,94)</f>
        <v>3950400</v>
      </c>
      <c r="L132" s="86">
        <f>VLOOKUP($A132,'Data shares'!$C:$FA,96)</f>
        <v>108000</v>
      </c>
      <c r="M132" s="87">
        <f>VLOOKUP($A132,'Data shares'!$C:$FA,97)</f>
        <v>2.81E-2</v>
      </c>
      <c r="N132" s="86">
        <f>VLOOKUP($A132,'Data shares'!$C:$FA,78)</f>
        <v>33698400</v>
      </c>
      <c r="O132" s="87">
        <f>VLOOKUP($A132,'Data shares'!$C:$FA,81)</f>
        <v>-3.8E-3</v>
      </c>
    </row>
    <row r="133" spans="1:15" x14ac:dyDescent="0.25">
      <c r="A133" s="100" t="str">
        <f>'OI(Value)'!A133</f>
        <v>MARUTI</v>
      </c>
      <c r="B133" s="82">
        <f>VLOOKUP(A133,'Data shares'!$C$2:$CV$215,98,0)</f>
        <v>6002100</v>
      </c>
      <c r="C133" s="82">
        <f>VLOOKUP(A133,'Data shares'!$C$2:$CX$215,100,0)</f>
        <v>17400</v>
      </c>
      <c r="D133" s="141">
        <f>VLOOKUP(A133,'Data shares'!$C$2:$CY$538,101,0)</f>
        <v>2.8999999999999998E-3</v>
      </c>
      <c r="E133" s="86">
        <f>VLOOKUP($A133,'Data shares'!$C:$FA,74)</f>
        <v>2854250</v>
      </c>
      <c r="F133" s="86">
        <f>VLOOKUP($A133,'Data shares'!$C:$FA,76)</f>
        <v>-6600</v>
      </c>
      <c r="G133" s="87">
        <f>VLOOKUP(A133,'Data shares'!$C$2:$CA$215,77,0)</f>
        <v>-2.3E-3</v>
      </c>
      <c r="H133" s="86">
        <f>VLOOKUP($A133,'Data shares'!$C:$FA,90)</f>
        <v>1614100</v>
      </c>
      <c r="I133" s="86">
        <f>VLOOKUP($A133,'Data shares'!$C:$FA,92)</f>
        <v>35100</v>
      </c>
      <c r="J133" s="87">
        <f>VLOOKUP($A133,'Data shares'!$C:$FA,93)</f>
        <v>2.2200000000000001E-2</v>
      </c>
      <c r="K133" s="86">
        <f>VLOOKUP($A133,'Data shares'!$C:$FA,94)</f>
        <v>1533750</v>
      </c>
      <c r="L133" s="86">
        <f>VLOOKUP($A133,'Data shares'!$C:$FA,96)</f>
        <v>-11100</v>
      </c>
      <c r="M133" s="87">
        <f>VLOOKUP($A133,'Data shares'!$C:$FA,97)</f>
        <v>-7.1999999999999998E-3</v>
      </c>
      <c r="N133" s="86">
        <f>VLOOKUP($A133,'Data shares'!$C:$FA,78)</f>
        <v>2613950</v>
      </c>
      <c r="O133" s="87">
        <f>VLOOKUP($A133,'Data shares'!$C:$FA,81)</f>
        <v>-1.5800000000000002E-2</v>
      </c>
    </row>
    <row r="134" spans="1:15" x14ac:dyDescent="0.25">
      <c r="A134" s="100" t="str">
        <f>'OI(Value)'!A134</f>
        <v>MAXHEALTH</v>
      </c>
      <c r="B134" s="82">
        <f>VLOOKUP(A134,'Data shares'!$C$2:$CV$215,98,0)</f>
        <v>30875250</v>
      </c>
      <c r="C134" s="82">
        <f>VLOOKUP(A134,'Data shares'!$C$2:$CX$215,100,0)</f>
        <v>3680250</v>
      </c>
      <c r="D134" s="141">
        <f>VLOOKUP(A134,'Data shares'!$C$2:$CY$538,101,0)</f>
        <v>0.1353</v>
      </c>
      <c r="E134" s="86">
        <f>VLOOKUP($A134,'Data shares'!$C:$FA,74)</f>
        <v>19722675</v>
      </c>
      <c r="F134" s="86">
        <f>VLOOKUP($A134,'Data shares'!$C:$FA,76)</f>
        <v>897750</v>
      </c>
      <c r="G134" s="87">
        <f>VLOOKUP(A134,'Data shares'!$C$2:$CA$215,77,0)</f>
        <v>4.7699999999999999E-2</v>
      </c>
      <c r="H134" s="86">
        <f>VLOOKUP($A134,'Data shares'!$C:$FA,90)</f>
        <v>7305375</v>
      </c>
      <c r="I134" s="86">
        <f>VLOOKUP($A134,'Data shares'!$C:$FA,92)</f>
        <v>1756125</v>
      </c>
      <c r="J134" s="87">
        <f>VLOOKUP($A134,'Data shares'!$C:$FA,93)</f>
        <v>0.3165</v>
      </c>
      <c r="K134" s="86">
        <f>VLOOKUP($A134,'Data shares'!$C:$FA,94)</f>
        <v>3847200</v>
      </c>
      <c r="L134" s="86">
        <f>VLOOKUP($A134,'Data shares'!$C:$FA,96)</f>
        <v>1026375</v>
      </c>
      <c r="M134" s="87">
        <f>VLOOKUP($A134,'Data shares'!$C:$FA,97)</f>
        <v>0.3639</v>
      </c>
      <c r="N134" s="86">
        <f>VLOOKUP($A134,'Data shares'!$C:$FA,78)</f>
        <v>18618600</v>
      </c>
      <c r="O134" s="87">
        <f>VLOOKUP($A134,'Data shares'!$C:$FA,81)</f>
        <v>3.78E-2</v>
      </c>
    </row>
    <row r="135" spans="1:15" x14ac:dyDescent="0.25">
      <c r="A135" s="100" t="str">
        <f>'OI(Value)'!A135</f>
        <v>MAZDOCK</v>
      </c>
      <c r="B135" s="82">
        <f>VLOOKUP(A135,'Data shares'!$C$2:$CV$215,98,0)</f>
        <v>10580050</v>
      </c>
      <c r="C135" s="82">
        <f>VLOOKUP(A135,'Data shares'!$C$2:$CX$215,100,0)</f>
        <v>78550</v>
      </c>
      <c r="D135" s="141">
        <f>VLOOKUP(A135,'Data shares'!$C$2:$CY$538,101,0)</f>
        <v>7.4999999999999997E-3</v>
      </c>
      <c r="E135" s="86">
        <f>VLOOKUP($A135,'Data shares'!$C:$FA,74)</f>
        <v>4584550</v>
      </c>
      <c r="F135" s="86">
        <f>VLOOKUP($A135,'Data shares'!$C:$FA,76)</f>
        <v>-37125</v>
      </c>
      <c r="G135" s="87">
        <f>VLOOKUP(A135,'Data shares'!$C$2:$CA$215,77,0)</f>
        <v>-8.0000000000000002E-3</v>
      </c>
      <c r="H135" s="86">
        <f>VLOOKUP($A135,'Data shares'!$C:$FA,90)</f>
        <v>4206900</v>
      </c>
      <c r="I135" s="86">
        <f>VLOOKUP($A135,'Data shares'!$C:$FA,92)</f>
        <v>138425</v>
      </c>
      <c r="J135" s="87">
        <f>VLOOKUP($A135,'Data shares'!$C:$FA,93)</f>
        <v>3.4000000000000002E-2</v>
      </c>
      <c r="K135" s="86">
        <f>VLOOKUP($A135,'Data shares'!$C:$FA,94)</f>
        <v>1788600</v>
      </c>
      <c r="L135" s="86">
        <f>VLOOKUP($A135,'Data shares'!$C:$FA,96)</f>
        <v>-22750</v>
      </c>
      <c r="M135" s="87">
        <f>VLOOKUP($A135,'Data shares'!$C:$FA,97)</f>
        <v>-1.26E-2</v>
      </c>
      <c r="N135" s="86">
        <f>VLOOKUP($A135,'Data shares'!$C:$FA,78)</f>
        <v>4084150</v>
      </c>
      <c r="O135" s="87">
        <f>VLOOKUP($A135,'Data shares'!$C:$FA,81)</f>
        <v>-1.5599999999999999E-2</v>
      </c>
    </row>
    <row r="136" spans="1:15" x14ac:dyDescent="0.25">
      <c r="A136" s="100" t="str">
        <f>'OI(Value)'!A136</f>
        <v>MCX</v>
      </c>
      <c r="B136" s="82">
        <f>VLOOKUP(A136,'Data shares'!$C$2:$CV$215,98,0)</f>
        <v>8026500</v>
      </c>
      <c r="C136" s="82">
        <f>VLOOKUP(A136,'Data shares'!$C$2:$CX$215,100,0)</f>
        <v>354750</v>
      </c>
      <c r="D136" s="141">
        <f>VLOOKUP(A136,'Data shares'!$C$2:$CY$538,101,0)</f>
        <v>4.6199999999999998E-2</v>
      </c>
      <c r="E136" s="86">
        <f>VLOOKUP($A136,'Data shares'!$C:$FA,74)</f>
        <v>2888750</v>
      </c>
      <c r="F136" s="86">
        <f>VLOOKUP($A136,'Data shares'!$C:$FA,76)</f>
        <v>124125</v>
      </c>
      <c r="G136" s="87">
        <f>VLOOKUP(A136,'Data shares'!$C$2:$CA$215,77,0)</f>
        <v>4.4900000000000002E-2</v>
      </c>
      <c r="H136" s="86">
        <f>VLOOKUP($A136,'Data shares'!$C:$FA,90)</f>
        <v>3142000</v>
      </c>
      <c r="I136" s="86">
        <f>VLOOKUP($A136,'Data shares'!$C:$FA,92)</f>
        <v>199625</v>
      </c>
      <c r="J136" s="87">
        <f>VLOOKUP($A136,'Data shares'!$C:$FA,93)</f>
        <v>6.7799999999999999E-2</v>
      </c>
      <c r="K136" s="86">
        <f>VLOOKUP($A136,'Data shares'!$C:$FA,94)</f>
        <v>1995750</v>
      </c>
      <c r="L136" s="86">
        <f>VLOOKUP($A136,'Data shares'!$C:$FA,96)</f>
        <v>31000</v>
      </c>
      <c r="M136" s="87">
        <f>VLOOKUP($A136,'Data shares'!$C:$FA,97)</f>
        <v>1.5800000000000002E-2</v>
      </c>
      <c r="N136" s="86">
        <f>VLOOKUP($A136,'Data shares'!$C:$FA,78)</f>
        <v>2568750</v>
      </c>
      <c r="O136" s="87">
        <f>VLOOKUP($A136,'Data shares'!$C:$FA,81)</f>
        <v>3.5900000000000001E-2</v>
      </c>
    </row>
    <row r="137" spans="1:15" x14ac:dyDescent="0.25">
      <c r="A137" s="100" t="str">
        <f>'OI(Value)'!A137</f>
        <v>MFSL</v>
      </c>
      <c r="B137" s="82">
        <f>VLOOKUP(A137,'Data shares'!$C$2:$CV$215,98,0)</f>
        <v>10808800</v>
      </c>
      <c r="C137" s="82">
        <f>VLOOKUP(A137,'Data shares'!$C$2:$CX$215,100,0)</f>
        <v>59200</v>
      </c>
      <c r="D137" s="141">
        <f>VLOOKUP(A137,'Data shares'!$C$2:$CY$538,101,0)</f>
        <v>5.4999999999999997E-3</v>
      </c>
      <c r="E137" s="86">
        <f>VLOOKUP($A137,'Data shares'!$C:$FA,74)</f>
        <v>7950000</v>
      </c>
      <c r="F137" s="86">
        <f>VLOOKUP($A137,'Data shares'!$C:$FA,76)</f>
        <v>84000</v>
      </c>
      <c r="G137" s="87">
        <f>VLOOKUP(A137,'Data shares'!$C$2:$CA$215,77,0)</f>
        <v>1.0699999999999999E-2</v>
      </c>
      <c r="H137" s="86">
        <f>VLOOKUP($A137,'Data shares'!$C:$FA,90)</f>
        <v>1864800</v>
      </c>
      <c r="I137" s="86">
        <f>VLOOKUP($A137,'Data shares'!$C:$FA,92)</f>
        <v>2800</v>
      </c>
      <c r="J137" s="87">
        <f>VLOOKUP($A137,'Data shares'!$C:$FA,93)</f>
        <v>1.5E-3</v>
      </c>
      <c r="K137" s="86">
        <f>VLOOKUP($A137,'Data shares'!$C:$FA,94)</f>
        <v>994000</v>
      </c>
      <c r="L137" s="86">
        <f>VLOOKUP($A137,'Data shares'!$C:$FA,96)</f>
        <v>-27600</v>
      </c>
      <c r="M137" s="87">
        <f>VLOOKUP($A137,'Data shares'!$C:$FA,97)</f>
        <v>-2.7E-2</v>
      </c>
      <c r="N137" s="86">
        <f>VLOOKUP($A137,'Data shares'!$C:$FA,78)</f>
        <v>7800800</v>
      </c>
      <c r="O137" s="87">
        <f>VLOOKUP($A137,'Data shares'!$C:$FA,81)</f>
        <v>5.3E-3</v>
      </c>
    </row>
    <row r="138" spans="1:15" x14ac:dyDescent="0.25">
      <c r="A138" s="100" t="str">
        <f>'OI(Value)'!A138</f>
        <v>MIDCPNIFTY</v>
      </c>
      <c r="B138" s="82">
        <f>VLOOKUP(A138,'Data shares'!$C$2:$CV$215,98,0)</f>
        <v>22432160</v>
      </c>
      <c r="C138" s="82">
        <f>VLOOKUP(A138,'Data shares'!$C$2:$CX$215,100,0)</f>
        <v>997700</v>
      </c>
      <c r="D138" s="141">
        <f>VLOOKUP(A138,'Data shares'!$C$2:$CY$538,101,0)</f>
        <v>4.65E-2</v>
      </c>
      <c r="E138" s="86">
        <f>VLOOKUP($A138,'Data shares'!$C:$FA,74)</f>
        <v>2546640</v>
      </c>
      <c r="F138" s="86">
        <f>VLOOKUP($A138,'Data shares'!$C:$FA,76)</f>
        <v>2600</v>
      </c>
      <c r="G138" s="87">
        <f>VLOOKUP(A138,'Data shares'!$C$2:$CA$215,77,0)</f>
        <v>1E-3</v>
      </c>
      <c r="H138" s="86">
        <f>VLOOKUP($A138,'Data shares'!$C:$FA,90)</f>
        <v>10689220</v>
      </c>
      <c r="I138" s="86">
        <f>VLOOKUP($A138,'Data shares'!$C:$FA,92)</f>
        <v>815620</v>
      </c>
      <c r="J138" s="87">
        <f>VLOOKUP($A138,'Data shares'!$C:$FA,93)</f>
        <v>8.2600000000000007E-2</v>
      </c>
      <c r="K138" s="86">
        <f>VLOOKUP($A138,'Data shares'!$C:$FA,94)</f>
        <v>9196300</v>
      </c>
      <c r="L138" s="86">
        <f>VLOOKUP($A138,'Data shares'!$C:$FA,96)</f>
        <v>179480</v>
      </c>
      <c r="M138" s="87">
        <f>VLOOKUP($A138,'Data shares'!$C:$FA,97)</f>
        <v>1.9900000000000001E-2</v>
      </c>
      <c r="N138" s="86">
        <f>VLOOKUP($A138,'Data shares'!$C:$FA,78)</f>
        <v>2409960</v>
      </c>
      <c r="O138" s="87">
        <f>VLOOKUP($A138,'Data shares'!$C:$FA,81)</f>
        <v>-3.8999999999999998E-3</v>
      </c>
    </row>
    <row r="139" spans="1:15" x14ac:dyDescent="0.25">
      <c r="A139" s="100" t="str">
        <f>'OI(Value)'!A139</f>
        <v>MOTHERSON</v>
      </c>
      <c r="B139" s="82">
        <f>VLOOKUP(A139,'Data shares'!$C$2:$CV$215,98,0)</f>
        <v>299191350</v>
      </c>
      <c r="C139" s="82">
        <f>VLOOKUP(A139,'Data shares'!$C$2:$CX$215,100,0)</f>
        <v>1340700</v>
      </c>
      <c r="D139" s="141">
        <f>VLOOKUP(A139,'Data shares'!$C$2:$CY$538,101,0)</f>
        <v>4.4999999999999997E-3</v>
      </c>
      <c r="E139" s="86">
        <f>VLOOKUP($A139,'Data shares'!$C:$FA,74)</f>
        <v>190194900</v>
      </c>
      <c r="F139" s="86">
        <f>VLOOKUP($A139,'Data shares'!$C:$FA,76)</f>
        <v>1402200</v>
      </c>
      <c r="G139" s="87">
        <f>VLOOKUP(A139,'Data shares'!$C$2:$CA$215,77,0)</f>
        <v>7.4000000000000003E-3</v>
      </c>
      <c r="H139" s="86">
        <f>VLOOKUP($A139,'Data shares'!$C:$FA,90)</f>
        <v>61057200</v>
      </c>
      <c r="I139" s="86">
        <f>VLOOKUP($A139,'Data shares'!$C:$FA,92)</f>
        <v>547350</v>
      </c>
      <c r="J139" s="87">
        <f>VLOOKUP($A139,'Data shares'!$C:$FA,93)</f>
        <v>8.9999999999999993E-3</v>
      </c>
      <c r="K139" s="86">
        <f>VLOOKUP($A139,'Data shares'!$C:$FA,94)</f>
        <v>47939250</v>
      </c>
      <c r="L139" s="86">
        <f>VLOOKUP($A139,'Data shares'!$C:$FA,96)</f>
        <v>-608850</v>
      </c>
      <c r="M139" s="87">
        <f>VLOOKUP($A139,'Data shares'!$C:$FA,97)</f>
        <v>-1.2500000000000001E-2</v>
      </c>
      <c r="N139" s="86">
        <f>VLOOKUP($A139,'Data shares'!$C:$FA,78)</f>
        <v>182722650</v>
      </c>
      <c r="O139" s="87">
        <f>VLOOKUP($A139,'Data shares'!$C:$FA,81)</f>
        <v>2.3E-3</v>
      </c>
    </row>
    <row r="140" spans="1:15" x14ac:dyDescent="0.25">
      <c r="A140" s="100" t="str">
        <f>'OI(Value)'!A140</f>
        <v>MPHASIS</v>
      </c>
      <c r="B140" s="82">
        <f>VLOOKUP(A140,'Data shares'!$C$2:$CV$215,98,0)</f>
        <v>8825300</v>
      </c>
      <c r="C140" s="82">
        <f>VLOOKUP(A140,'Data shares'!$C$2:$CX$215,100,0)</f>
        <v>93500</v>
      </c>
      <c r="D140" s="141">
        <f>VLOOKUP(A140,'Data shares'!$C$2:$CY$538,101,0)</f>
        <v>1.0699999999999999E-2</v>
      </c>
      <c r="E140" s="86">
        <f>VLOOKUP($A140,'Data shares'!$C:$FA,74)</f>
        <v>6409700</v>
      </c>
      <c r="F140" s="86">
        <f>VLOOKUP($A140,'Data shares'!$C:$FA,76)</f>
        <v>38500</v>
      </c>
      <c r="G140" s="87">
        <f>VLOOKUP(A140,'Data shares'!$C$2:$CA$215,77,0)</f>
        <v>6.0000000000000001E-3</v>
      </c>
      <c r="H140" s="86">
        <f>VLOOKUP($A140,'Data shares'!$C:$FA,90)</f>
        <v>1367575</v>
      </c>
      <c r="I140" s="86">
        <f>VLOOKUP($A140,'Data shares'!$C:$FA,92)</f>
        <v>29975</v>
      </c>
      <c r="J140" s="87">
        <f>VLOOKUP($A140,'Data shares'!$C:$FA,93)</f>
        <v>2.24E-2</v>
      </c>
      <c r="K140" s="86">
        <f>VLOOKUP($A140,'Data shares'!$C:$FA,94)</f>
        <v>1048025</v>
      </c>
      <c r="L140" s="86">
        <f>VLOOKUP($A140,'Data shares'!$C:$FA,96)</f>
        <v>25025</v>
      </c>
      <c r="M140" s="87">
        <f>VLOOKUP($A140,'Data shares'!$C:$FA,97)</f>
        <v>2.4500000000000001E-2</v>
      </c>
      <c r="N140" s="86">
        <f>VLOOKUP($A140,'Data shares'!$C:$FA,78)</f>
        <v>6267525</v>
      </c>
      <c r="O140" s="87">
        <f>VLOOKUP($A140,'Data shares'!$C:$FA,81)</f>
        <v>-6.9999999999999999E-4</v>
      </c>
    </row>
    <row r="141" spans="1:15" x14ac:dyDescent="0.25">
      <c r="A141" s="100" t="str">
        <f>'OI(Value)'!A141</f>
        <v>MUTHOOTFIN</v>
      </c>
      <c r="B141" s="82">
        <f>VLOOKUP(A141,'Data shares'!$C$2:$CV$215,98,0)</f>
        <v>8446075</v>
      </c>
      <c r="C141" s="82">
        <f>VLOOKUP(A141,'Data shares'!$C$2:$CX$215,100,0)</f>
        <v>330825</v>
      </c>
      <c r="D141" s="141">
        <f>VLOOKUP(A141,'Data shares'!$C$2:$CY$538,101,0)</f>
        <v>4.0800000000000003E-2</v>
      </c>
      <c r="E141" s="86">
        <f>VLOOKUP($A141,'Data shares'!$C:$FA,74)</f>
        <v>3162500</v>
      </c>
      <c r="F141" s="86">
        <f>VLOOKUP($A141,'Data shares'!$C:$FA,76)</f>
        <v>242000</v>
      </c>
      <c r="G141" s="87">
        <f>VLOOKUP(A141,'Data shares'!$C$2:$CA$215,77,0)</f>
        <v>8.2900000000000001E-2</v>
      </c>
      <c r="H141" s="86">
        <f>VLOOKUP($A141,'Data shares'!$C:$FA,90)</f>
        <v>3474075</v>
      </c>
      <c r="I141" s="86">
        <f>VLOOKUP($A141,'Data shares'!$C:$FA,92)</f>
        <v>118800</v>
      </c>
      <c r="J141" s="87">
        <f>VLOOKUP($A141,'Data shares'!$C:$FA,93)</f>
        <v>3.5400000000000001E-2</v>
      </c>
      <c r="K141" s="86">
        <f>VLOOKUP($A141,'Data shares'!$C:$FA,94)</f>
        <v>1809500</v>
      </c>
      <c r="L141" s="86">
        <f>VLOOKUP($A141,'Data shares'!$C:$FA,96)</f>
        <v>-29975</v>
      </c>
      <c r="M141" s="87">
        <f>VLOOKUP($A141,'Data shares'!$C:$FA,97)</f>
        <v>-1.6299999999999999E-2</v>
      </c>
      <c r="N141" s="86">
        <f>VLOOKUP($A141,'Data shares'!$C:$FA,78)</f>
        <v>2790150</v>
      </c>
      <c r="O141" s="87">
        <f>VLOOKUP($A141,'Data shares'!$C:$FA,81)</f>
        <v>4.6399999999999997E-2</v>
      </c>
    </row>
    <row r="142" spans="1:15" x14ac:dyDescent="0.25">
      <c r="A142" s="100" t="str">
        <f>'OI(Value)'!A142</f>
        <v>NATIONALUM</v>
      </c>
      <c r="B142" s="82">
        <f>VLOOKUP(A142,'Data shares'!$C$2:$CV$215,98,0)</f>
        <v>121065000</v>
      </c>
      <c r="C142" s="82">
        <f>VLOOKUP(A142,'Data shares'!$C$2:$CX$215,100,0)</f>
        <v>1477500</v>
      </c>
      <c r="D142" s="141">
        <f>VLOOKUP(A142,'Data shares'!$C$2:$CY$538,101,0)</f>
        <v>1.24E-2</v>
      </c>
      <c r="E142" s="86">
        <f>VLOOKUP($A142,'Data shares'!$C:$FA,74)</f>
        <v>59531250</v>
      </c>
      <c r="F142" s="86">
        <f>VLOOKUP($A142,'Data shares'!$C:$FA,76)</f>
        <v>-1758750</v>
      </c>
      <c r="G142" s="87">
        <f>VLOOKUP(A142,'Data shares'!$C$2:$CA$215,77,0)</f>
        <v>-2.87E-2</v>
      </c>
      <c r="H142" s="86">
        <f>VLOOKUP($A142,'Data shares'!$C:$FA,90)</f>
        <v>33296250</v>
      </c>
      <c r="I142" s="86">
        <f>VLOOKUP($A142,'Data shares'!$C:$FA,92)</f>
        <v>2167500</v>
      </c>
      <c r="J142" s="87">
        <f>VLOOKUP($A142,'Data shares'!$C:$FA,93)</f>
        <v>6.9599999999999995E-2</v>
      </c>
      <c r="K142" s="86">
        <f>VLOOKUP($A142,'Data shares'!$C:$FA,94)</f>
        <v>28237500</v>
      </c>
      <c r="L142" s="86">
        <f>VLOOKUP($A142,'Data shares'!$C:$FA,96)</f>
        <v>1068750</v>
      </c>
      <c r="M142" s="87">
        <f>VLOOKUP($A142,'Data shares'!$C:$FA,97)</f>
        <v>3.9300000000000002E-2</v>
      </c>
      <c r="N142" s="86">
        <f>VLOOKUP($A142,'Data shares'!$C:$FA,78)</f>
        <v>53516250</v>
      </c>
      <c r="O142" s="87">
        <f>VLOOKUP($A142,'Data shares'!$C:$FA,81)</f>
        <v>-3.7999999999999999E-2</v>
      </c>
    </row>
    <row r="143" spans="1:15" x14ac:dyDescent="0.25">
      <c r="A143" s="100" t="str">
        <f>'OI(Value)'!A143</f>
        <v>NAUKRI</v>
      </c>
      <c r="B143" s="82">
        <f>VLOOKUP(A143,'Data shares'!$C$2:$CV$215,98,0)</f>
        <v>13599000</v>
      </c>
      <c r="C143" s="82">
        <f>VLOOKUP(A143,'Data shares'!$C$2:$CX$215,100,0)</f>
        <v>175125</v>
      </c>
      <c r="D143" s="141">
        <f>VLOOKUP(A143,'Data shares'!$C$2:$CY$538,101,0)</f>
        <v>1.2999999999999999E-2</v>
      </c>
      <c r="E143" s="86">
        <f>VLOOKUP($A143,'Data shares'!$C:$FA,74)</f>
        <v>8501250</v>
      </c>
      <c r="F143" s="86">
        <f>VLOOKUP($A143,'Data shares'!$C:$FA,76)</f>
        <v>108000</v>
      </c>
      <c r="G143" s="87">
        <f>VLOOKUP(A143,'Data shares'!$C$2:$CA$215,77,0)</f>
        <v>1.29E-2</v>
      </c>
      <c r="H143" s="86">
        <f>VLOOKUP($A143,'Data shares'!$C:$FA,90)</f>
        <v>2775750</v>
      </c>
      <c r="I143" s="86">
        <f>VLOOKUP($A143,'Data shares'!$C:$FA,92)</f>
        <v>60000</v>
      </c>
      <c r="J143" s="87">
        <f>VLOOKUP($A143,'Data shares'!$C:$FA,93)</f>
        <v>2.2100000000000002E-2</v>
      </c>
      <c r="K143" s="86">
        <f>VLOOKUP($A143,'Data shares'!$C:$FA,94)</f>
        <v>2322000</v>
      </c>
      <c r="L143" s="86">
        <f>VLOOKUP($A143,'Data shares'!$C:$FA,96)</f>
        <v>7125</v>
      </c>
      <c r="M143" s="87">
        <f>VLOOKUP($A143,'Data shares'!$C:$FA,97)</f>
        <v>3.0999999999999999E-3</v>
      </c>
      <c r="N143" s="86">
        <f>VLOOKUP($A143,'Data shares'!$C:$FA,78)</f>
        <v>7893750</v>
      </c>
      <c r="O143" s="87">
        <f>VLOOKUP($A143,'Data shares'!$C:$FA,81)</f>
        <v>5.9999999999999995E-4</v>
      </c>
    </row>
    <row r="144" spans="1:15" x14ac:dyDescent="0.25">
      <c r="A144" s="100" t="str">
        <f>'OI(Value)'!A144</f>
        <v>NBCC</v>
      </c>
      <c r="B144" s="82">
        <f>VLOOKUP(A144,'Data shares'!$C$2:$CV$215,98,0)</f>
        <v>169097500</v>
      </c>
      <c r="C144" s="82">
        <f>VLOOKUP(A144,'Data shares'!$C$2:$CX$215,100,0)</f>
        <v>12974000</v>
      </c>
      <c r="D144" s="141">
        <f>VLOOKUP(A144,'Data shares'!$C$2:$CY$538,101,0)</f>
        <v>8.3099999999999993E-2</v>
      </c>
      <c r="E144" s="86">
        <f>VLOOKUP($A144,'Data shares'!$C:$FA,74)</f>
        <v>88036000</v>
      </c>
      <c r="F144" s="86">
        <f>VLOOKUP($A144,'Data shares'!$C:$FA,76)</f>
        <v>2041000</v>
      </c>
      <c r="G144" s="87">
        <f>VLOOKUP(A144,'Data shares'!$C$2:$CA$215,77,0)</f>
        <v>2.3699999999999999E-2</v>
      </c>
      <c r="H144" s="86">
        <f>VLOOKUP($A144,'Data shares'!$C:$FA,90)</f>
        <v>57752500</v>
      </c>
      <c r="I144" s="86">
        <f>VLOOKUP($A144,'Data shares'!$C:$FA,92)</f>
        <v>9951500</v>
      </c>
      <c r="J144" s="87">
        <f>VLOOKUP($A144,'Data shares'!$C:$FA,93)</f>
        <v>0.2082</v>
      </c>
      <c r="K144" s="86">
        <f>VLOOKUP($A144,'Data shares'!$C:$FA,94)</f>
        <v>23309000</v>
      </c>
      <c r="L144" s="86">
        <f>VLOOKUP($A144,'Data shares'!$C:$FA,96)</f>
        <v>981500</v>
      </c>
      <c r="M144" s="87">
        <f>VLOOKUP($A144,'Data shares'!$C:$FA,97)</f>
        <v>4.3999999999999997E-2</v>
      </c>
      <c r="N144" s="86">
        <f>VLOOKUP($A144,'Data shares'!$C:$FA,78)</f>
        <v>82504500</v>
      </c>
      <c r="O144" s="87">
        <f>VLOOKUP($A144,'Data shares'!$C:$FA,81)</f>
        <v>1.4E-2</v>
      </c>
    </row>
    <row r="145" spans="1:15" x14ac:dyDescent="0.25">
      <c r="A145" s="100" t="str">
        <f>'OI(Value)'!A145</f>
        <v>NCC</v>
      </c>
      <c r="B145" s="82">
        <f>VLOOKUP(A145,'Data shares'!$C$2:$CV$215,98,0)</f>
        <v>55995300</v>
      </c>
      <c r="C145" s="82">
        <f>VLOOKUP(A145,'Data shares'!$C$2:$CX$215,100,0)</f>
        <v>-901800</v>
      </c>
      <c r="D145" s="141">
        <f>VLOOKUP(A145,'Data shares'!$C$2:$CY$538,101,0)</f>
        <v>-1.5800000000000002E-2</v>
      </c>
      <c r="E145" s="86">
        <f>VLOOKUP($A145,'Data shares'!$C:$FA,74)</f>
        <v>22361400</v>
      </c>
      <c r="F145" s="86">
        <f>VLOOKUP($A145,'Data shares'!$C:$FA,76)</f>
        <v>156600</v>
      </c>
      <c r="G145" s="87">
        <f>VLOOKUP(A145,'Data shares'!$C$2:$CA$215,77,0)</f>
        <v>7.1000000000000004E-3</v>
      </c>
      <c r="H145" s="86">
        <f>VLOOKUP($A145,'Data shares'!$C:$FA,90)</f>
        <v>23689800</v>
      </c>
      <c r="I145" s="86">
        <f>VLOOKUP($A145,'Data shares'!$C:$FA,92)</f>
        <v>-761400</v>
      </c>
      <c r="J145" s="87">
        <f>VLOOKUP($A145,'Data shares'!$C:$FA,93)</f>
        <v>-3.1099999999999999E-2</v>
      </c>
      <c r="K145" s="86">
        <f>VLOOKUP($A145,'Data shares'!$C:$FA,94)</f>
        <v>9944100</v>
      </c>
      <c r="L145" s="86">
        <f>VLOOKUP($A145,'Data shares'!$C:$FA,96)</f>
        <v>-297000</v>
      </c>
      <c r="M145" s="87">
        <f>VLOOKUP($A145,'Data shares'!$C:$FA,97)</f>
        <v>-2.9000000000000001E-2</v>
      </c>
      <c r="N145" s="86">
        <f>VLOOKUP($A145,'Data shares'!$C:$FA,78)</f>
        <v>22361400</v>
      </c>
      <c r="O145" s="87">
        <f>VLOOKUP($A145,'Data shares'!$C:$FA,81)</f>
        <v>7.1000000000000004E-3</v>
      </c>
    </row>
    <row r="146" spans="1:15" x14ac:dyDescent="0.25">
      <c r="A146" s="100" t="str">
        <f>'OI(Value)'!A146</f>
        <v>NESTLEIND</v>
      </c>
      <c r="B146" s="82">
        <f>VLOOKUP(A146,'Data shares'!$C$2:$CV$215,98,0)</f>
        <v>26070000</v>
      </c>
      <c r="C146" s="82">
        <f>VLOOKUP(A146,'Data shares'!$C$2:$CX$215,100,0)</f>
        <v>388500</v>
      </c>
      <c r="D146" s="141">
        <f>VLOOKUP(A146,'Data shares'!$C$2:$CY$538,101,0)</f>
        <v>1.5100000000000001E-2</v>
      </c>
      <c r="E146" s="86">
        <f>VLOOKUP($A146,'Data shares'!$C:$FA,74)</f>
        <v>16494000</v>
      </c>
      <c r="F146" s="86">
        <f>VLOOKUP($A146,'Data shares'!$C:$FA,76)</f>
        <v>200000</v>
      </c>
      <c r="G146" s="87">
        <f>VLOOKUP(A146,'Data shares'!$C$2:$CA$215,77,0)</f>
        <v>1.23E-2</v>
      </c>
      <c r="H146" s="86">
        <f>VLOOKUP($A146,'Data shares'!$C:$FA,90)</f>
        <v>7283000</v>
      </c>
      <c r="I146" s="86">
        <f>VLOOKUP($A146,'Data shares'!$C:$FA,92)</f>
        <v>201000</v>
      </c>
      <c r="J146" s="87">
        <f>VLOOKUP($A146,'Data shares'!$C:$FA,93)</f>
        <v>2.8400000000000002E-2</v>
      </c>
      <c r="K146" s="86">
        <f>VLOOKUP($A146,'Data shares'!$C:$FA,94)</f>
        <v>2293000</v>
      </c>
      <c r="L146" s="86">
        <f>VLOOKUP($A146,'Data shares'!$C:$FA,96)</f>
        <v>-12500</v>
      </c>
      <c r="M146" s="87">
        <f>VLOOKUP($A146,'Data shares'!$C:$FA,97)</f>
        <v>-5.4000000000000003E-3</v>
      </c>
      <c r="N146" s="86">
        <f>VLOOKUP($A146,'Data shares'!$C:$FA,78)</f>
        <v>14547500</v>
      </c>
      <c r="O146" s="87">
        <f>VLOOKUP($A146,'Data shares'!$C:$FA,81)</f>
        <v>-4.1099999999999998E-2</v>
      </c>
    </row>
    <row r="147" spans="1:15" x14ac:dyDescent="0.25">
      <c r="A147" s="100" t="str">
        <f>'OI(Value)'!A147</f>
        <v>NHPC</v>
      </c>
      <c r="B147" s="82">
        <f>VLOOKUP(A147,'Data shares'!$C$2:$CV$215,98,0)</f>
        <v>141932800</v>
      </c>
      <c r="C147" s="82">
        <f>VLOOKUP(A147,'Data shares'!$C$2:$CX$215,100,0)</f>
        <v>-268800</v>
      </c>
      <c r="D147" s="141">
        <f>VLOOKUP(A147,'Data shares'!$C$2:$CY$538,101,0)</f>
        <v>-1.9E-3</v>
      </c>
      <c r="E147" s="86">
        <f>VLOOKUP($A147,'Data shares'!$C:$FA,74)</f>
        <v>74137600</v>
      </c>
      <c r="F147" s="86">
        <f>VLOOKUP($A147,'Data shares'!$C:$FA,76)</f>
        <v>-192000</v>
      </c>
      <c r="G147" s="87">
        <f>VLOOKUP(A147,'Data shares'!$C$2:$CA$215,77,0)</f>
        <v>-2.5999999999999999E-3</v>
      </c>
      <c r="H147" s="86">
        <f>VLOOKUP($A147,'Data shares'!$C:$FA,90)</f>
        <v>46912000</v>
      </c>
      <c r="I147" s="86">
        <f>VLOOKUP($A147,'Data shares'!$C:$FA,92)</f>
        <v>108800</v>
      </c>
      <c r="J147" s="87">
        <f>VLOOKUP($A147,'Data shares'!$C:$FA,93)</f>
        <v>2.3E-3</v>
      </c>
      <c r="K147" s="86">
        <f>VLOOKUP($A147,'Data shares'!$C:$FA,94)</f>
        <v>20883200</v>
      </c>
      <c r="L147" s="86">
        <f>VLOOKUP($A147,'Data shares'!$C:$FA,96)</f>
        <v>-185600</v>
      </c>
      <c r="M147" s="87">
        <f>VLOOKUP($A147,'Data shares'!$C:$FA,97)</f>
        <v>-8.8000000000000005E-3</v>
      </c>
      <c r="N147" s="86">
        <f>VLOOKUP($A147,'Data shares'!$C:$FA,78)</f>
        <v>66508800</v>
      </c>
      <c r="O147" s="87">
        <f>VLOOKUP($A147,'Data shares'!$C:$FA,81)</f>
        <v>-1.26E-2</v>
      </c>
    </row>
    <row r="148" spans="1:15" x14ac:dyDescent="0.25">
      <c r="A148" s="100" t="str">
        <f>'OI(Value)'!A148</f>
        <v>NIFTY</v>
      </c>
      <c r="B148" s="82">
        <f>VLOOKUP(A148,'Data shares'!$C$2:$CV$215,98,0)</f>
        <v>453053130</v>
      </c>
      <c r="C148" s="82">
        <f>VLOOKUP(A148,'Data shares'!$C$2:$CX$215,100,0)</f>
        <v>-192350905</v>
      </c>
      <c r="D148" s="141">
        <f>VLOOKUP(A148,'Data shares'!$C$2:$CY$538,101,0)</f>
        <v>-0.29799999999999999</v>
      </c>
      <c r="E148" s="86">
        <f>VLOOKUP($A148,'Data shares'!$C:$FA,74)</f>
        <v>18569085</v>
      </c>
      <c r="F148" s="86">
        <f>VLOOKUP($A148,'Data shares'!$C:$FA,76)</f>
        <v>380400</v>
      </c>
      <c r="G148" s="87">
        <f>VLOOKUP(A148,'Data shares'!$C$2:$CA$215,77,0)</f>
        <v>2.0899999999999998E-2</v>
      </c>
      <c r="H148" s="86">
        <f>VLOOKUP($A148,'Data shares'!$C:$FA,90)</f>
        <v>245713765</v>
      </c>
      <c r="I148" s="86">
        <f>VLOOKUP($A148,'Data shares'!$C:$FA,92)</f>
        <v>73397105</v>
      </c>
      <c r="J148" s="87">
        <f>VLOOKUP($A148,'Data shares'!$C:$FA,93)</f>
        <v>0.4259</v>
      </c>
      <c r="K148" s="86">
        <f>VLOOKUP($A148,'Data shares'!$C:$FA,94)</f>
        <v>188770280</v>
      </c>
      <c r="L148" s="86">
        <f>VLOOKUP($A148,'Data shares'!$C:$FA,96)</f>
        <v>33610965</v>
      </c>
      <c r="M148" s="87">
        <f>VLOOKUP($A148,'Data shares'!$C:$FA,97)</f>
        <v>0.21659999999999999</v>
      </c>
      <c r="N148" s="86">
        <f>VLOOKUP($A148,'Data shares'!$C:$FA,78)</f>
        <v>16414725</v>
      </c>
      <c r="O148" s="87">
        <f>VLOOKUP($A148,'Data shares'!$C:$FA,81)</f>
        <v>1.6899999999999998E-2</v>
      </c>
    </row>
    <row r="149" spans="1:15" x14ac:dyDescent="0.25">
      <c r="A149" s="100" t="str">
        <f>'OI(Value)'!A149</f>
        <v>NIFTYNXT50</v>
      </c>
      <c r="B149" s="82">
        <f>VLOOKUP(A149,'Data shares'!$C$2:$CV$215,98,0)</f>
        <v>60700</v>
      </c>
      <c r="C149" s="82">
        <f>VLOOKUP(A149,'Data shares'!$C$2:$CX$215,100,0)</f>
        <v>2425</v>
      </c>
      <c r="D149" s="141">
        <f>VLOOKUP(A149,'Data shares'!$C$2:$CY$538,101,0)</f>
        <v>4.1599999999999998E-2</v>
      </c>
      <c r="E149" s="86">
        <f>VLOOKUP($A149,'Data shares'!$C:$FA,74)</f>
        <v>29600</v>
      </c>
      <c r="F149" s="86">
        <f>VLOOKUP($A149,'Data shares'!$C:$FA,76)</f>
        <v>175</v>
      </c>
      <c r="G149" s="87">
        <f>VLOOKUP(A149,'Data shares'!$C$2:$CA$215,77,0)</f>
        <v>5.8999999999999999E-3</v>
      </c>
      <c r="H149" s="86">
        <f>VLOOKUP($A149,'Data shares'!$C:$FA,90)</f>
        <v>16150</v>
      </c>
      <c r="I149" s="86">
        <f>VLOOKUP($A149,'Data shares'!$C:$FA,92)</f>
        <v>1400</v>
      </c>
      <c r="J149" s="87">
        <f>VLOOKUP($A149,'Data shares'!$C:$FA,93)</f>
        <v>9.4899999999999998E-2</v>
      </c>
      <c r="K149" s="86">
        <f>VLOOKUP($A149,'Data shares'!$C:$FA,94)</f>
        <v>14950</v>
      </c>
      <c r="L149" s="86">
        <f>VLOOKUP($A149,'Data shares'!$C:$FA,96)</f>
        <v>850</v>
      </c>
      <c r="M149" s="87">
        <f>VLOOKUP($A149,'Data shares'!$C:$FA,97)</f>
        <v>6.0299999999999999E-2</v>
      </c>
      <c r="N149" s="86">
        <f>VLOOKUP($A149,'Data shares'!$C:$FA,78)</f>
        <v>26250</v>
      </c>
      <c r="O149" s="87">
        <f>VLOOKUP($A149,'Data shares'!$C:$FA,81)</f>
        <v>0</v>
      </c>
    </row>
    <row r="150" spans="1:15" x14ac:dyDescent="0.25">
      <c r="A150" s="100" t="str">
        <f>'OI(Value)'!A150</f>
        <v>NMDC</v>
      </c>
      <c r="B150" s="82">
        <f>VLOOKUP(A150,'Data shares'!$C$2:$CV$215,98,0)</f>
        <v>517880250</v>
      </c>
      <c r="C150" s="82">
        <f>VLOOKUP(A150,'Data shares'!$C$2:$CX$215,100,0)</f>
        <v>11583000</v>
      </c>
      <c r="D150" s="141">
        <f>VLOOKUP(A150,'Data shares'!$C$2:$CY$538,101,0)</f>
        <v>2.29E-2</v>
      </c>
      <c r="E150" s="86">
        <f>VLOOKUP($A150,'Data shares'!$C:$FA,74)</f>
        <v>338917500</v>
      </c>
      <c r="F150" s="86">
        <f>VLOOKUP($A150,'Data shares'!$C:$FA,76)</f>
        <v>5150250</v>
      </c>
      <c r="G150" s="87">
        <f>VLOOKUP(A150,'Data shares'!$C$2:$CA$215,77,0)</f>
        <v>1.54E-2</v>
      </c>
      <c r="H150" s="86">
        <f>VLOOKUP($A150,'Data shares'!$C:$FA,90)</f>
        <v>106582500</v>
      </c>
      <c r="I150" s="86">
        <f>VLOOKUP($A150,'Data shares'!$C:$FA,92)</f>
        <v>4617000</v>
      </c>
      <c r="J150" s="87">
        <f>VLOOKUP($A150,'Data shares'!$C:$FA,93)</f>
        <v>4.53E-2</v>
      </c>
      <c r="K150" s="86">
        <f>VLOOKUP($A150,'Data shares'!$C:$FA,94)</f>
        <v>72380250</v>
      </c>
      <c r="L150" s="86">
        <f>VLOOKUP($A150,'Data shares'!$C:$FA,96)</f>
        <v>1815750</v>
      </c>
      <c r="M150" s="87">
        <f>VLOOKUP($A150,'Data shares'!$C:$FA,97)</f>
        <v>2.5700000000000001E-2</v>
      </c>
      <c r="N150" s="86">
        <f>VLOOKUP($A150,'Data shares'!$C:$FA,78)</f>
        <v>322515000</v>
      </c>
      <c r="O150" s="87">
        <f>VLOOKUP($A150,'Data shares'!$C:$FA,81)</f>
        <v>8.3000000000000001E-3</v>
      </c>
    </row>
    <row r="151" spans="1:15" x14ac:dyDescent="0.25">
      <c r="A151" s="100" t="str">
        <f>'OI(Value)'!A151</f>
        <v>NTPC</v>
      </c>
      <c r="B151" s="82">
        <f>VLOOKUP(A151,'Data shares'!$C$2:$CV$215,98,0)</f>
        <v>148477500</v>
      </c>
      <c r="C151" s="82">
        <f>VLOOKUP(A151,'Data shares'!$C$2:$CX$215,100,0)</f>
        <v>-370500</v>
      </c>
      <c r="D151" s="141">
        <f>VLOOKUP(A151,'Data shares'!$C$2:$CY$538,101,0)</f>
        <v>-2.5000000000000001E-3</v>
      </c>
      <c r="E151" s="86">
        <f>VLOOKUP($A151,'Data shares'!$C:$FA,74)</f>
        <v>91497000</v>
      </c>
      <c r="F151" s="86">
        <f>VLOOKUP($A151,'Data shares'!$C:$FA,76)</f>
        <v>-442500</v>
      </c>
      <c r="G151" s="87">
        <f>VLOOKUP(A151,'Data shares'!$C$2:$CA$215,77,0)</f>
        <v>-4.7999999999999996E-3</v>
      </c>
      <c r="H151" s="86">
        <f>VLOOKUP($A151,'Data shares'!$C:$FA,90)</f>
        <v>35214000</v>
      </c>
      <c r="I151" s="86">
        <f>VLOOKUP($A151,'Data shares'!$C:$FA,92)</f>
        <v>-352500</v>
      </c>
      <c r="J151" s="87">
        <f>VLOOKUP($A151,'Data shares'!$C:$FA,93)</f>
        <v>-9.9000000000000008E-3</v>
      </c>
      <c r="K151" s="86">
        <f>VLOOKUP($A151,'Data shares'!$C:$FA,94)</f>
        <v>21766500</v>
      </c>
      <c r="L151" s="86">
        <f>VLOOKUP($A151,'Data shares'!$C:$FA,96)</f>
        <v>424500</v>
      </c>
      <c r="M151" s="87">
        <f>VLOOKUP($A151,'Data shares'!$C:$FA,97)</f>
        <v>1.9900000000000001E-2</v>
      </c>
      <c r="N151" s="86">
        <f>VLOOKUP($A151,'Data shares'!$C:$FA,78)</f>
        <v>83490000</v>
      </c>
      <c r="O151" s="87">
        <f>VLOOKUP($A151,'Data shares'!$C:$FA,81)</f>
        <v>-1.03E-2</v>
      </c>
    </row>
    <row r="152" spans="1:15" x14ac:dyDescent="0.25">
      <c r="A152" s="100" t="str">
        <f>'OI(Value)'!A152</f>
        <v>NUVAMA</v>
      </c>
      <c r="B152" s="82">
        <f>VLOOKUP(A152,'Data shares'!$C$2:$CV$215,98,0)</f>
        <v>882575</v>
      </c>
      <c r="C152" s="82">
        <f>VLOOKUP(A152,'Data shares'!$C$2:$CX$215,100,0)</f>
        <v>40125</v>
      </c>
      <c r="D152" s="141">
        <f>VLOOKUP(A152,'Data shares'!$C$2:$CY$538,101,0)</f>
        <v>4.7600000000000003E-2</v>
      </c>
      <c r="E152" s="86">
        <f>VLOOKUP($A152,'Data shares'!$C:$FA,74)</f>
        <v>376900</v>
      </c>
      <c r="F152" s="86">
        <f>VLOOKUP($A152,'Data shares'!$C:$FA,76)</f>
        <v>13625</v>
      </c>
      <c r="G152" s="87">
        <f>VLOOKUP(A152,'Data shares'!$C$2:$CA$215,77,0)</f>
        <v>3.7499999999999999E-2</v>
      </c>
      <c r="H152" s="86">
        <f>VLOOKUP($A152,'Data shares'!$C:$FA,90)</f>
        <v>311275</v>
      </c>
      <c r="I152" s="86">
        <f>VLOOKUP($A152,'Data shares'!$C:$FA,92)</f>
        <v>-1800</v>
      </c>
      <c r="J152" s="87">
        <f>VLOOKUP($A152,'Data shares'!$C:$FA,93)</f>
        <v>-5.7000000000000002E-3</v>
      </c>
      <c r="K152" s="86">
        <f>VLOOKUP($A152,'Data shares'!$C:$FA,94)</f>
        <v>194400</v>
      </c>
      <c r="L152" s="86">
        <f>VLOOKUP($A152,'Data shares'!$C:$FA,96)</f>
        <v>28300</v>
      </c>
      <c r="M152" s="87">
        <f>VLOOKUP($A152,'Data shares'!$C:$FA,97)</f>
        <v>0.1704</v>
      </c>
      <c r="N152" s="86">
        <f>VLOOKUP($A152,'Data shares'!$C:$FA,78)</f>
        <v>359100</v>
      </c>
      <c r="O152" s="87">
        <f>VLOOKUP($A152,'Data shares'!$C:$FA,81)</f>
        <v>2.5499999999999998E-2</v>
      </c>
    </row>
    <row r="153" spans="1:15" x14ac:dyDescent="0.25">
      <c r="A153" s="100" t="str">
        <f>'OI(Value)'!A153</f>
        <v>NYKAA</v>
      </c>
      <c r="B153" s="82">
        <f>VLOOKUP(A153,'Data shares'!$C$2:$CV$215,98,0)</f>
        <v>88103125</v>
      </c>
      <c r="C153" s="82">
        <f>VLOOKUP(A153,'Data shares'!$C$2:$CX$215,100,0)</f>
        <v>37500</v>
      </c>
      <c r="D153" s="141">
        <f>VLOOKUP(A153,'Data shares'!$C$2:$CY$538,101,0)</f>
        <v>4.0000000000000002E-4</v>
      </c>
      <c r="E153" s="86">
        <f>VLOOKUP($A153,'Data shares'!$C:$FA,74)</f>
        <v>56568750</v>
      </c>
      <c r="F153" s="86">
        <f>VLOOKUP($A153,'Data shares'!$C:$FA,76)</f>
        <v>-606250</v>
      </c>
      <c r="G153" s="87">
        <f>VLOOKUP(A153,'Data shares'!$C$2:$CA$215,77,0)</f>
        <v>-1.06E-2</v>
      </c>
      <c r="H153" s="86">
        <f>VLOOKUP($A153,'Data shares'!$C:$FA,90)</f>
        <v>22337500</v>
      </c>
      <c r="I153" s="86">
        <f>VLOOKUP($A153,'Data shares'!$C:$FA,92)</f>
        <v>-34375</v>
      </c>
      <c r="J153" s="87">
        <f>VLOOKUP($A153,'Data shares'!$C:$FA,93)</f>
        <v>-1.5E-3</v>
      </c>
      <c r="K153" s="86">
        <f>VLOOKUP($A153,'Data shares'!$C:$FA,94)</f>
        <v>9196875</v>
      </c>
      <c r="L153" s="86">
        <f>VLOOKUP($A153,'Data shares'!$C:$FA,96)</f>
        <v>678125</v>
      </c>
      <c r="M153" s="87">
        <f>VLOOKUP($A153,'Data shares'!$C:$FA,97)</f>
        <v>7.9600000000000004E-2</v>
      </c>
      <c r="N153" s="86">
        <f>VLOOKUP($A153,'Data shares'!$C:$FA,78)</f>
        <v>53940625</v>
      </c>
      <c r="O153" s="87">
        <f>VLOOKUP($A153,'Data shares'!$C:$FA,81)</f>
        <v>-1.47E-2</v>
      </c>
    </row>
    <row r="154" spans="1:15" x14ac:dyDescent="0.25">
      <c r="A154" s="100" t="str">
        <f>'OI(Value)'!A154</f>
        <v>OBEROIRLTY</v>
      </c>
      <c r="B154" s="82">
        <f>VLOOKUP(A154,'Data shares'!$C$2:$CV$215,98,0)</f>
        <v>8207150</v>
      </c>
      <c r="C154" s="82">
        <f>VLOOKUP(A154,'Data shares'!$C$2:$CX$215,100,0)</f>
        <v>95200</v>
      </c>
      <c r="D154" s="141">
        <f>VLOOKUP(A154,'Data shares'!$C$2:$CY$538,101,0)</f>
        <v>1.17E-2</v>
      </c>
      <c r="E154" s="86">
        <f>VLOOKUP($A154,'Data shares'!$C:$FA,74)</f>
        <v>4779600</v>
      </c>
      <c r="F154" s="86">
        <f>VLOOKUP($A154,'Data shares'!$C:$FA,76)</f>
        <v>39200</v>
      </c>
      <c r="G154" s="87">
        <f>VLOOKUP(A154,'Data shares'!$C$2:$CA$215,77,0)</f>
        <v>8.3000000000000001E-3</v>
      </c>
      <c r="H154" s="86">
        <f>VLOOKUP($A154,'Data shares'!$C:$FA,90)</f>
        <v>2117850</v>
      </c>
      <c r="I154" s="86">
        <f>VLOOKUP($A154,'Data shares'!$C:$FA,92)</f>
        <v>24850</v>
      </c>
      <c r="J154" s="87">
        <f>VLOOKUP($A154,'Data shares'!$C:$FA,93)</f>
        <v>1.1900000000000001E-2</v>
      </c>
      <c r="K154" s="86">
        <f>VLOOKUP($A154,'Data shares'!$C:$FA,94)</f>
        <v>1309700</v>
      </c>
      <c r="L154" s="86">
        <f>VLOOKUP($A154,'Data shares'!$C:$FA,96)</f>
        <v>31150</v>
      </c>
      <c r="M154" s="87">
        <f>VLOOKUP($A154,'Data shares'!$C:$FA,97)</f>
        <v>2.4400000000000002E-2</v>
      </c>
      <c r="N154" s="86">
        <f>VLOOKUP($A154,'Data shares'!$C:$FA,78)</f>
        <v>4491900</v>
      </c>
      <c r="O154" s="87">
        <f>VLOOKUP($A154,'Data shares'!$C:$FA,81)</f>
        <v>4.4000000000000003E-3</v>
      </c>
    </row>
    <row r="155" spans="1:15" x14ac:dyDescent="0.25">
      <c r="A155" s="100" t="str">
        <f>'OI(Value)'!A155</f>
        <v>OFSS</v>
      </c>
      <c r="B155" s="82">
        <f>VLOOKUP(A155,'Data shares'!$C$2:$CV$215,98,0)</f>
        <v>2753925</v>
      </c>
      <c r="C155" s="82">
        <f>VLOOKUP(A155,'Data shares'!$C$2:$CX$215,100,0)</f>
        <v>43275</v>
      </c>
      <c r="D155" s="141">
        <f>VLOOKUP(A155,'Data shares'!$C$2:$CY$538,101,0)</f>
        <v>1.6E-2</v>
      </c>
      <c r="E155" s="86">
        <f>VLOOKUP($A155,'Data shares'!$C:$FA,74)</f>
        <v>1456500</v>
      </c>
      <c r="F155" s="86">
        <f>VLOOKUP($A155,'Data shares'!$C:$FA,76)</f>
        <v>17475</v>
      </c>
      <c r="G155" s="87">
        <f>VLOOKUP(A155,'Data shares'!$C$2:$CA$215,77,0)</f>
        <v>1.21E-2</v>
      </c>
      <c r="H155" s="86">
        <f>VLOOKUP($A155,'Data shares'!$C:$FA,90)</f>
        <v>790500</v>
      </c>
      <c r="I155" s="86">
        <f>VLOOKUP($A155,'Data shares'!$C:$FA,92)</f>
        <v>68550</v>
      </c>
      <c r="J155" s="87">
        <f>VLOOKUP($A155,'Data shares'!$C:$FA,93)</f>
        <v>9.5000000000000001E-2</v>
      </c>
      <c r="K155" s="86">
        <f>VLOOKUP($A155,'Data shares'!$C:$FA,94)</f>
        <v>506925</v>
      </c>
      <c r="L155" s="86">
        <f>VLOOKUP($A155,'Data shares'!$C:$FA,96)</f>
        <v>-42750</v>
      </c>
      <c r="M155" s="87">
        <f>VLOOKUP($A155,'Data shares'!$C:$FA,97)</f>
        <v>-7.7799999999999994E-2</v>
      </c>
      <c r="N155" s="86">
        <f>VLOOKUP($A155,'Data shares'!$C:$FA,78)</f>
        <v>1362300</v>
      </c>
      <c r="O155" s="87">
        <f>VLOOKUP($A155,'Data shares'!$C:$FA,81)</f>
        <v>-2.2000000000000001E-3</v>
      </c>
    </row>
    <row r="156" spans="1:15" x14ac:dyDescent="0.25">
      <c r="A156" s="100" t="str">
        <f>'OI(Value)'!A156</f>
        <v>OIL</v>
      </c>
      <c r="B156" s="82">
        <f>VLOOKUP(A156,'Data shares'!$C$2:$CV$215,98,0)</f>
        <v>22303400</v>
      </c>
      <c r="C156" s="82">
        <f>VLOOKUP(A156,'Data shares'!$C$2:$CX$215,100,0)</f>
        <v>824600</v>
      </c>
      <c r="D156" s="141">
        <f>VLOOKUP(A156,'Data shares'!$C$2:$CY$538,101,0)</f>
        <v>3.8399999999999997E-2</v>
      </c>
      <c r="E156" s="86">
        <f>VLOOKUP($A156,'Data shares'!$C:$FA,74)</f>
        <v>11229400</v>
      </c>
      <c r="F156" s="86">
        <f>VLOOKUP($A156,'Data shares'!$C:$FA,76)</f>
        <v>67200</v>
      </c>
      <c r="G156" s="87">
        <f>VLOOKUP(A156,'Data shares'!$C$2:$CA$215,77,0)</f>
        <v>6.0000000000000001E-3</v>
      </c>
      <c r="H156" s="86">
        <f>VLOOKUP($A156,'Data shares'!$C:$FA,90)</f>
        <v>7256200</v>
      </c>
      <c r="I156" s="86">
        <f>VLOOKUP($A156,'Data shares'!$C:$FA,92)</f>
        <v>625800</v>
      </c>
      <c r="J156" s="87">
        <f>VLOOKUP($A156,'Data shares'!$C:$FA,93)</f>
        <v>9.4399999999999998E-2</v>
      </c>
      <c r="K156" s="86">
        <f>VLOOKUP($A156,'Data shares'!$C:$FA,94)</f>
        <v>3817800</v>
      </c>
      <c r="L156" s="86">
        <f>VLOOKUP($A156,'Data shares'!$C:$FA,96)</f>
        <v>131600</v>
      </c>
      <c r="M156" s="87">
        <f>VLOOKUP($A156,'Data shares'!$C:$FA,97)</f>
        <v>3.5700000000000003E-2</v>
      </c>
      <c r="N156" s="86">
        <f>VLOOKUP($A156,'Data shares'!$C:$FA,78)</f>
        <v>10574200</v>
      </c>
      <c r="O156" s="87">
        <f>VLOOKUP($A156,'Data shares'!$C:$FA,81)</f>
        <v>8.9999999999999998E-4</v>
      </c>
    </row>
    <row r="157" spans="1:15" x14ac:dyDescent="0.25">
      <c r="A157" s="100" t="str">
        <f>'OI(Value)'!A157</f>
        <v>ONGC</v>
      </c>
      <c r="B157" s="82">
        <f>VLOOKUP(A157,'Data shares'!$C$2:$CV$215,98,0)</f>
        <v>191153250</v>
      </c>
      <c r="C157" s="82">
        <f>VLOOKUP(A157,'Data shares'!$C$2:$CX$215,100,0)</f>
        <v>4059000</v>
      </c>
      <c r="D157" s="141">
        <f>VLOOKUP(A157,'Data shares'!$C$2:$CY$538,101,0)</f>
        <v>2.1700000000000001E-2</v>
      </c>
      <c r="E157" s="86">
        <f>VLOOKUP($A157,'Data shares'!$C:$FA,74)</f>
        <v>100584000</v>
      </c>
      <c r="F157" s="86">
        <f>VLOOKUP($A157,'Data shares'!$C:$FA,76)</f>
        <v>1284750</v>
      </c>
      <c r="G157" s="87">
        <f>VLOOKUP(A157,'Data shares'!$C$2:$CA$215,77,0)</f>
        <v>1.29E-2</v>
      </c>
      <c r="H157" s="86">
        <f>VLOOKUP($A157,'Data shares'!$C:$FA,90)</f>
        <v>64037250</v>
      </c>
      <c r="I157" s="86">
        <f>VLOOKUP($A157,'Data shares'!$C:$FA,92)</f>
        <v>2130750</v>
      </c>
      <c r="J157" s="87">
        <f>VLOOKUP($A157,'Data shares'!$C:$FA,93)</f>
        <v>3.44E-2</v>
      </c>
      <c r="K157" s="86">
        <f>VLOOKUP($A157,'Data shares'!$C:$FA,94)</f>
        <v>26532000</v>
      </c>
      <c r="L157" s="86">
        <f>VLOOKUP($A157,'Data shares'!$C:$FA,96)</f>
        <v>643500</v>
      </c>
      <c r="M157" s="87">
        <f>VLOOKUP($A157,'Data shares'!$C:$FA,97)</f>
        <v>2.4899999999999999E-2</v>
      </c>
      <c r="N157" s="86">
        <f>VLOOKUP($A157,'Data shares'!$C:$FA,78)</f>
        <v>92794500</v>
      </c>
      <c r="O157" s="87">
        <f>VLOOKUP($A157,'Data shares'!$C:$FA,81)</f>
        <v>8.0000000000000002E-3</v>
      </c>
    </row>
    <row r="158" spans="1:15" x14ac:dyDescent="0.25">
      <c r="A158" s="100" t="str">
        <f>'OI(Value)'!A158</f>
        <v>PAGEIND</v>
      </c>
      <c r="B158" s="82">
        <f>VLOOKUP(A158,'Data shares'!$C$2:$CV$215,98,0)</f>
        <v>455415</v>
      </c>
      <c r="C158" s="82">
        <f>VLOOKUP(A158,'Data shares'!$C$2:$CX$215,100,0)</f>
        <v>18630</v>
      </c>
      <c r="D158" s="141">
        <f>VLOOKUP(A158,'Data shares'!$C$2:$CY$538,101,0)</f>
        <v>4.2700000000000002E-2</v>
      </c>
      <c r="E158" s="86">
        <f>VLOOKUP($A158,'Data shares'!$C:$FA,74)</f>
        <v>271800</v>
      </c>
      <c r="F158" s="86">
        <f>VLOOKUP($A158,'Data shares'!$C:$FA,76)</f>
        <v>5955</v>
      </c>
      <c r="G158" s="87">
        <f>VLOOKUP(A158,'Data shares'!$C$2:$CA$215,77,0)</f>
        <v>2.24E-2</v>
      </c>
      <c r="H158" s="86">
        <f>VLOOKUP($A158,'Data shares'!$C:$FA,90)</f>
        <v>130095</v>
      </c>
      <c r="I158" s="86">
        <f>VLOOKUP($A158,'Data shares'!$C:$FA,92)</f>
        <v>10575</v>
      </c>
      <c r="J158" s="87">
        <f>VLOOKUP($A158,'Data shares'!$C:$FA,93)</f>
        <v>8.8499999999999995E-2</v>
      </c>
      <c r="K158" s="86">
        <f>VLOOKUP($A158,'Data shares'!$C:$FA,94)</f>
        <v>53520</v>
      </c>
      <c r="L158" s="86">
        <f>VLOOKUP($A158,'Data shares'!$C:$FA,96)</f>
        <v>2100</v>
      </c>
      <c r="M158" s="87">
        <f>VLOOKUP($A158,'Data shares'!$C:$FA,97)</f>
        <v>4.0800000000000003E-2</v>
      </c>
      <c r="N158" s="86">
        <f>VLOOKUP($A158,'Data shares'!$C:$FA,78)</f>
        <v>253290</v>
      </c>
      <c r="O158" s="87">
        <f>VLOOKUP($A158,'Data shares'!$C:$FA,81)</f>
        <v>1.7500000000000002E-2</v>
      </c>
    </row>
    <row r="159" spans="1:15" x14ac:dyDescent="0.25">
      <c r="A159" s="100" t="str">
        <f>'OI(Value)'!A159</f>
        <v>PATANJALI</v>
      </c>
      <c r="B159" s="82">
        <f>VLOOKUP(A159,'Data shares'!$C$2:$CV$215,98,0)</f>
        <v>49038300</v>
      </c>
      <c r="C159" s="82">
        <f>VLOOKUP(A159,'Data shares'!$C$2:$CX$215,100,0)</f>
        <v>1609200</v>
      </c>
      <c r="D159" s="141">
        <f>VLOOKUP(A159,'Data shares'!$C$2:$CY$538,101,0)</f>
        <v>3.39E-2</v>
      </c>
      <c r="E159" s="86">
        <f>VLOOKUP($A159,'Data shares'!$C:$FA,74)</f>
        <v>37036800</v>
      </c>
      <c r="F159" s="86">
        <f>VLOOKUP($A159,'Data shares'!$C:$FA,76)</f>
        <v>1119600</v>
      </c>
      <c r="G159" s="87">
        <f>VLOOKUP(A159,'Data shares'!$C$2:$CA$215,77,0)</f>
        <v>3.1199999999999999E-2</v>
      </c>
      <c r="H159" s="86">
        <f>VLOOKUP($A159,'Data shares'!$C:$FA,90)</f>
        <v>8106300</v>
      </c>
      <c r="I159" s="86">
        <f>VLOOKUP($A159,'Data shares'!$C:$FA,92)</f>
        <v>184500</v>
      </c>
      <c r="J159" s="87">
        <f>VLOOKUP($A159,'Data shares'!$C:$FA,93)</f>
        <v>2.3300000000000001E-2</v>
      </c>
      <c r="K159" s="86">
        <f>VLOOKUP($A159,'Data shares'!$C:$FA,94)</f>
        <v>3895200</v>
      </c>
      <c r="L159" s="86">
        <f>VLOOKUP($A159,'Data shares'!$C:$FA,96)</f>
        <v>305100</v>
      </c>
      <c r="M159" s="87">
        <f>VLOOKUP($A159,'Data shares'!$C:$FA,97)</f>
        <v>8.5000000000000006E-2</v>
      </c>
      <c r="N159" s="86">
        <f>VLOOKUP($A159,'Data shares'!$C:$FA,78)</f>
        <v>36126000</v>
      </c>
      <c r="O159" s="87">
        <f>VLOOKUP($A159,'Data shares'!$C:$FA,81)</f>
        <v>2.1899999999999999E-2</v>
      </c>
    </row>
    <row r="160" spans="1:15" x14ac:dyDescent="0.25">
      <c r="A160" s="100" t="str">
        <f>'OI(Value)'!A160</f>
        <v>PAYTM</v>
      </c>
      <c r="B160" s="82">
        <f>VLOOKUP(A160,'Data shares'!$C$2:$CV$215,98,0)</f>
        <v>35577200</v>
      </c>
      <c r="C160" s="82">
        <f>VLOOKUP(A160,'Data shares'!$C$2:$CX$215,100,0)</f>
        <v>1501475</v>
      </c>
      <c r="D160" s="141">
        <f>VLOOKUP(A160,'Data shares'!$C$2:$CY$538,101,0)</f>
        <v>4.41E-2</v>
      </c>
      <c r="E160" s="86">
        <f>VLOOKUP($A160,'Data shares'!$C:$FA,74)</f>
        <v>18782575</v>
      </c>
      <c r="F160" s="86">
        <f>VLOOKUP($A160,'Data shares'!$C:$FA,76)</f>
        <v>330600</v>
      </c>
      <c r="G160" s="87">
        <f>VLOOKUP(A160,'Data shares'!$C$2:$CA$215,77,0)</f>
        <v>1.7899999999999999E-2</v>
      </c>
      <c r="H160" s="86">
        <f>VLOOKUP($A160,'Data shares'!$C:$FA,90)</f>
        <v>10890950</v>
      </c>
      <c r="I160" s="86">
        <f>VLOOKUP($A160,'Data shares'!$C:$FA,92)</f>
        <v>1044000</v>
      </c>
      <c r="J160" s="87">
        <f>VLOOKUP($A160,'Data shares'!$C:$FA,93)</f>
        <v>0.106</v>
      </c>
      <c r="K160" s="86">
        <f>VLOOKUP($A160,'Data shares'!$C:$FA,94)</f>
        <v>5903675</v>
      </c>
      <c r="L160" s="86">
        <f>VLOOKUP($A160,'Data shares'!$C:$FA,96)</f>
        <v>126875</v>
      </c>
      <c r="M160" s="87">
        <f>VLOOKUP($A160,'Data shares'!$C:$FA,97)</f>
        <v>2.1999999999999999E-2</v>
      </c>
      <c r="N160" s="86">
        <f>VLOOKUP($A160,'Data shares'!$C:$FA,78)</f>
        <v>17743650</v>
      </c>
      <c r="O160" s="87">
        <f>VLOOKUP($A160,'Data shares'!$C:$FA,81)</f>
        <v>3.5999999999999999E-3</v>
      </c>
    </row>
    <row r="161" spans="1:15" x14ac:dyDescent="0.25">
      <c r="A161" s="100" t="str">
        <f>'OI(Value)'!A161</f>
        <v>PERSISTENT</v>
      </c>
      <c r="B161" s="82">
        <f>VLOOKUP(A161,'Data shares'!$C$2:$CV$215,98,0)</f>
        <v>4053400</v>
      </c>
      <c r="C161" s="82">
        <f>VLOOKUP(A161,'Data shares'!$C$2:$CX$215,100,0)</f>
        <v>119100</v>
      </c>
      <c r="D161" s="141">
        <f>VLOOKUP(A161,'Data shares'!$C$2:$CY$538,101,0)</f>
        <v>3.0300000000000001E-2</v>
      </c>
      <c r="E161" s="86">
        <f>VLOOKUP($A161,'Data shares'!$C:$FA,74)</f>
        <v>2195000</v>
      </c>
      <c r="F161" s="86">
        <f>VLOOKUP($A161,'Data shares'!$C:$FA,76)</f>
        <v>34600</v>
      </c>
      <c r="G161" s="87">
        <f>VLOOKUP(A161,'Data shares'!$C$2:$CA$215,77,0)</f>
        <v>1.6E-2</v>
      </c>
      <c r="H161" s="86">
        <f>VLOOKUP($A161,'Data shares'!$C:$FA,90)</f>
        <v>1179300</v>
      </c>
      <c r="I161" s="86">
        <f>VLOOKUP($A161,'Data shares'!$C:$FA,92)</f>
        <v>69200</v>
      </c>
      <c r="J161" s="87">
        <f>VLOOKUP($A161,'Data shares'!$C:$FA,93)</f>
        <v>6.2300000000000001E-2</v>
      </c>
      <c r="K161" s="86">
        <f>VLOOKUP($A161,'Data shares'!$C:$FA,94)</f>
        <v>679100</v>
      </c>
      <c r="L161" s="86">
        <f>VLOOKUP($A161,'Data shares'!$C:$FA,96)</f>
        <v>15300</v>
      </c>
      <c r="M161" s="87">
        <f>VLOOKUP($A161,'Data shares'!$C:$FA,97)</f>
        <v>2.3E-2</v>
      </c>
      <c r="N161" s="86">
        <f>VLOOKUP($A161,'Data shares'!$C:$FA,78)</f>
        <v>2078900</v>
      </c>
      <c r="O161" s="87">
        <f>VLOOKUP($A161,'Data shares'!$C:$FA,81)</f>
        <v>1.1900000000000001E-2</v>
      </c>
    </row>
    <row r="162" spans="1:15" x14ac:dyDescent="0.25">
      <c r="A162" s="100" t="str">
        <f>'OI(Value)'!A162</f>
        <v>PETRONET</v>
      </c>
      <c r="B162" s="82">
        <f>VLOOKUP(A162,'Data shares'!$C$2:$CV$215,98,0)</f>
        <v>81948200</v>
      </c>
      <c r="C162" s="82">
        <f>VLOOKUP(A162,'Data shares'!$C$2:$CX$215,100,0)</f>
        <v>-953800</v>
      </c>
      <c r="D162" s="141">
        <f>VLOOKUP(A162,'Data shares'!$C$2:$CY$538,101,0)</f>
        <v>-1.15E-2</v>
      </c>
      <c r="E162" s="86">
        <f>VLOOKUP($A162,'Data shares'!$C:$FA,74)</f>
        <v>47247200</v>
      </c>
      <c r="F162" s="86">
        <f>VLOOKUP($A162,'Data shares'!$C:$FA,76)</f>
        <v>-171800</v>
      </c>
      <c r="G162" s="87">
        <f>VLOOKUP(A162,'Data shares'!$C$2:$CA$215,77,0)</f>
        <v>-3.5999999999999999E-3</v>
      </c>
      <c r="H162" s="86">
        <f>VLOOKUP($A162,'Data shares'!$C:$FA,90)</f>
        <v>17231300</v>
      </c>
      <c r="I162" s="86">
        <f>VLOOKUP($A162,'Data shares'!$C:$FA,92)</f>
        <v>-579400</v>
      </c>
      <c r="J162" s="87">
        <f>VLOOKUP($A162,'Data shares'!$C:$FA,93)</f>
        <v>-3.2500000000000001E-2</v>
      </c>
      <c r="K162" s="86">
        <f>VLOOKUP($A162,'Data shares'!$C:$FA,94)</f>
        <v>17469700</v>
      </c>
      <c r="L162" s="86">
        <f>VLOOKUP($A162,'Data shares'!$C:$FA,96)</f>
        <v>-202600</v>
      </c>
      <c r="M162" s="87">
        <f>VLOOKUP($A162,'Data shares'!$C:$FA,97)</f>
        <v>-1.15E-2</v>
      </c>
      <c r="N162" s="86">
        <f>VLOOKUP($A162,'Data shares'!$C:$FA,78)</f>
        <v>43606800</v>
      </c>
      <c r="O162" s="87">
        <f>VLOOKUP($A162,'Data shares'!$C:$FA,81)</f>
        <v>-5.1000000000000004E-3</v>
      </c>
    </row>
    <row r="163" spans="1:15" x14ac:dyDescent="0.25">
      <c r="A163" s="100" t="str">
        <f>'OI(Value)'!A163</f>
        <v>PFC</v>
      </c>
      <c r="B163" s="82">
        <f>VLOOKUP(A163,'Data shares'!$C$2:$CV$215,98,0)</f>
        <v>165958000</v>
      </c>
      <c r="C163" s="82">
        <f>VLOOKUP(A163,'Data shares'!$C$2:$CX$215,100,0)</f>
        <v>-1150500</v>
      </c>
      <c r="D163" s="141">
        <f>VLOOKUP(A163,'Data shares'!$C$2:$CY$538,101,0)</f>
        <v>-6.8999999999999999E-3</v>
      </c>
      <c r="E163" s="86">
        <f>VLOOKUP($A163,'Data shares'!$C:$FA,74)</f>
        <v>86513700</v>
      </c>
      <c r="F163" s="86">
        <f>VLOOKUP($A163,'Data shares'!$C:$FA,76)</f>
        <v>759200</v>
      </c>
      <c r="G163" s="87">
        <f>VLOOKUP(A163,'Data shares'!$C$2:$CA$215,77,0)</f>
        <v>8.8999999999999999E-3</v>
      </c>
      <c r="H163" s="86">
        <f>VLOOKUP($A163,'Data shares'!$C:$FA,90)</f>
        <v>49874500</v>
      </c>
      <c r="I163" s="86">
        <f>VLOOKUP($A163,'Data shares'!$C:$FA,92)</f>
        <v>-2134600</v>
      </c>
      <c r="J163" s="87">
        <f>VLOOKUP($A163,'Data shares'!$C:$FA,93)</f>
        <v>-4.1000000000000002E-2</v>
      </c>
      <c r="K163" s="86">
        <f>VLOOKUP($A163,'Data shares'!$C:$FA,94)</f>
        <v>29569800</v>
      </c>
      <c r="L163" s="86">
        <f>VLOOKUP($A163,'Data shares'!$C:$FA,96)</f>
        <v>224900</v>
      </c>
      <c r="M163" s="87">
        <f>VLOOKUP($A163,'Data shares'!$C:$FA,97)</f>
        <v>7.7000000000000002E-3</v>
      </c>
      <c r="N163" s="86">
        <f>VLOOKUP($A163,'Data shares'!$C:$FA,78)</f>
        <v>76031800</v>
      </c>
      <c r="O163" s="87">
        <f>VLOOKUP($A163,'Data shares'!$C:$FA,81)</f>
        <v>-2.0999999999999999E-3</v>
      </c>
    </row>
    <row r="164" spans="1:15" x14ac:dyDescent="0.25">
      <c r="A164" s="100" t="str">
        <f>'OI(Value)'!A164</f>
        <v>PGEL</v>
      </c>
      <c r="B164" s="82">
        <f>VLOOKUP(A164,'Data shares'!$C$2:$CV$215,98,0)</f>
        <v>24563650</v>
      </c>
      <c r="C164" s="82">
        <f>VLOOKUP(A164,'Data shares'!$C$2:$CX$215,100,0)</f>
        <v>232650</v>
      </c>
      <c r="D164" s="141">
        <f>VLOOKUP(A164,'Data shares'!$C$2:$CY$538,101,0)</f>
        <v>9.5999999999999992E-3</v>
      </c>
      <c r="E164" s="86">
        <f>VLOOKUP($A164,'Data shares'!$C:$FA,74)</f>
        <v>9993850</v>
      </c>
      <c r="F164" s="86">
        <f>VLOOKUP($A164,'Data shares'!$C:$FA,76)</f>
        <v>-41550</v>
      </c>
      <c r="G164" s="87">
        <f>VLOOKUP(A164,'Data shares'!$C$2:$CA$215,77,0)</f>
        <v>-4.1000000000000003E-3</v>
      </c>
      <c r="H164" s="86">
        <f>VLOOKUP($A164,'Data shares'!$C:$FA,90)</f>
        <v>8940150</v>
      </c>
      <c r="I164" s="86">
        <f>VLOOKUP($A164,'Data shares'!$C:$FA,92)</f>
        <v>217300</v>
      </c>
      <c r="J164" s="87">
        <f>VLOOKUP($A164,'Data shares'!$C:$FA,93)</f>
        <v>2.4899999999999999E-2</v>
      </c>
      <c r="K164" s="86">
        <f>VLOOKUP($A164,'Data shares'!$C:$FA,94)</f>
        <v>5629650</v>
      </c>
      <c r="L164" s="86">
        <f>VLOOKUP($A164,'Data shares'!$C:$FA,96)</f>
        <v>56900</v>
      </c>
      <c r="M164" s="87">
        <f>VLOOKUP($A164,'Data shares'!$C:$FA,97)</f>
        <v>1.0200000000000001E-2</v>
      </c>
      <c r="N164" s="86">
        <f>VLOOKUP($A164,'Data shares'!$C:$FA,78)</f>
        <v>9464700</v>
      </c>
      <c r="O164" s="87">
        <f>VLOOKUP($A164,'Data shares'!$C:$FA,81)</f>
        <v>-4.3E-3</v>
      </c>
    </row>
    <row r="165" spans="1:15" x14ac:dyDescent="0.25">
      <c r="A165" s="100" t="str">
        <f>'OI(Value)'!A165</f>
        <v>PHOENIXLTD</v>
      </c>
      <c r="B165" s="82">
        <f>VLOOKUP(A165,'Data shares'!$C$2:$CV$215,98,0)</f>
        <v>5355000</v>
      </c>
      <c r="C165" s="82">
        <f>VLOOKUP(A165,'Data shares'!$C$2:$CX$215,100,0)</f>
        <v>68950</v>
      </c>
      <c r="D165" s="141">
        <f>VLOOKUP(A165,'Data shares'!$C$2:$CY$538,101,0)</f>
        <v>1.2999999999999999E-2</v>
      </c>
      <c r="E165" s="86">
        <f>VLOOKUP($A165,'Data shares'!$C:$FA,74)</f>
        <v>3266900</v>
      </c>
      <c r="F165" s="86">
        <f>VLOOKUP($A165,'Data shares'!$C:$FA,76)</f>
        <v>-37100</v>
      </c>
      <c r="G165" s="87">
        <f>VLOOKUP(A165,'Data shares'!$C$2:$CA$215,77,0)</f>
        <v>-1.12E-2</v>
      </c>
      <c r="H165" s="86">
        <f>VLOOKUP($A165,'Data shares'!$C:$FA,90)</f>
        <v>1387400</v>
      </c>
      <c r="I165" s="86">
        <f>VLOOKUP($A165,'Data shares'!$C:$FA,92)</f>
        <v>75950</v>
      </c>
      <c r="J165" s="87">
        <f>VLOOKUP($A165,'Data shares'!$C:$FA,93)</f>
        <v>5.79E-2</v>
      </c>
      <c r="K165" s="86">
        <f>VLOOKUP($A165,'Data shares'!$C:$FA,94)</f>
        <v>700700</v>
      </c>
      <c r="L165" s="86">
        <f>VLOOKUP($A165,'Data shares'!$C:$FA,96)</f>
        <v>30100</v>
      </c>
      <c r="M165" s="87">
        <f>VLOOKUP($A165,'Data shares'!$C:$FA,97)</f>
        <v>4.4900000000000002E-2</v>
      </c>
      <c r="N165" s="86">
        <f>VLOOKUP($A165,'Data shares'!$C:$FA,78)</f>
        <v>3168900</v>
      </c>
      <c r="O165" s="87">
        <f>VLOOKUP($A165,'Data shares'!$C:$FA,81)</f>
        <v>-1.61E-2</v>
      </c>
    </row>
    <row r="166" spans="1:15" x14ac:dyDescent="0.25">
      <c r="A166" s="100" t="str">
        <f>'OI(Value)'!A166</f>
        <v>PIDILITIND</v>
      </c>
      <c r="B166" s="82">
        <f>VLOOKUP(A166,'Data shares'!$C$2:$CV$215,98,0)</f>
        <v>9684000</v>
      </c>
      <c r="C166" s="82">
        <f>VLOOKUP(A166,'Data shares'!$C$2:$CX$215,100,0)</f>
        <v>231500</v>
      </c>
      <c r="D166" s="141">
        <f>VLOOKUP(A166,'Data shares'!$C$2:$CY$538,101,0)</f>
        <v>2.4500000000000001E-2</v>
      </c>
      <c r="E166" s="86">
        <f>VLOOKUP($A166,'Data shares'!$C:$FA,74)</f>
        <v>7235000</v>
      </c>
      <c r="F166" s="86">
        <f>VLOOKUP($A166,'Data shares'!$C:$FA,76)</f>
        <v>130500</v>
      </c>
      <c r="G166" s="87">
        <f>VLOOKUP(A166,'Data shares'!$C$2:$CA$215,77,0)</f>
        <v>1.84E-2</v>
      </c>
      <c r="H166" s="86">
        <f>VLOOKUP($A166,'Data shares'!$C:$FA,90)</f>
        <v>1411000</v>
      </c>
      <c r="I166" s="86">
        <f>VLOOKUP($A166,'Data shares'!$C:$FA,92)</f>
        <v>101000</v>
      </c>
      <c r="J166" s="87">
        <f>VLOOKUP($A166,'Data shares'!$C:$FA,93)</f>
        <v>7.7100000000000002E-2</v>
      </c>
      <c r="K166" s="86">
        <f>VLOOKUP($A166,'Data shares'!$C:$FA,94)</f>
        <v>1038000</v>
      </c>
      <c r="L166" s="86">
        <f>VLOOKUP($A166,'Data shares'!$C:$FA,96)</f>
        <v>0</v>
      </c>
      <c r="M166" s="87">
        <f>VLOOKUP($A166,'Data shares'!$C:$FA,97)</f>
        <v>0</v>
      </c>
      <c r="N166" s="86">
        <f>VLOOKUP($A166,'Data shares'!$C:$FA,78)</f>
        <v>6468000</v>
      </c>
      <c r="O166" s="87">
        <f>VLOOKUP($A166,'Data shares'!$C:$FA,81)</f>
        <v>-3.8899999999999997E-2</v>
      </c>
    </row>
    <row r="167" spans="1:15" x14ac:dyDescent="0.25">
      <c r="A167" s="100" t="str">
        <f>'OI(Value)'!A167</f>
        <v>PIIND</v>
      </c>
      <c r="B167" s="82">
        <f>VLOOKUP(A167,'Data shares'!$C$2:$CV$215,98,0)</f>
        <v>4482800</v>
      </c>
      <c r="C167" s="82">
        <f>VLOOKUP(A167,'Data shares'!$C$2:$CX$215,100,0)</f>
        <v>9450</v>
      </c>
      <c r="D167" s="141">
        <f>VLOOKUP(A167,'Data shares'!$C$2:$CY$538,101,0)</f>
        <v>2.0999999999999999E-3</v>
      </c>
      <c r="E167" s="86">
        <f>VLOOKUP($A167,'Data shares'!$C:$FA,74)</f>
        <v>2742250</v>
      </c>
      <c r="F167" s="86">
        <f>VLOOKUP($A167,'Data shares'!$C:$FA,76)</f>
        <v>-5250</v>
      </c>
      <c r="G167" s="87">
        <f>VLOOKUP(A167,'Data shares'!$C$2:$CA$215,77,0)</f>
        <v>-1.9E-3</v>
      </c>
      <c r="H167" s="86">
        <f>VLOOKUP($A167,'Data shares'!$C:$FA,90)</f>
        <v>1065750</v>
      </c>
      <c r="I167" s="86">
        <f>VLOOKUP($A167,'Data shares'!$C:$FA,92)</f>
        <v>23450</v>
      </c>
      <c r="J167" s="87">
        <f>VLOOKUP($A167,'Data shares'!$C:$FA,93)</f>
        <v>2.2499999999999999E-2</v>
      </c>
      <c r="K167" s="86">
        <f>VLOOKUP($A167,'Data shares'!$C:$FA,94)</f>
        <v>674800</v>
      </c>
      <c r="L167" s="86">
        <f>VLOOKUP($A167,'Data shares'!$C:$FA,96)</f>
        <v>-8750</v>
      </c>
      <c r="M167" s="87">
        <f>VLOOKUP($A167,'Data shares'!$C:$FA,97)</f>
        <v>-1.2800000000000001E-2</v>
      </c>
      <c r="N167" s="86">
        <f>VLOOKUP($A167,'Data shares'!$C:$FA,78)</f>
        <v>2448250</v>
      </c>
      <c r="O167" s="87">
        <f>VLOOKUP($A167,'Data shares'!$C:$FA,81)</f>
        <v>-8.6E-3</v>
      </c>
    </row>
    <row r="168" spans="1:15" x14ac:dyDescent="0.25">
      <c r="A168" s="100" t="str">
        <f>'OI(Value)'!A168</f>
        <v>PNB</v>
      </c>
      <c r="B168" s="82">
        <f>VLOOKUP(A168,'Data shares'!$C$2:$CV$215,98,0)</f>
        <v>529536000</v>
      </c>
      <c r="C168" s="82">
        <f>VLOOKUP(A168,'Data shares'!$C$2:$CX$215,100,0)</f>
        <v>-4336000</v>
      </c>
      <c r="D168" s="141">
        <f>VLOOKUP(A168,'Data shares'!$C$2:$CY$538,101,0)</f>
        <v>-8.0999999999999996E-3</v>
      </c>
      <c r="E168" s="86">
        <f>VLOOKUP($A168,'Data shares'!$C:$FA,74)</f>
        <v>245896000</v>
      </c>
      <c r="F168" s="86">
        <f>VLOOKUP($A168,'Data shares'!$C:$FA,76)</f>
        <v>1608000</v>
      </c>
      <c r="G168" s="87">
        <f>VLOOKUP(A168,'Data shares'!$C$2:$CA$215,77,0)</f>
        <v>6.6E-3</v>
      </c>
      <c r="H168" s="86">
        <f>VLOOKUP($A168,'Data shares'!$C:$FA,90)</f>
        <v>183008000</v>
      </c>
      <c r="I168" s="86">
        <f>VLOOKUP($A168,'Data shares'!$C:$FA,92)</f>
        <v>-7632000</v>
      </c>
      <c r="J168" s="87">
        <f>VLOOKUP($A168,'Data shares'!$C:$FA,93)</f>
        <v>-0.04</v>
      </c>
      <c r="K168" s="86">
        <f>VLOOKUP($A168,'Data shares'!$C:$FA,94)</f>
        <v>100632000</v>
      </c>
      <c r="L168" s="86">
        <f>VLOOKUP($A168,'Data shares'!$C:$FA,96)</f>
        <v>1688000</v>
      </c>
      <c r="M168" s="87">
        <f>VLOOKUP($A168,'Data shares'!$C:$FA,97)</f>
        <v>1.7100000000000001E-2</v>
      </c>
      <c r="N168" s="86">
        <f>VLOOKUP($A168,'Data shares'!$C:$FA,78)</f>
        <v>211368000</v>
      </c>
      <c r="O168" s="87">
        <f>VLOOKUP($A168,'Data shares'!$C:$FA,81)</f>
        <v>-1.46E-2</v>
      </c>
    </row>
    <row r="169" spans="1:15" x14ac:dyDescent="0.25">
      <c r="A169" s="100" t="str">
        <f>'OI(Value)'!A169</f>
        <v>PNBHOUSING</v>
      </c>
      <c r="B169" s="82">
        <f>VLOOKUP(A169,'Data shares'!$C$2:$CV$215,98,0)</f>
        <v>28679950</v>
      </c>
      <c r="C169" s="82">
        <f>VLOOKUP(A169,'Data shares'!$C$2:$CX$215,100,0)</f>
        <v>-391300</v>
      </c>
      <c r="D169" s="141">
        <f>VLOOKUP(A169,'Data shares'!$C$2:$CY$538,101,0)</f>
        <v>-1.35E-2</v>
      </c>
      <c r="E169" s="86">
        <f>VLOOKUP($A169,'Data shares'!$C:$FA,74)</f>
        <v>16359850</v>
      </c>
      <c r="F169" s="86">
        <f>VLOOKUP($A169,'Data shares'!$C:$FA,76)</f>
        <v>103350</v>
      </c>
      <c r="G169" s="87">
        <f>VLOOKUP(A169,'Data shares'!$C$2:$CA$215,77,0)</f>
        <v>6.4000000000000003E-3</v>
      </c>
      <c r="H169" s="86">
        <f>VLOOKUP($A169,'Data shares'!$C:$FA,90)</f>
        <v>7615400</v>
      </c>
      <c r="I169" s="86">
        <f>VLOOKUP($A169,'Data shares'!$C:$FA,92)</f>
        <v>-361400</v>
      </c>
      <c r="J169" s="87">
        <f>VLOOKUP($A169,'Data shares'!$C:$FA,93)</f>
        <v>-4.53E-2</v>
      </c>
      <c r="K169" s="86">
        <f>VLOOKUP($A169,'Data shares'!$C:$FA,94)</f>
        <v>4704700</v>
      </c>
      <c r="L169" s="86">
        <f>VLOOKUP($A169,'Data shares'!$C:$FA,96)</f>
        <v>-133250</v>
      </c>
      <c r="M169" s="87">
        <f>VLOOKUP($A169,'Data shares'!$C:$FA,97)</f>
        <v>-2.75E-2</v>
      </c>
      <c r="N169" s="86">
        <f>VLOOKUP($A169,'Data shares'!$C:$FA,78)</f>
        <v>15721550</v>
      </c>
      <c r="O169" s="87">
        <f>VLOOKUP($A169,'Data shares'!$C:$FA,81)</f>
        <v>1.1999999999999999E-3</v>
      </c>
    </row>
    <row r="170" spans="1:15" x14ac:dyDescent="0.25">
      <c r="A170" s="100" t="str">
        <f>'OI(Value)'!A170</f>
        <v>POLICYBZR</v>
      </c>
      <c r="B170" s="82">
        <f>VLOOKUP(A170,'Data shares'!$C$2:$CV$215,98,0)</f>
        <v>12266800</v>
      </c>
      <c r="C170" s="82">
        <f>VLOOKUP(A170,'Data shares'!$C$2:$CX$215,100,0)</f>
        <v>-15050</v>
      </c>
      <c r="D170" s="141">
        <f>VLOOKUP(A170,'Data shares'!$C$2:$CY$538,101,0)</f>
        <v>-1.1999999999999999E-3</v>
      </c>
      <c r="E170" s="86">
        <f>VLOOKUP($A170,'Data shares'!$C:$FA,74)</f>
        <v>6598900</v>
      </c>
      <c r="F170" s="86">
        <f>VLOOKUP($A170,'Data shares'!$C:$FA,76)</f>
        <v>-241150</v>
      </c>
      <c r="G170" s="87">
        <f>VLOOKUP(A170,'Data shares'!$C$2:$CA$215,77,0)</f>
        <v>-3.5299999999999998E-2</v>
      </c>
      <c r="H170" s="86">
        <f>VLOOKUP($A170,'Data shares'!$C:$FA,90)</f>
        <v>3489500</v>
      </c>
      <c r="I170" s="86">
        <f>VLOOKUP($A170,'Data shares'!$C:$FA,92)</f>
        <v>318850</v>
      </c>
      <c r="J170" s="87">
        <f>VLOOKUP($A170,'Data shares'!$C:$FA,93)</f>
        <v>0.10059999999999999</v>
      </c>
      <c r="K170" s="86">
        <f>VLOOKUP($A170,'Data shares'!$C:$FA,94)</f>
        <v>2178400</v>
      </c>
      <c r="L170" s="86">
        <f>VLOOKUP($A170,'Data shares'!$C:$FA,96)</f>
        <v>-92750</v>
      </c>
      <c r="M170" s="87">
        <f>VLOOKUP($A170,'Data shares'!$C:$FA,97)</f>
        <v>-4.0800000000000003E-2</v>
      </c>
      <c r="N170" s="86">
        <f>VLOOKUP($A170,'Data shares'!$C:$FA,78)</f>
        <v>6081250</v>
      </c>
      <c r="O170" s="87">
        <f>VLOOKUP($A170,'Data shares'!$C:$FA,81)</f>
        <v>-2.7199999999999998E-2</v>
      </c>
    </row>
    <row r="171" spans="1:15" x14ac:dyDescent="0.25">
      <c r="A171" s="100" t="str">
        <f>'OI(Value)'!A171</f>
        <v>POLYCAB</v>
      </c>
      <c r="B171" s="82">
        <f>VLOOKUP(A171,'Data shares'!$C$2:$CV$215,98,0)</f>
        <v>4015750</v>
      </c>
      <c r="C171" s="82">
        <f>VLOOKUP(A171,'Data shares'!$C$2:$CX$215,100,0)</f>
        <v>831375</v>
      </c>
      <c r="D171" s="141">
        <f>VLOOKUP(A171,'Data shares'!$C$2:$CY$538,101,0)</f>
        <v>0.2611</v>
      </c>
      <c r="E171" s="86">
        <f>VLOOKUP($A171,'Data shares'!$C:$FA,74)</f>
        <v>2228750</v>
      </c>
      <c r="F171" s="86">
        <f>VLOOKUP($A171,'Data shares'!$C:$FA,76)</f>
        <v>333375</v>
      </c>
      <c r="G171" s="87">
        <f>VLOOKUP(A171,'Data shares'!$C$2:$CA$215,77,0)</f>
        <v>0.1759</v>
      </c>
      <c r="H171" s="86">
        <f>VLOOKUP($A171,'Data shares'!$C:$FA,90)</f>
        <v>1079375</v>
      </c>
      <c r="I171" s="86">
        <f>VLOOKUP($A171,'Data shares'!$C:$FA,92)</f>
        <v>309750</v>
      </c>
      <c r="J171" s="87">
        <f>VLOOKUP($A171,'Data shares'!$C:$FA,93)</f>
        <v>0.40250000000000002</v>
      </c>
      <c r="K171" s="86">
        <f>VLOOKUP($A171,'Data shares'!$C:$FA,94)</f>
        <v>707625</v>
      </c>
      <c r="L171" s="86">
        <f>VLOOKUP($A171,'Data shares'!$C:$FA,96)</f>
        <v>188250</v>
      </c>
      <c r="M171" s="87">
        <f>VLOOKUP($A171,'Data shares'!$C:$FA,97)</f>
        <v>0.36249999999999999</v>
      </c>
      <c r="N171" s="86">
        <f>VLOOKUP($A171,'Data shares'!$C:$FA,78)</f>
        <v>2065000</v>
      </c>
      <c r="O171" s="87">
        <f>VLOOKUP($A171,'Data shares'!$C:$FA,81)</f>
        <v>0.15640000000000001</v>
      </c>
    </row>
    <row r="172" spans="1:15" x14ac:dyDescent="0.25">
      <c r="A172" s="100" t="str">
        <f>'OI(Value)'!A172</f>
        <v>POWERGRID</v>
      </c>
      <c r="B172" s="82">
        <f>VLOOKUP(A172,'Data shares'!$C$2:$CV$215,98,0)</f>
        <v>138684800</v>
      </c>
      <c r="C172" s="82">
        <f>VLOOKUP(A172,'Data shares'!$C$2:$CX$215,100,0)</f>
        <v>942400</v>
      </c>
      <c r="D172" s="141">
        <f>VLOOKUP(A172,'Data shares'!$C$2:$CY$538,101,0)</f>
        <v>6.7999999999999996E-3</v>
      </c>
      <c r="E172" s="86">
        <f>VLOOKUP($A172,'Data shares'!$C:$FA,74)</f>
        <v>82860900</v>
      </c>
      <c r="F172" s="86">
        <f>VLOOKUP($A172,'Data shares'!$C:$FA,76)</f>
        <v>1681500</v>
      </c>
      <c r="G172" s="87">
        <f>VLOOKUP(A172,'Data shares'!$C$2:$CA$215,77,0)</f>
        <v>2.07E-2</v>
      </c>
      <c r="H172" s="86">
        <f>VLOOKUP($A172,'Data shares'!$C:$FA,90)</f>
        <v>34751000</v>
      </c>
      <c r="I172" s="86">
        <f>VLOOKUP($A172,'Data shares'!$C:$FA,92)</f>
        <v>-687800</v>
      </c>
      <c r="J172" s="87">
        <f>VLOOKUP($A172,'Data shares'!$C:$FA,93)</f>
        <v>-1.9400000000000001E-2</v>
      </c>
      <c r="K172" s="86">
        <f>VLOOKUP($A172,'Data shares'!$C:$FA,94)</f>
        <v>21072900</v>
      </c>
      <c r="L172" s="86">
        <f>VLOOKUP($A172,'Data shares'!$C:$FA,96)</f>
        <v>-51300</v>
      </c>
      <c r="M172" s="87">
        <f>VLOOKUP($A172,'Data shares'!$C:$FA,97)</f>
        <v>-2.3999999999999998E-3</v>
      </c>
      <c r="N172" s="86">
        <f>VLOOKUP($A172,'Data shares'!$C:$FA,78)</f>
        <v>73545200</v>
      </c>
      <c r="O172" s="87">
        <f>VLOOKUP($A172,'Data shares'!$C:$FA,81)</f>
        <v>1.4999999999999999E-2</v>
      </c>
    </row>
    <row r="173" spans="1:15" x14ac:dyDescent="0.25">
      <c r="A173" s="100" t="str">
        <f>'OI(Value)'!A173</f>
        <v>POWERINDIA</v>
      </c>
      <c r="B173" s="82">
        <f>VLOOKUP(A173,'Data shares'!$C$2:$CV$215,98,0)</f>
        <v>988750</v>
      </c>
      <c r="C173" s="82">
        <f>VLOOKUP(A173,'Data shares'!$C$2:$CX$215,100,0)</f>
        <v>-46650</v>
      </c>
      <c r="D173" s="141">
        <f>VLOOKUP(A173,'Data shares'!$C$2:$CY$538,101,0)</f>
        <v>-4.5100000000000001E-2</v>
      </c>
      <c r="E173" s="86">
        <f>VLOOKUP($A173,'Data shares'!$C:$FA,74)</f>
        <v>268300</v>
      </c>
      <c r="F173" s="86">
        <f>VLOOKUP($A173,'Data shares'!$C:$FA,76)</f>
        <v>-10750</v>
      </c>
      <c r="G173" s="87">
        <f>VLOOKUP(A173,'Data shares'!$C$2:$CA$215,77,0)</f>
        <v>-3.85E-2</v>
      </c>
      <c r="H173" s="86">
        <f>VLOOKUP($A173,'Data shares'!$C:$FA,90)</f>
        <v>522200</v>
      </c>
      <c r="I173" s="86">
        <f>VLOOKUP($A173,'Data shares'!$C:$FA,92)</f>
        <v>-28350</v>
      </c>
      <c r="J173" s="87">
        <f>VLOOKUP($A173,'Data shares'!$C:$FA,93)</f>
        <v>-5.1499999999999997E-2</v>
      </c>
      <c r="K173" s="86">
        <f>VLOOKUP($A173,'Data shares'!$C:$FA,94)</f>
        <v>198250</v>
      </c>
      <c r="L173" s="86">
        <f>VLOOKUP($A173,'Data shares'!$C:$FA,96)</f>
        <v>-7550</v>
      </c>
      <c r="M173" s="87">
        <f>VLOOKUP($A173,'Data shares'!$C:$FA,97)</f>
        <v>-3.6700000000000003E-2</v>
      </c>
      <c r="N173" s="86">
        <f>VLOOKUP($A173,'Data shares'!$C:$FA,78)</f>
        <v>254100</v>
      </c>
      <c r="O173" s="87">
        <f>VLOOKUP($A173,'Data shares'!$C:$FA,81)</f>
        <v>-3.7699999999999997E-2</v>
      </c>
    </row>
    <row r="174" spans="1:15" x14ac:dyDescent="0.25">
      <c r="A174" s="100" t="str">
        <f>'OI(Value)'!A174</f>
        <v>PPLPHARMA</v>
      </c>
      <c r="B174" s="82">
        <f>VLOOKUP(A174,'Data shares'!$C$2:$CV$215,98,0)</f>
        <v>54202875</v>
      </c>
      <c r="C174" s="82">
        <f>VLOOKUP(A174,'Data shares'!$C$2:$CX$215,100,0)</f>
        <v>-56000</v>
      </c>
      <c r="D174" s="141">
        <f>VLOOKUP(A174,'Data shares'!$C$2:$CY$538,101,0)</f>
        <v>-1E-3</v>
      </c>
      <c r="E174" s="86">
        <f>VLOOKUP($A174,'Data shares'!$C:$FA,74)</f>
        <v>28399125</v>
      </c>
      <c r="F174" s="86">
        <f>VLOOKUP($A174,'Data shares'!$C:$FA,76)</f>
        <v>-139375</v>
      </c>
      <c r="G174" s="87">
        <f>VLOOKUP(A174,'Data shares'!$C$2:$CA$215,77,0)</f>
        <v>-4.8999999999999998E-3</v>
      </c>
      <c r="H174" s="86">
        <f>VLOOKUP($A174,'Data shares'!$C:$FA,90)</f>
        <v>18073000</v>
      </c>
      <c r="I174" s="86">
        <f>VLOOKUP($A174,'Data shares'!$C:$FA,92)</f>
        <v>-283625</v>
      </c>
      <c r="J174" s="87">
        <f>VLOOKUP($A174,'Data shares'!$C:$FA,93)</f>
        <v>-1.55E-2</v>
      </c>
      <c r="K174" s="86">
        <f>VLOOKUP($A174,'Data shares'!$C:$FA,94)</f>
        <v>7730750</v>
      </c>
      <c r="L174" s="86">
        <f>VLOOKUP($A174,'Data shares'!$C:$FA,96)</f>
        <v>367000</v>
      </c>
      <c r="M174" s="87">
        <f>VLOOKUP($A174,'Data shares'!$C:$FA,97)</f>
        <v>4.9799999999999997E-2</v>
      </c>
      <c r="N174" s="86">
        <f>VLOOKUP($A174,'Data shares'!$C:$FA,78)</f>
        <v>24847500</v>
      </c>
      <c r="O174" s="87">
        <f>VLOOKUP($A174,'Data shares'!$C:$FA,81)</f>
        <v>-1.23E-2</v>
      </c>
    </row>
    <row r="175" spans="1:15" x14ac:dyDescent="0.25">
      <c r="A175" s="100" t="str">
        <f>'OI(Value)'!A175</f>
        <v>PRESTIGE</v>
      </c>
      <c r="B175" s="82">
        <f>VLOOKUP(A175,'Data shares'!$C$2:$CV$215,98,0)</f>
        <v>7461000</v>
      </c>
      <c r="C175" s="82">
        <f>VLOOKUP(A175,'Data shares'!$C$2:$CX$215,100,0)</f>
        <v>99000</v>
      </c>
      <c r="D175" s="141">
        <f>VLOOKUP(A175,'Data shares'!$C$2:$CY$538,101,0)</f>
        <v>1.34E-2</v>
      </c>
      <c r="E175" s="86">
        <f>VLOOKUP($A175,'Data shares'!$C:$FA,74)</f>
        <v>4110300</v>
      </c>
      <c r="F175" s="86">
        <f>VLOOKUP($A175,'Data shares'!$C:$FA,76)</f>
        <v>46350</v>
      </c>
      <c r="G175" s="87">
        <f>VLOOKUP(A175,'Data shares'!$C$2:$CA$215,77,0)</f>
        <v>1.14E-2</v>
      </c>
      <c r="H175" s="86">
        <f>VLOOKUP($A175,'Data shares'!$C:$FA,90)</f>
        <v>2034900</v>
      </c>
      <c r="I175" s="86">
        <f>VLOOKUP($A175,'Data shares'!$C:$FA,92)</f>
        <v>58050</v>
      </c>
      <c r="J175" s="87">
        <f>VLOOKUP($A175,'Data shares'!$C:$FA,93)</f>
        <v>2.9399999999999999E-2</v>
      </c>
      <c r="K175" s="86">
        <f>VLOOKUP($A175,'Data shares'!$C:$FA,94)</f>
        <v>1315800</v>
      </c>
      <c r="L175" s="86">
        <f>VLOOKUP($A175,'Data shares'!$C:$FA,96)</f>
        <v>-5400</v>
      </c>
      <c r="M175" s="87">
        <f>VLOOKUP($A175,'Data shares'!$C:$FA,97)</f>
        <v>-4.1000000000000003E-3</v>
      </c>
      <c r="N175" s="86">
        <f>VLOOKUP($A175,'Data shares'!$C:$FA,78)</f>
        <v>4010850</v>
      </c>
      <c r="O175" s="87">
        <f>VLOOKUP($A175,'Data shares'!$C:$FA,81)</f>
        <v>2.8E-3</v>
      </c>
    </row>
    <row r="176" spans="1:15" x14ac:dyDescent="0.25">
      <c r="A176" s="100" t="str">
        <f>'OI(Value)'!A176</f>
        <v>RBLBANK</v>
      </c>
      <c r="B176" s="82">
        <f>VLOOKUP(A176,'Data shares'!$C$2:$CV$215,98,0)</f>
        <v>122097800</v>
      </c>
      <c r="C176" s="82">
        <f>VLOOKUP(A176,'Data shares'!$C$2:$CX$215,100,0)</f>
        <v>5514975</v>
      </c>
      <c r="D176" s="141">
        <f>VLOOKUP(A176,'Data shares'!$C$2:$CY$538,101,0)</f>
        <v>4.7300000000000002E-2</v>
      </c>
      <c r="E176" s="86">
        <f>VLOOKUP($A176,'Data shares'!$C:$FA,74)</f>
        <v>77479525</v>
      </c>
      <c r="F176" s="86">
        <f>VLOOKUP($A176,'Data shares'!$C:$FA,76)</f>
        <v>1727200</v>
      </c>
      <c r="G176" s="87">
        <f>VLOOKUP(A176,'Data shares'!$C$2:$CA$215,77,0)</f>
        <v>2.2800000000000001E-2</v>
      </c>
      <c r="H176" s="86">
        <f>VLOOKUP($A176,'Data shares'!$C:$FA,90)</f>
        <v>27406600</v>
      </c>
      <c r="I176" s="86">
        <f>VLOOKUP($A176,'Data shares'!$C:$FA,92)</f>
        <v>2289175</v>
      </c>
      <c r="J176" s="87">
        <f>VLOOKUP($A176,'Data shares'!$C:$FA,93)</f>
        <v>9.11E-2</v>
      </c>
      <c r="K176" s="86">
        <f>VLOOKUP($A176,'Data shares'!$C:$FA,94)</f>
        <v>17211675</v>
      </c>
      <c r="L176" s="86">
        <f>VLOOKUP($A176,'Data shares'!$C:$FA,96)</f>
        <v>1498600</v>
      </c>
      <c r="M176" s="87">
        <f>VLOOKUP($A176,'Data shares'!$C:$FA,97)</f>
        <v>9.5399999999999999E-2</v>
      </c>
      <c r="N176" s="86">
        <f>VLOOKUP($A176,'Data shares'!$C:$FA,78)</f>
        <v>74615675</v>
      </c>
      <c r="O176" s="87">
        <f>VLOOKUP($A176,'Data shares'!$C:$FA,81)</f>
        <v>1.44E-2</v>
      </c>
    </row>
    <row r="177" spans="1:15" x14ac:dyDescent="0.25">
      <c r="A177" s="100" t="str">
        <f>'OI(Value)'!A177</f>
        <v>RECLTD</v>
      </c>
      <c r="B177" s="82">
        <f>VLOOKUP(A177,'Data shares'!$C$2:$CV$215,98,0)</f>
        <v>185029475</v>
      </c>
      <c r="C177" s="82">
        <f>VLOOKUP(A177,'Data shares'!$C$2:$CX$215,100,0)</f>
        <v>2865375</v>
      </c>
      <c r="D177" s="141">
        <f>VLOOKUP(A177,'Data shares'!$C$2:$CY$538,101,0)</f>
        <v>1.5699999999999999E-2</v>
      </c>
      <c r="E177" s="86">
        <f>VLOOKUP($A177,'Data shares'!$C:$FA,74)</f>
        <v>102975925</v>
      </c>
      <c r="F177" s="86">
        <f>VLOOKUP($A177,'Data shares'!$C:$FA,76)</f>
        <v>431150</v>
      </c>
      <c r="G177" s="87">
        <f>VLOOKUP(A177,'Data shares'!$C$2:$CA$215,77,0)</f>
        <v>4.1999999999999997E-3</v>
      </c>
      <c r="H177" s="86">
        <f>VLOOKUP($A177,'Data shares'!$C:$FA,90)</f>
        <v>50973275</v>
      </c>
      <c r="I177" s="86">
        <f>VLOOKUP($A177,'Data shares'!$C:$FA,92)</f>
        <v>1493600</v>
      </c>
      <c r="J177" s="87">
        <f>VLOOKUP($A177,'Data shares'!$C:$FA,93)</f>
        <v>3.0200000000000001E-2</v>
      </c>
      <c r="K177" s="86">
        <f>VLOOKUP($A177,'Data shares'!$C:$FA,94)</f>
        <v>31080275</v>
      </c>
      <c r="L177" s="86">
        <f>VLOOKUP($A177,'Data shares'!$C:$FA,96)</f>
        <v>940625</v>
      </c>
      <c r="M177" s="87">
        <f>VLOOKUP($A177,'Data shares'!$C:$FA,97)</f>
        <v>3.1199999999999999E-2</v>
      </c>
      <c r="N177" s="86">
        <f>VLOOKUP($A177,'Data shares'!$C:$FA,78)</f>
        <v>91931325</v>
      </c>
      <c r="O177" s="87">
        <f>VLOOKUP($A177,'Data shares'!$C:$FA,81)</f>
        <v>-1.1000000000000001E-3</v>
      </c>
    </row>
    <row r="178" spans="1:15" x14ac:dyDescent="0.25">
      <c r="A178" s="100" t="str">
        <f>'OI(Value)'!A178</f>
        <v>RELIANCE</v>
      </c>
      <c r="B178" s="82">
        <f>VLOOKUP(A178,'Data shares'!$C$2:$CV$215,98,0)</f>
        <v>178590500</v>
      </c>
      <c r="C178" s="82">
        <f>VLOOKUP(A178,'Data shares'!$C$2:$CX$215,100,0)</f>
        <v>561500</v>
      </c>
      <c r="D178" s="141">
        <f>VLOOKUP(A178,'Data shares'!$C$2:$CY$538,101,0)</f>
        <v>3.2000000000000002E-3</v>
      </c>
      <c r="E178" s="86">
        <f>VLOOKUP($A178,'Data shares'!$C:$FA,74)</f>
        <v>99199000</v>
      </c>
      <c r="F178" s="86">
        <f>VLOOKUP($A178,'Data shares'!$C:$FA,76)</f>
        <v>-215000</v>
      </c>
      <c r="G178" s="87">
        <f>VLOOKUP(A178,'Data shares'!$C$2:$CA$215,77,0)</f>
        <v>-2.2000000000000001E-3</v>
      </c>
      <c r="H178" s="86">
        <f>VLOOKUP($A178,'Data shares'!$C:$FA,90)</f>
        <v>51853000</v>
      </c>
      <c r="I178" s="86">
        <f>VLOOKUP($A178,'Data shares'!$C:$FA,92)</f>
        <v>-37500</v>
      </c>
      <c r="J178" s="87">
        <f>VLOOKUP($A178,'Data shares'!$C:$FA,93)</f>
        <v>-6.9999999999999999E-4</v>
      </c>
      <c r="K178" s="86">
        <f>VLOOKUP($A178,'Data shares'!$C:$FA,94)</f>
        <v>27538500</v>
      </c>
      <c r="L178" s="86">
        <f>VLOOKUP($A178,'Data shares'!$C:$FA,96)</f>
        <v>814000</v>
      </c>
      <c r="M178" s="87">
        <f>VLOOKUP($A178,'Data shares'!$C:$FA,97)</f>
        <v>3.0499999999999999E-2</v>
      </c>
      <c r="N178" s="86">
        <f>VLOOKUP($A178,'Data shares'!$C:$FA,78)</f>
        <v>87623000</v>
      </c>
      <c r="O178" s="87">
        <f>VLOOKUP($A178,'Data shares'!$C:$FA,81)</f>
        <v>-1.77E-2</v>
      </c>
    </row>
    <row r="179" spans="1:15" x14ac:dyDescent="0.25">
      <c r="A179" s="100" t="str">
        <f>'OI(Value)'!A179</f>
        <v>RVNL</v>
      </c>
      <c r="B179" s="82">
        <f>VLOOKUP(A179,'Data shares'!$C$2:$CV$215,98,0)</f>
        <v>79450200</v>
      </c>
      <c r="C179" s="82">
        <f>VLOOKUP(A179,'Data shares'!$C$2:$CX$215,100,0)</f>
        <v>2026425</v>
      </c>
      <c r="D179" s="141">
        <f>VLOOKUP(A179,'Data shares'!$C$2:$CY$538,101,0)</f>
        <v>2.6200000000000001E-2</v>
      </c>
      <c r="E179" s="86">
        <f>VLOOKUP($A179,'Data shares'!$C:$FA,74)</f>
        <v>48076325</v>
      </c>
      <c r="F179" s="86">
        <f>VLOOKUP($A179,'Data shares'!$C:$FA,76)</f>
        <v>892325</v>
      </c>
      <c r="G179" s="87">
        <f>VLOOKUP(A179,'Data shares'!$C$2:$CA$215,77,0)</f>
        <v>1.89E-2</v>
      </c>
      <c r="H179" s="86">
        <f>VLOOKUP($A179,'Data shares'!$C:$FA,90)</f>
        <v>21544725</v>
      </c>
      <c r="I179" s="86">
        <f>VLOOKUP($A179,'Data shares'!$C:$FA,92)</f>
        <v>1188225</v>
      </c>
      <c r="J179" s="87">
        <f>VLOOKUP($A179,'Data shares'!$C:$FA,93)</f>
        <v>5.8400000000000001E-2</v>
      </c>
      <c r="K179" s="86">
        <f>VLOOKUP($A179,'Data shares'!$C:$FA,94)</f>
        <v>9829150</v>
      </c>
      <c r="L179" s="86">
        <f>VLOOKUP($A179,'Data shares'!$C:$FA,96)</f>
        <v>-54125</v>
      </c>
      <c r="M179" s="87">
        <f>VLOOKUP($A179,'Data shares'!$C:$FA,97)</f>
        <v>-5.4999999999999997E-3</v>
      </c>
      <c r="N179" s="86">
        <f>VLOOKUP($A179,'Data shares'!$C:$FA,78)</f>
        <v>39051375</v>
      </c>
      <c r="O179" s="87">
        <f>VLOOKUP($A179,'Data shares'!$C:$FA,81)</f>
        <v>2.8E-3</v>
      </c>
    </row>
    <row r="180" spans="1:15" x14ac:dyDescent="0.25">
      <c r="A180" s="100" t="str">
        <f>'OI(Value)'!A180</f>
        <v>SAIL</v>
      </c>
      <c r="B180" s="82">
        <f>VLOOKUP(A180,'Data shares'!$C$2:$CV$215,98,0)</f>
        <v>258481200</v>
      </c>
      <c r="C180" s="82">
        <f>VLOOKUP(A180,'Data shares'!$C$2:$CX$215,100,0)</f>
        <v>-2176100</v>
      </c>
      <c r="D180" s="141">
        <f>VLOOKUP(A180,'Data shares'!$C$2:$CY$538,101,0)</f>
        <v>-8.3000000000000001E-3</v>
      </c>
      <c r="E180" s="86">
        <f>VLOOKUP($A180,'Data shares'!$C:$FA,74)</f>
        <v>175822300</v>
      </c>
      <c r="F180" s="86">
        <f>VLOOKUP($A180,'Data shares'!$C:$FA,76)</f>
        <v>-1795400</v>
      </c>
      <c r="G180" s="87">
        <f>VLOOKUP(A180,'Data shares'!$C$2:$CA$215,77,0)</f>
        <v>-1.01E-2</v>
      </c>
      <c r="H180" s="86">
        <f>VLOOKUP($A180,'Data shares'!$C:$FA,90)</f>
        <v>52846800</v>
      </c>
      <c r="I180" s="86">
        <f>VLOOKUP($A180,'Data shares'!$C:$FA,92)</f>
        <v>-408900</v>
      </c>
      <c r="J180" s="87">
        <f>VLOOKUP($A180,'Data shares'!$C:$FA,93)</f>
        <v>-7.7000000000000002E-3</v>
      </c>
      <c r="K180" s="86">
        <f>VLOOKUP($A180,'Data shares'!$C:$FA,94)</f>
        <v>29812100</v>
      </c>
      <c r="L180" s="86">
        <f>VLOOKUP($A180,'Data shares'!$C:$FA,96)</f>
        <v>28200</v>
      </c>
      <c r="M180" s="87">
        <f>VLOOKUP($A180,'Data shares'!$C:$FA,97)</f>
        <v>8.9999999999999998E-4</v>
      </c>
      <c r="N180" s="86">
        <f>VLOOKUP($A180,'Data shares'!$C:$FA,78)</f>
        <v>156580500</v>
      </c>
      <c r="O180" s="87">
        <f>VLOOKUP($A180,'Data shares'!$C:$FA,81)</f>
        <v>-1.84E-2</v>
      </c>
    </row>
    <row r="181" spans="1:15" x14ac:dyDescent="0.25">
      <c r="A181" s="100" t="str">
        <f>'OI(Value)'!A181</f>
        <v>SAMMAANCAP</v>
      </c>
      <c r="B181" s="82">
        <f>VLOOKUP(A181,'Data shares'!$C$2:$CV$215,98,0)</f>
        <v>220564200</v>
      </c>
      <c r="C181" s="82">
        <f>VLOOKUP(A181,'Data shares'!$C$2:$CX$215,100,0)</f>
        <v>31514700</v>
      </c>
      <c r="D181" s="141">
        <f>VLOOKUP(A181,'Data shares'!$C$2:$CY$538,101,0)</f>
        <v>0.16669999999999999</v>
      </c>
      <c r="E181" s="86">
        <f>VLOOKUP($A181,'Data shares'!$C:$FA,74)</f>
        <v>114190800</v>
      </c>
      <c r="F181" s="86">
        <f>VLOOKUP($A181,'Data shares'!$C:$FA,76)</f>
        <v>9094500</v>
      </c>
      <c r="G181" s="87">
        <f>VLOOKUP(A181,'Data shares'!$C$2:$CA$215,77,0)</f>
        <v>8.6499999999999994E-2</v>
      </c>
      <c r="H181" s="86">
        <f>VLOOKUP($A181,'Data shares'!$C:$FA,90)</f>
        <v>65299800</v>
      </c>
      <c r="I181" s="86">
        <f>VLOOKUP($A181,'Data shares'!$C:$FA,92)</f>
        <v>10960700</v>
      </c>
      <c r="J181" s="87">
        <f>VLOOKUP($A181,'Data shares'!$C:$FA,93)</f>
        <v>0.20169999999999999</v>
      </c>
      <c r="K181" s="86">
        <f>VLOOKUP($A181,'Data shares'!$C:$FA,94)</f>
        <v>41073600</v>
      </c>
      <c r="L181" s="86">
        <f>VLOOKUP($A181,'Data shares'!$C:$FA,96)</f>
        <v>11459500</v>
      </c>
      <c r="M181" s="87">
        <f>VLOOKUP($A181,'Data shares'!$C:$FA,97)</f>
        <v>0.38700000000000001</v>
      </c>
      <c r="N181" s="86">
        <f>VLOOKUP($A181,'Data shares'!$C:$FA,78)</f>
        <v>85303400</v>
      </c>
      <c r="O181" s="87">
        <f>VLOOKUP($A181,'Data shares'!$C:$FA,81)</f>
        <v>-4.6899999999999997E-2</v>
      </c>
    </row>
    <row r="182" spans="1:15" x14ac:dyDescent="0.25">
      <c r="A182" s="100" t="str">
        <f>'OI(Value)'!A182</f>
        <v>SBICARD</v>
      </c>
      <c r="B182" s="82">
        <f>VLOOKUP(A182,'Data shares'!$C$2:$CV$215,98,0)</f>
        <v>27844000</v>
      </c>
      <c r="C182" s="82">
        <f>VLOOKUP(A182,'Data shares'!$C$2:$CX$215,100,0)</f>
        <v>756000</v>
      </c>
      <c r="D182" s="141">
        <f>VLOOKUP(A182,'Data shares'!$C$2:$CY$538,101,0)</f>
        <v>2.7900000000000001E-2</v>
      </c>
      <c r="E182" s="86">
        <f>VLOOKUP($A182,'Data shares'!$C:$FA,74)</f>
        <v>16902400</v>
      </c>
      <c r="F182" s="86">
        <f>VLOOKUP($A182,'Data shares'!$C:$FA,76)</f>
        <v>296000</v>
      </c>
      <c r="G182" s="87">
        <f>VLOOKUP(A182,'Data shares'!$C$2:$CA$215,77,0)</f>
        <v>1.78E-2</v>
      </c>
      <c r="H182" s="86">
        <f>VLOOKUP($A182,'Data shares'!$C:$FA,90)</f>
        <v>6587200</v>
      </c>
      <c r="I182" s="86">
        <f>VLOOKUP($A182,'Data shares'!$C:$FA,92)</f>
        <v>426400</v>
      </c>
      <c r="J182" s="87">
        <f>VLOOKUP($A182,'Data shares'!$C:$FA,93)</f>
        <v>6.9199999999999998E-2</v>
      </c>
      <c r="K182" s="86">
        <f>VLOOKUP($A182,'Data shares'!$C:$FA,94)</f>
        <v>4354400</v>
      </c>
      <c r="L182" s="86">
        <f>VLOOKUP($A182,'Data shares'!$C:$FA,96)</f>
        <v>33600</v>
      </c>
      <c r="M182" s="87">
        <f>VLOOKUP($A182,'Data shares'!$C:$FA,97)</f>
        <v>7.7999999999999996E-3</v>
      </c>
      <c r="N182" s="86">
        <f>VLOOKUP($A182,'Data shares'!$C:$FA,78)</f>
        <v>15490400</v>
      </c>
      <c r="O182" s="87">
        <f>VLOOKUP($A182,'Data shares'!$C:$FA,81)</f>
        <v>9.5999999999999992E-3</v>
      </c>
    </row>
    <row r="183" spans="1:15" x14ac:dyDescent="0.25">
      <c r="A183" s="100" t="str">
        <f>'OI(Value)'!A183</f>
        <v>SBILIFE</v>
      </c>
      <c r="B183" s="82">
        <f>VLOOKUP(A183,'Data shares'!$C$2:$CV$215,98,0)</f>
        <v>14445375</v>
      </c>
      <c r="C183" s="82">
        <f>VLOOKUP(A183,'Data shares'!$C$2:$CX$215,100,0)</f>
        <v>-639000</v>
      </c>
      <c r="D183" s="141">
        <f>VLOOKUP(A183,'Data shares'!$C$2:$CY$538,101,0)</f>
        <v>-4.24E-2</v>
      </c>
      <c r="E183" s="86">
        <f>VLOOKUP($A183,'Data shares'!$C:$FA,74)</f>
        <v>7909125</v>
      </c>
      <c r="F183" s="86">
        <f>VLOOKUP($A183,'Data shares'!$C:$FA,76)</f>
        <v>-55500</v>
      </c>
      <c r="G183" s="87">
        <f>VLOOKUP(A183,'Data shares'!$C$2:$CA$215,77,0)</f>
        <v>-7.0000000000000001E-3</v>
      </c>
      <c r="H183" s="86">
        <f>VLOOKUP($A183,'Data shares'!$C:$FA,90)</f>
        <v>4411500</v>
      </c>
      <c r="I183" s="86">
        <f>VLOOKUP($A183,'Data shares'!$C:$FA,92)</f>
        <v>-250875</v>
      </c>
      <c r="J183" s="87">
        <f>VLOOKUP($A183,'Data shares'!$C:$FA,93)</f>
        <v>-5.3800000000000001E-2</v>
      </c>
      <c r="K183" s="86">
        <f>VLOOKUP($A183,'Data shares'!$C:$FA,94)</f>
        <v>2124750</v>
      </c>
      <c r="L183" s="86">
        <f>VLOOKUP($A183,'Data shares'!$C:$FA,96)</f>
        <v>-332625</v>
      </c>
      <c r="M183" s="87">
        <f>VLOOKUP($A183,'Data shares'!$C:$FA,97)</f>
        <v>-0.13539999999999999</v>
      </c>
      <c r="N183" s="86">
        <f>VLOOKUP($A183,'Data shares'!$C:$FA,78)</f>
        <v>7478625</v>
      </c>
      <c r="O183" s="87">
        <f>VLOOKUP($A183,'Data shares'!$C:$FA,81)</f>
        <v>-1.78E-2</v>
      </c>
    </row>
    <row r="184" spans="1:15" x14ac:dyDescent="0.25">
      <c r="A184" s="100" t="str">
        <f>'OI(Value)'!A184</f>
        <v>SBIN</v>
      </c>
      <c r="B184" s="82">
        <f>VLOOKUP(A184,'Data shares'!$C$2:$CV$215,98,0)</f>
        <v>156260250</v>
      </c>
      <c r="C184" s="82">
        <f>VLOOKUP(A184,'Data shares'!$C$2:$CX$215,100,0)</f>
        <v>-5007000</v>
      </c>
      <c r="D184" s="141">
        <f>VLOOKUP(A184,'Data shares'!$C$2:$CY$538,101,0)</f>
        <v>-3.1E-2</v>
      </c>
      <c r="E184" s="86">
        <f>VLOOKUP($A184,'Data shares'!$C:$FA,74)</f>
        <v>73964250</v>
      </c>
      <c r="F184" s="86">
        <f>VLOOKUP($A184,'Data shares'!$C:$FA,76)</f>
        <v>-1557000</v>
      </c>
      <c r="G184" s="87">
        <f>VLOOKUP(A184,'Data shares'!$C$2:$CA$215,77,0)</f>
        <v>-2.06E-2</v>
      </c>
      <c r="H184" s="86">
        <f>VLOOKUP($A184,'Data shares'!$C:$FA,90)</f>
        <v>48264000</v>
      </c>
      <c r="I184" s="86">
        <f>VLOOKUP($A184,'Data shares'!$C:$FA,92)</f>
        <v>-5099250</v>
      </c>
      <c r="J184" s="87">
        <f>VLOOKUP($A184,'Data shares'!$C:$FA,93)</f>
        <v>-9.5600000000000004E-2</v>
      </c>
      <c r="K184" s="86">
        <f>VLOOKUP($A184,'Data shares'!$C:$FA,94)</f>
        <v>34032000</v>
      </c>
      <c r="L184" s="86">
        <f>VLOOKUP($A184,'Data shares'!$C:$FA,96)</f>
        <v>1649250</v>
      </c>
      <c r="M184" s="87">
        <f>VLOOKUP($A184,'Data shares'!$C:$FA,97)</f>
        <v>5.0900000000000001E-2</v>
      </c>
      <c r="N184" s="86">
        <f>VLOOKUP($A184,'Data shares'!$C:$FA,78)</f>
        <v>60308250</v>
      </c>
      <c r="O184" s="87">
        <f>VLOOKUP($A184,'Data shares'!$C:$FA,81)</f>
        <v>-5.9799999999999999E-2</v>
      </c>
    </row>
    <row r="185" spans="1:15" x14ac:dyDescent="0.25">
      <c r="A185" s="100" t="str">
        <f>'OI(Value)'!A185</f>
        <v>SHREECEM</v>
      </c>
      <c r="B185" s="82">
        <f>VLOOKUP(A185,'Data shares'!$C$2:$CV$215,98,0)</f>
        <v>525200</v>
      </c>
      <c r="C185" s="82">
        <f>VLOOKUP(A185,'Data shares'!$C$2:$CX$215,100,0)</f>
        <v>-6950</v>
      </c>
      <c r="D185" s="141">
        <f>VLOOKUP(A185,'Data shares'!$C$2:$CY$538,101,0)</f>
        <v>-1.3100000000000001E-2</v>
      </c>
      <c r="E185" s="86">
        <f>VLOOKUP($A185,'Data shares'!$C:$FA,74)</f>
        <v>325625</v>
      </c>
      <c r="F185" s="86">
        <f>VLOOKUP($A185,'Data shares'!$C:$FA,76)</f>
        <v>5500</v>
      </c>
      <c r="G185" s="87">
        <f>VLOOKUP(A185,'Data shares'!$C$2:$CA$215,77,0)</f>
        <v>1.72E-2</v>
      </c>
      <c r="H185" s="86">
        <f>VLOOKUP($A185,'Data shares'!$C:$FA,90)</f>
        <v>138650</v>
      </c>
      <c r="I185" s="86">
        <f>VLOOKUP($A185,'Data shares'!$C:$FA,92)</f>
        <v>-11225</v>
      </c>
      <c r="J185" s="87">
        <f>VLOOKUP($A185,'Data shares'!$C:$FA,93)</f>
        <v>-7.4899999999999994E-2</v>
      </c>
      <c r="K185" s="86">
        <f>VLOOKUP($A185,'Data shares'!$C:$FA,94)</f>
        <v>60925</v>
      </c>
      <c r="L185" s="86">
        <f>VLOOKUP($A185,'Data shares'!$C:$FA,96)</f>
        <v>-1225</v>
      </c>
      <c r="M185" s="87">
        <f>VLOOKUP($A185,'Data shares'!$C:$FA,97)</f>
        <v>-1.9699999999999999E-2</v>
      </c>
      <c r="N185" s="86">
        <f>VLOOKUP($A185,'Data shares'!$C:$FA,78)</f>
        <v>291525</v>
      </c>
      <c r="O185" s="87">
        <f>VLOOKUP($A185,'Data shares'!$C:$FA,81)</f>
        <v>1.37E-2</v>
      </c>
    </row>
    <row r="186" spans="1:15" x14ac:dyDescent="0.25">
      <c r="A186" s="100" t="str">
        <f>'OI(Value)'!A186</f>
        <v>SHRIRAMFIN</v>
      </c>
      <c r="B186" s="82">
        <f>VLOOKUP(A186,'Data shares'!$C$2:$CV$215,98,0)</f>
        <v>102953400</v>
      </c>
      <c r="C186" s="82">
        <f>VLOOKUP(A186,'Data shares'!$C$2:$CX$215,100,0)</f>
        <v>6166875</v>
      </c>
      <c r="D186" s="141">
        <f>VLOOKUP(A186,'Data shares'!$C$2:$CY$538,101,0)</f>
        <v>6.3700000000000007E-2</v>
      </c>
      <c r="E186" s="86">
        <f>VLOOKUP($A186,'Data shares'!$C:$FA,74)</f>
        <v>67734975</v>
      </c>
      <c r="F186" s="86">
        <f>VLOOKUP($A186,'Data shares'!$C:$FA,76)</f>
        <v>1137675</v>
      </c>
      <c r="G186" s="87">
        <f>VLOOKUP(A186,'Data shares'!$C$2:$CA$215,77,0)</f>
        <v>1.7100000000000001E-2</v>
      </c>
      <c r="H186" s="86">
        <f>VLOOKUP($A186,'Data shares'!$C:$FA,90)</f>
        <v>22420200</v>
      </c>
      <c r="I186" s="86">
        <f>VLOOKUP($A186,'Data shares'!$C:$FA,92)</f>
        <v>3525225</v>
      </c>
      <c r="J186" s="87">
        <f>VLOOKUP($A186,'Data shares'!$C:$FA,93)</f>
        <v>0.18659999999999999</v>
      </c>
      <c r="K186" s="86">
        <f>VLOOKUP($A186,'Data shares'!$C:$FA,94)</f>
        <v>12798225</v>
      </c>
      <c r="L186" s="86">
        <f>VLOOKUP($A186,'Data shares'!$C:$FA,96)</f>
        <v>1503975</v>
      </c>
      <c r="M186" s="87">
        <f>VLOOKUP($A186,'Data shares'!$C:$FA,97)</f>
        <v>0.13320000000000001</v>
      </c>
      <c r="N186" s="86">
        <f>VLOOKUP($A186,'Data shares'!$C:$FA,78)</f>
        <v>63834375</v>
      </c>
      <c r="O186" s="87">
        <f>VLOOKUP($A186,'Data shares'!$C:$FA,81)</f>
        <v>3.3E-3</v>
      </c>
    </row>
    <row r="187" spans="1:15" x14ac:dyDescent="0.25">
      <c r="A187" s="100" t="str">
        <f>'OI(Value)'!A187</f>
        <v>SIEMENS</v>
      </c>
      <c r="B187" s="82">
        <f>VLOOKUP(A187,'Data shares'!$C$2:$CV$215,98,0)</f>
        <v>6562800</v>
      </c>
      <c r="C187" s="82">
        <f>VLOOKUP(A187,'Data shares'!$C$2:$CX$215,100,0)</f>
        <v>-72325</v>
      </c>
      <c r="D187" s="141">
        <f>VLOOKUP(A187,'Data shares'!$C$2:$CY$538,101,0)</f>
        <v>-1.09E-2</v>
      </c>
      <c r="E187" s="86">
        <f>VLOOKUP($A187,'Data shares'!$C:$FA,74)</f>
        <v>3059800</v>
      </c>
      <c r="F187" s="86">
        <f>VLOOKUP($A187,'Data shares'!$C:$FA,76)</f>
        <v>-64825</v>
      </c>
      <c r="G187" s="87">
        <f>VLOOKUP(A187,'Data shares'!$C$2:$CA$215,77,0)</f>
        <v>-2.07E-2</v>
      </c>
      <c r="H187" s="86">
        <f>VLOOKUP($A187,'Data shares'!$C:$FA,90)</f>
        <v>2298950</v>
      </c>
      <c r="I187" s="86">
        <f>VLOOKUP($A187,'Data shares'!$C:$FA,92)</f>
        <v>-18975</v>
      </c>
      <c r="J187" s="87">
        <f>VLOOKUP($A187,'Data shares'!$C:$FA,93)</f>
        <v>-8.2000000000000007E-3</v>
      </c>
      <c r="K187" s="86">
        <f>VLOOKUP($A187,'Data shares'!$C:$FA,94)</f>
        <v>1204050</v>
      </c>
      <c r="L187" s="86">
        <f>VLOOKUP($A187,'Data shares'!$C:$FA,96)</f>
        <v>11475</v>
      </c>
      <c r="M187" s="87">
        <f>VLOOKUP($A187,'Data shares'!$C:$FA,97)</f>
        <v>9.5999999999999992E-3</v>
      </c>
      <c r="N187" s="86">
        <f>VLOOKUP($A187,'Data shares'!$C:$FA,78)</f>
        <v>2714000</v>
      </c>
      <c r="O187" s="87">
        <f>VLOOKUP($A187,'Data shares'!$C:$FA,81)</f>
        <v>-2.3400000000000001E-2</v>
      </c>
    </row>
    <row r="188" spans="1:15" x14ac:dyDescent="0.25">
      <c r="A188" s="100" t="str">
        <f>'OI(Value)'!A188</f>
        <v>SOLARINDS</v>
      </c>
      <c r="B188" s="82">
        <f>VLOOKUP(A188,'Data shares'!$C$2:$CV$215,98,0)</f>
        <v>2167500</v>
      </c>
      <c r="C188" s="82">
        <f>VLOOKUP(A188,'Data shares'!$C$2:$CX$215,100,0)</f>
        <v>59300</v>
      </c>
      <c r="D188" s="141">
        <f>VLOOKUP(A188,'Data shares'!$C$2:$CY$538,101,0)</f>
        <v>2.81E-2</v>
      </c>
      <c r="E188" s="86">
        <f>VLOOKUP($A188,'Data shares'!$C:$FA,74)</f>
        <v>1015825</v>
      </c>
      <c r="F188" s="86">
        <f>VLOOKUP($A188,'Data shares'!$C:$FA,76)</f>
        <v>8225</v>
      </c>
      <c r="G188" s="87">
        <f>VLOOKUP(A188,'Data shares'!$C$2:$CA$215,77,0)</f>
        <v>8.2000000000000007E-3</v>
      </c>
      <c r="H188" s="86">
        <f>VLOOKUP($A188,'Data shares'!$C:$FA,90)</f>
        <v>834425</v>
      </c>
      <c r="I188" s="86">
        <f>VLOOKUP($A188,'Data shares'!$C:$FA,92)</f>
        <v>30525</v>
      </c>
      <c r="J188" s="87">
        <f>VLOOKUP($A188,'Data shares'!$C:$FA,93)</f>
        <v>3.7999999999999999E-2</v>
      </c>
      <c r="K188" s="86">
        <f>VLOOKUP($A188,'Data shares'!$C:$FA,94)</f>
        <v>317250</v>
      </c>
      <c r="L188" s="86">
        <f>VLOOKUP($A188,'Data shares'!$C:$FA,96)</f>
        <v>20550</v>
      </c>
      <c r="M188" s="87">
        <f>VLOOKUP($A188,'Data shares'!$C:$FA,97)</f>
        <v>6.93E-2</v>
      </c>
      <c r="N188" s="86">
        <f>VLOOKUP($A188,'Data shares'!$C:$FA,78)</f>
        <v>929475</v>
      </c>
      <c r="O188" s="87">
        <f>VLOOKUP($A188,'Data shares'!$C:$FA,81)</f>
        <v>4.0000000000000001E-3</v>
      </c>
    </row>
    <row r="189" spans="1:15" x14ac:dyDescent="0.25">
      <c r="A189" s="100" t="str">
        <f>'OI(Value)'!A189</f>
        <v>ZYDUSLIFE</v>
      </c>
      <c r="B189" s="82">
        <f>VLOOKUP(A189,'Data shares'!$C$2:$CV$215,98,0)</f>
        <v>18909900</v>
      </c>
      <c r="C189" s="82">
        <f>VLOOKUP(A189,'Data shares'!$C$2:$CX$215,100,0)</f>
        <v>-99000</v>
      </c>
      <c r="D189" s="141">
        <f>VLOOKUP(A189,'Data shares'!$C$2:$CY$538,101,0)</f>
        <v>-5.1999999999999998E-3</v>
      </c>
      <c r="E189" s="86">
        <f>VLOOKUP($A189,'Data shares'!$C:$FA,74)</f>
        <v>11299500</v>
      </c>
      <c r="F189" s="86">
        <f>VLOOKUP($A189,'Data shares'!$C:$FA,76)</f>
        <v>96300</v>
      </c>
      <c r="G189" s="87">
        <f>VLOOKUP(A189,'Data shares'!$C$2:$CA$215,77,0)</f>
        <v>8.6E-3</v>
      </c>
      <c r="H189" s="86">
        <f>VLOOKUP($A189,'Data shares'!$C:$FA,90)</f>
        <v>4382100</v>
      </c>
      <c r="I189" s="86">
        <f>VLOOKUP($A189,'Data shares'!$C:$FA,92)</f>
        <v>-196200</v>
      </c>
      <c r="J189" s="87">
        <f>VLOOKUP($A189,'Data shares'!$C:$FA,93)</f>
        <v>-4.2900000000000001E-2</v>
      </c>
      <c r="K189" s="86">
        <f>VLOOKUP($A189,'Data shares'!$C:$FA,94)</f>
        <v>3228300</v>
      </c>
      <c r="L189" s="86">
        <f>VLOOKUP($A189,'Data shares'!$C:$FA,96)</f>
        <v>900</v>
      </c>
      <c r="M189" s="87">
        <f>VLOOKUP($A189,'Data shares'!$C:$FA,97)</f>
        <v>2.9999999999999997E-4</v>
      </c>
      <c r="N189" s="86">
        <f>VLOOKUP($A189,'Data shares'!$C:$FA,78)</f>
        <v>10557900</v>
      </c>
      <c r="O189" s="87">
        <f>VLOOKUP($A189,'Data shares'!$C:$FA,81)</f>
        <v>4.1999999999999997E-3</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24599939258</v>
      </c>
      <c r="C216" s="119">
        <f>SUM(C7:C215)</f>
        <v>-99816629</v>
      </c>
      <c r="D216" s="120">
        <f>C216*100/(B216-C216)</f>
        <v>-0.40411990084701843</v>
      </c>
      <c r="E216" s="119">
        <f>SUM(E7:E215)</f>
        <v>14477468034</v>
      </c>
      <c r="F216" s="119">
        <f>SUM(F7:F215)</f>
        <v>56820336</v>
      </c>
      <c r="G216" s="120">
        <f>F216*100/(E216-F216)</f>
        <v>0.39402069303641896</v>
      </c>
      <c r="H216" s="119">
        <f>SUM(H7:H215)</f>
        <v>6319929223</v>
      </c>
      <c r="I216" s="119">
        <f>SUM(I7:I215)</f>
        <v>66212473</v>
      </c>
      <c r="J216" s="120">
        <f>I216*100/(H216-I216)</f>
        <v>1.0587699386928582</v>
      </c>
      <c r="K216" s="119">
        <f>SUM(K7:K215)</f>
        <v>3802542001</v>
      </c>
      <c r="L216" s="119">
        <f>SUM(L7:L215)</f>
        <v>76889937</v>
      </c>
      <c r="M216" s="120">
        <f>L216*100/(K216-L216)</f>
        <v>2.0637981131670164</v>
      </c>
      <c r="N216" s="119">
        <f>SUM(N7:N215)</f>
        <v>12787087528</v>
      </c>
      <c r="O216" s="120">
        <f>(N216-FII!V3)/N216*100</f>
        <v>-17.33260205771542</v>
      </c>
    </row>
    <row r="217" spans="1:15" s="89" customFormat="1" ht="16.5" customHeight="1" x14ac:dyDescent="0.25">
      <c r="A217" s="118" t="s">
        <v>409</v>
      </c>
      <c r="B217" s="121">
        <f>B216/10000000</f>
        <v>2459.9939257999999</v>
      </c>
      <c r="C217" s="121">
        <f>C216/10000000</f>
        <v>-9.9816628999999999</v>
      </c>
      <c r="D217" s="120">
        <f>D216</f>
        <v>-0.40411990084701843</v>
      </c>
      <c r="E217" s="121">
        <f>E216/10000000</f>
        <v>1447.7468034000001</v>
      </c>
      <c r="F217" s="121">
        <f>F216/10000000</f>
        <v>5.6820335999999996</v>
      </c>
      <c r="G217" s="120">
        <f>G216</f>
        <v>0.39402069303641896</v>
      </c>
      <c r="H217" s="121">
        <f>H216/10000000</f>
        <v>631.99292230000003</v>
      </c>
      <c r="I217" s="121">
        <f>I216/10000000</f>
        <v>6.6212473000000003</v>
      </c>
      <c r="J217" s="120">
        <f>J216</f>
        <v>1.0587699386928582</v>
      </c>
      <c r="K217" s="121">
        <f>K216/10000000</f>
        <v>380.25420009999999</v>
      </c>
      <c r="L217" s="121">
        <f>L216/10000000</f>
        <v>7.6889937000000002</v>
      </c>
      <c r="M217" s="120">
        <f>M216</f>
        <v>2.0637981131670164</v>
      </c>
      <c r="N217" s="121">
        <f>N216/10000000</f>
        <v>1278.7087528</v>
      </c>
      <c r="O217" s="120">
        <f>O216</f>
        <v>-17.33260205771542</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1447.7468034000001</v>
      </c>
      <c r="C227" s="37">
        <f>F217</f>
        <v>5.6820335999999996</v>
      </c>
      <c r="D227" s="39">
        <f>C227/B227</f>
        <v>3.9247426322447229E-3</v>
      </c>
    </row>
    <row r="228" spans="1:4" x14ac:dyDescent="0.25">
      <c r="A228" s="36" t="s">
        <v>404</v>
      </c>
      <c r="B228" s="37">
        <f>H217</f>
        <v>631.99292230000003</v>
      </c>
      <c r="C228" s="37">
        <f>I217</f>
        <v>6.6212473000000003</v>
      </c>
      <c r="D228" s="39">
        <f>C228/B228</f>
        <v>1.0476774448522965E-2</v>
      </c>
    </row>
    <row r="229" spans="1:4" x14ac:dyDescent="0.25">
      <c r="A229" s="36" t="s">
        <v>405</v>
      </c>
      <c r="B229" s="37">
        <f>K217</f>
        <v>380.25420009999999</v>
      </c>
      <c r="C229" s="37">
        <f>L217</f>
        <v>7.6889937000000002</v>
      </c>
      <c r="D229" s="39">
        <f>C229/B229</f>
        <v>2.0220667379815749E-2</v>
      </c>
    </row>
    <row r="230" spans="1:4" x14ac:dyDescent="0.25">
      <c r="A230" s="36" t="s">
        <v>406</v>
      </c>
      <c r="B230" s="40">
        <f>SUM(B227:B229)</f>
        <v>2459.9939258000004</v>
      </c>
      <c r="C230" s="40">
        <f>SUM(C227:C229)</f>
        <v>19.992274600000002</v>
      </c>
      <c r="D230" s="41">
        <f>C230/B230</f>
        <v>8.1269609612952317E-3</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46008</v>
      </c>
      <c r="C6" s="76" t="s">
        <v>333</v>
      </c>
      <c r="D6" s="76" t="s">
        <v>328</v>
      </c>
      <c r="E6" s="3">
        <f>B6</f>
        <v>46008</v>
      </c>
      <c r="F6" s="76" t="s">
        <v>333</v>
      </c>
      <c r="G6" s="76" t="s">
        <v>328</v>
      </c>
      <c r="H6" s="3">
        <f>E6</f>
        <v>46008</v>
      </c>
      <c r="I6" s="76" t="s">
        <v>333</v>
      </c>
      <c r="J6" s="76" t="s">
        <v>328</v>
      </c>
      <c r="K6" s="3">
        <f>E6</f>
        <v>46008</v>
      </c>
      <c r="L6" s="76" t="s">
        <v>333</v>
      </c>
      <c r="M6" s="76" t="s">
        <v>328</v>
      </c>
      <c r="N6" s="76" t="s">
        <v>339</v>
      </c>
      <c r="O6" s="76" t="s">
        <v>328</v>
      </c>
    </row>
    <row r="7" spans="1:15" x14ac:dyDescent="0.25">
      <c r="A7" s="97" t="str">
        <f>'Data Vlaue (Cr)'!C2</f>
        <v>360ONE</v>
      </c>
      <c r="B7" s="142">
        <f>VLOOKUP(A7,'Data Vlaue (Cr)'!C2:CW215,99,0)</f>
        <v>535</v>
      </c>
      <c r="C7" s="90">
        <f>VLOOKUP(A7,'Data Vlaue (Cr)'!C2:CY215,101,0)</f>
        <v>28</v>
      </c>
      <c r="D7" s="139">
        <f>VLOOKUP(A7,'Data Vlaue (Cr)'!C2:CZ215,102,0)</f>
        <v>5.4199999999999998E-2</v>
      </c>
      <c r="E7" s="91">
        <f>VLOOKUP($A7,'Data Vlaue (Cr)'!$C:$FB,75)</f>
        <v>218</v>
      </c>
      <c r="F7" s="91">
        <f>VLOOKUP($A7,'Data Vlaue (Cr)'!$C:$FB,77)</f>
        <v>11</v>
      </c>
      <c r="G7" s="92">
        <f>VLOOKUP(A7,'Data Vlaue (Cr)'!C2:CB215,78,0)</f>
        <v>5.1299999999999998E-2</v>
      </c>
      <c r="H7" s="91">
        <f>VLOOKUP($A7,'Data Vlaue (Cr)'!$C:$FB,91)</f>
        <v>195</v>
      </c>
      <c r="I7" s="91">
        <f>VLOOKUP($A7,'Data Vlaue (Cr)'!$C:$FB,93)</f>
        <v>10</v>
      </c>
      <c r="J7" s="92">
        <f>VLOOKUP($A7,'Data Vlaue (Cr)'!$C:$FB,94)</f>
        <v>5.2200000000000003E-2</v>
      </c>
      <c r="K7" s="91">
        <f>VLOOKUP($A7,'Data Vlaue (Cr)'!$C:$FB,95)</f>
        <v>123</v>
      </c>
      <c r="L7" s="91">
        <f>VLOOKUP($A7,'Data Vlaue (Cr)'!$C:$FB,97)</f>
        <v>7</v>
      </c>
      <c r="M7" s="92">
        <f>VLOOKUP($A7,'Data Vlaue (Cr)'!$C:$FB,98)</f>
        <v>6.2700000000000006E-2</v>
      </c>
      <c r="N7" s="91">
        <f>VLOOKUP($A7,'Data Vlaue (Cr)'!$C:$FB,79)</f>
        <v>204</v>
      </c>
      <c r="O7" s="92">
        <f>VLOOKUP($A7,'Data Vlaue (Cr)'!$C:$FB,82)</f>
        <v>3.4099999999999998E-2</v>
      </c>
    </row>
    <row r="8" spans="1:15" x14ac:dyDescent="0.25">
      <c r="A8" s="97" t="str">
        <f>'Data Vlaue (Cr)'!C3</f>
        <v>ABB</v>
      </c>
      <c r="B8" s="142">
        <f>VLOOKUP(A8,'Data Vlaue (Cr)'!C3:CW216,99,0)</f>
        <v>2104</v>
      </c>
      <c r="C8" s="90">
        <f>VLOOKUP(A8,'Data Vlaue (Cr)'!C3:CY216,101,0)</f>
        <v>27</v>
      </c>
      <c r="D8" s="139">
        <f>VLOOKUP(A8,'Data Vlaue (Cr)'!C3:CZ216,102,0)</f>
        <v>1.29E-2</v>
      </c>
      <c r="E8" s="91">
        <f>VLOOKUP($A8,'Data Vlaue (Cr)'!$C:$FB,75)</f>
        <v>1300</v>
      </c>
      <c r="F8" s="91">
        <f>VLOOKUP($A8,'Data Vlaue (Cr)'!$C:$FB,77)</f>
        <v>12</v>
      </c>
      <c r="G8" s="92">
        <f>VLOOKUP(A8,'Data Vlaue (Cr)'!C3:CB216,78,0)</f>
        <v>9.1000000000000004E-3</v>
      </c>
      <c r="H8" s="91">
        <f>VLOOKUP($A8,'Data Vlaue (Cr)'!$C:$FB,91)</f>
        <v>453</v>
      </c>
      <c r="I8" s="91">
        <f>VLOOKUP($A8,'Data Vlaue (Cr)'!$C:$FB,93)</f>
        <v>23</v>
      </c>
      <c r="J8" s="92">
        <f>VLOOKUP($A8,'Data Vlaue (Cr)'!$C:$FB,94)</f>
        <v>5.2699999999999997E-2</v>
      </c>
      <c r="K8" s="91">
        <f>VLOOKUP($A8,'Data Vlaue (Cr)'!$C:$FB,95)</f>
        <v>351</v>
      </c>
      <c r="L8" s="91">
        <f>VLOOKUP($A8,'Data Vlaue (Cr)'!$C:$FB,97)</f>
        <v>-8</v>
      </c>
      <c r="M8" s="92">
        <f>VLOOKUP($A8,'Data Vlaue (Cr)'!$C:$FB,98)</f>
        <v>-2.1000000000000001E-2</v>
      </c>
      <c r="N8" s="91">
        <f>VLOOKUP($A8,'Data Vlaue (Cr)'!$C:$FB,79)</f>
        <v>1153</v>
      </c>
      <c r="O8" s="92">
        <f>VLOOKUP($A8,'Data Vlaue (Cr)'!$C:$FB,82)</f>
        <v>-1.55E-2</v>
      </c>
    </row>
    <row r="9" spans="1:15" x14ac:dyDescent="0.25">
      <c r="A9" s="97" t="str">
        <f>'Data Vlaue (Cr)'!C4</f>
        <v>ABCAPITAL</v>
      </c>
      <c r="B9" s="142">
        <f>VLOOKUP(A9,'Data Vlaue (Cr)'!C4:CW217,99,0)</f>
        <v>4173</v>
      </c>
      <c r="C9" s="90">
        <f>VLOOKUP(A9,'Data Vlaue (Cr)'!C4:CY217,101,0)</f>
        <v>56</v>
      </c>
      <c r="D9" s="139">
        <f>VLOOKUP(A9,'Data Vlaue (Cr)'!C4:CZ217,102,0)</f>
        <v>1.3599999999999999E-2</v>
      </c>
      <c r="E9" s="91">
        <f>VLOOKUP($A9,'Data Vlaue (Cr)'!$C:$FB,75)</f>
        <v>2610</v>
      </c>
      <c r="F9" s="91">
        <f>VLOOKUP($A9,'Data Vlaue (Cr)'!$C:$FB,77)</f>
        <v>-8</v>
      </c>
      <c r="G9" s="92">
        <f>VLOOKUP(A9,'Data Vlaue (Cr)'!C4:CB217,78,0)</f>
        <v>-3.2000000000000002E-3</v>
      </c>
      <c r="H9" s="91">
        <f>VLOOKUP($A9,'Data Vlaue (Cr)'!$C:$FB,91)</f>
        <v>945</v>
      </c>
      <c r="I9" s="91">
        <f>VLOOKUP($A9,'Data Vlaue (Cr)'!$C:$FB,93)</f>
        <v>42</v>
      </c>
      <c r="J9" s="92">
        <f>VLOOKUP($A9,'Data Vlaue (Cr)'!$C:$FB,94)</f>
        <v>4.6800000000000001E-2</v>
      </c>
      <c r="K9" s="91">
        <f>VLOOKUP($A9,'Data Vlaue (Cr)'!$C:$FB,95)</f>
        <v>618</v>
      </c>
      <c r="L9" s="91">
        <f>VLOOKUP($A9,'Data Vlaue (Cr)'!$C:$FB,97)</f>
        <v>22</v>
      </c>
      <c r="M9" s="92">
        <f>VLOOKUP($A9,'Data Vlaue (Cr)'!$C:$FB,98)</f>
        <v>3.6700000000000003E-2</v>
      </c>
      <c r="N9" s="91">
        <f>VLOOKUP($A9,'Data Vlaue (Cr)'!$C:$FB,79)</f>
        <v>2504</v>
      </c>
      <c r="O9" s="92">
        <f>VLOOKUP($A9,'Data Vlaue (Cr)'!$C:$FB,82)</f>
        <v>-5.8999999999999999E-3</v>
      </c>
    </row>
    <row r="10" spans="1:15" x14ac:dyDescent="0.25">
      <c r="A10" s="97" t="str">
        <f>'Data Vlaue (Cr)'!C5</f>
        <v>ADANIENSOL</v>
      </c>
      <c r="B10" s="142">
        <f>VLOOKUP(A10,'Data Vlaue (Cr)'!C5:CW218,99,0)</f>
        <v>2395</v>
      </c>
      <c r="C10" s="90">
        <f>VLOOKUP(A10,'Data Vlaue (Cr)'!C5:CY218,101,0)</f>
        <v>-3</v>
      </c>
      <c r="D10" s="139">
        <f>VLOOKUP(A10,'Data Vlaue (Cr)'!C5:CZ218,102,0)</f>
        <v>-1.4E-3</v>
      </c>
      <c r="E10" s="91">
        <f>VLOOKUP($A10,'Data Vlaue (Cr)'!$C:$FB,75)</f>
        <v>1772</v>
      </c>
      <c r="F10" s="91">
        <f>VLOOKUP($A10,'Data Vlaue (Cr)'!$C:$FB,77)</f>
        <v>-6</v>
      </c>
      <c r="G10" s="92">
        <f>VLOOKUP(A10,'Data Vlaue (Cr)'!C5:CB218,78,0)</f>
        <v>-3.5999999999999999E-3</v>
      </c>
      <c r="H10" s="91">
        <f>VLOOKUP($A10,'Data Vlaue (Cr)'!$C:$FB,91)</f>
        <v>398</v>
      </c>
      <c r="I10" s="91">
        <f>VLOOKUP($A10,'Data Vlaue (Cr)'!$C:$FB,93)</f>
        <v>4</v>
      </c>
      <c r="J10" s="92">
        <f>VLOOKUP($A10,'Data Vlaue (Cr)'!$C:$FB,94)</f>
        <v>9.4000000000000004E-3</v>
      </c>
      <c r="K10" s="91">
        <f>VLOOKUP($A10,'Data Vlaue (Cr)'!$C:$FB,95)</f>
        <v>225</v>
      </c>
      <c r="L10" s="91">
        <f>VLOOKUP($A10,'Data Vlaue (Cr)'!$C:$FB,97)</f>
        <v>-1</v>
      </c>
      <c r="M10" s="92">
        <f>VLOOKUP($A10,'Data Vlaue (Cr)'!$C:$FB,98)</f>
        <v>-3.2000000000000002E-3</v>
      </c>
      <c r="N10" s="91">
        <f>VLOOKUP($A10,'Data Vlaue (Cr)'!$C:$FB,79)</f>
        <v>1732</v>
      </c>
      <c r="O10" s="92">
        <f>VLOOKUP($A10,'Data Vlaue (Cr)'!$C:$FB,82)</f>
        <v>-1.2699999999999999E-2</v>
      </c>
    </row>
    <row r="11" spans="1:15" x14ac:dyDescent="0.25">
      <c r="A11" s="97" t="str">
        <f>'Data Vlaue (Cr)'!C6</f>
        <v>ADANIENT</v>
      </c>
      <c r="B11" s="142">
        <f>VLOOKUP(A11,'Data Vlaue (Cr)'!C6:CW219,99,0)</f>
        <v>10256</v>
      </c>
      <c r="C11" s="90">
        <f>VLOOKUP(A11,'Data Vlaue (Cr)'!C6:CY219,101,0)</f>
        <v>104</v>
      </c>
      <c r="D11" s="139">
        <f>VLOOKUP(A11,'Data Vlaue (Cr)'!C6:CZ219,102,0)</f>
        <v>1.03E-2</v>
      </c>
      <c r="E11" s="91">
        <f>VLOOKUP($A11,'Data Vlaue (Cr)'!$C:$FB,75)</f>
        <v>5070</v>
      </c>
      <c r="F11" s="91">
        <f>VLOOKUP($A11,'Data Vlaue (Cr)'!$C:$FB,77)</f>
        <v>27</v>
      </c>
      <c r="G11" s="92">
        <f>VLOOKUP(A11,'Data Vlaue (Cr)'!C6:CB219,78,0)</f>
        <v>5.4000000000000003E-3</v>
      </c>
      <c r="H11" s="91">
        <f>VLOOKUP($A11,'Data Vlaue (Cr)'!$C:$FB,91)</f>
        <v>3223</v>
      </c>
      <c r="I11" s="91">
        <f>VLOOKUP($A11,'Data Vlaue (Cr)'!$C:$FB,93)</f>
        <v>45</v>
      </c>
      <c r="J11" s="92">
        <f>VLOOKUP($A11,'Data Vlaue (Cr)'!$C:$FB,94)</f>
        <v>1.43E-2</v>
      </c>
      <c r="K11" s="91">
        <f>VLOOKUP($A11,'Data Vlaue (Cr)'!$C:$FB,95)</f>
        <v>1963</v>
      </c>
      <c r="L11" s="91">
        <f>VLOOKUP($A11,'Data Vlaue (Cr)'!$C:$FB,97)</f>
        <v>32</v>
      </c>
      <c r="M11" s="92">
        <f>VLOOKUP($A11,'Data Vlaue (Cr)'!$C:$FB,98)</f>
        <v>1.6400000000000001E-2</v>
      </c>
      <c r="N11" s="91">
        <f>VLOOKUP($A11,'Data Vlaue (Cr)'!$C:$FB,79)</f>
        <v>4479</v>
      </c>
      <c r="O11" s="92">
        <f>VLOOKUP($A11,'Data Vlaue (Cr)'!$C:$FB,82)</f>
        <v>1.6000000000000001E-3</v>
      </c>
    </row>
    <row r="12" spans="1:15" x14ac:dyDescent="0.25">
      <c r="A12" s="97" t="str">
        <f>'Data Vlaue (Cr)'!C7</f>
        <v>ADANIGREEN</v>
      </c>
      <c r="B12" s="142">
        <f>VLOOKUP(A12,'Data Vlaue (Cr)'!C7:CW220,99,0)</f>
        <v>4620</v>
      </c>
      <c r="C12" s="90">
        <f>VLOOKUP(A12,'Data Vlaue (Cr)'!C7:CY220,101,0)</f>
        <v>25</v>
      </c>
      <c r="D12" s="139">
        <f>VLOOKUP(A12,'Data Vlaue (Cr)'!C7:CZ220,102,0)</f>
        <v>5.4000000000000003E-3</v>
      </c>
      <c r="E12" s="91">
        <f>VLOOKUP($A12,'Data Vlaue (Cr)'!$C:$FB,75)</f>
        <v>2623</v>
      </c>
      <c r="F12" s="91">
        <f>VLOOKUP($A12,'Data Vlaue (Cr)'!$C:$FB,77)</f>
        <v>24</v>
      </c>
      <c r="G12" s="92">
        <f>VLOOKUP(A12,'Data Vlaue (Cr)'!C7:CB220,78,0)</f>
        <v>9.4000000000000004E-3</v>
      </c>
      <c r="H12" s="91">
        <f>VLOOKUP($A12,'Data Vlaue (Cr)'!$C:$FB,91)</f>
        <v>1300</v>
      </c>
      <c r="I12" s="91">
        <f>VLOOKUP($A12,'Data Vlaue (Cr)'!$C:$FB,93)</f>
        <v>-6</v>
      </c>
      <c r="J12" s="92">
        <f>VLOOKUP($A12,'Data Vlaue (Cr)'!$C:$FB,94)</f>
        <v>-4.7000000000000002E-3</v>
      </c>
      <c r="K12" s="91">
        <f>VLOOKUP($A12,'Data Vlaue (Cr)'!$C:$FB,95)</f>
        <v>697</v>
      </c>
      <c r="L12" s="91">
        <f>VLOOKUP($A12,'Data Vlaue (Cr)'!$C:$FB,97)</f>
        <v>7</v>
      </c>
      <c r="M12" s="92">
        <f>VLOOKUP($A12,'Data Vlaue (Cr)'!$C:$FB,98)</f>
        <v>9.7000000000000003E-3</v>
      </c>
      <c r="N12" s="91">
        <f>VLOOKUP($A12,'Data Vlaue (Cr)'!$C:$FB,79)</f>
        <v>2491</v>
      </c>
      <c r="O12" s="92">
        <f>VLOOKUP($A12,'Data Vlaue (Cr)'!$C:$FB,82)</f>
        <v>7.1999999999999998E-3</v>
      </c>
    </row>
    <row r="13" spans="1:15" x14ac:dyDescent="0.25">
      <c r="A13" s="97" t="str">
        <f>'Data Vlaue (Cr)'!C8</f>
        <v>ADANIPORTS</v>
      </c>
      <c r="B13" s="142">
        <f>VLOOKUP(A13,'Data Vlaue (Cr)'!C8:CW221,99,0)</f>
        <v>5639</v>
      </c>
      <c r="C13" s="90">
        <f>VLOOKUP(A13,'Data Vlaue (Cr)'!C8:CY221,101,0)</f>
        <v>100</v>
      </c>
      <c r="D13" s="139">
        <f>VLOOKUP(A13,'Data Vlaue (Cr)'!C8:CZ221,102,0)</f>
        <v>1.8100000000000002E-2</v>
      </c>
      <c r="E13" s="91">
        <f>VLOOKUP($A13,'Data Vlaue (Cr)'!$C:$FB,75)</f>
        <v>3547</v>
      </c>
      <c r="F13" s="91">
        <f>VLOOKUP($A13,'Data Vlaue (Cr)'!$C:$FB,77)</f>
        <v>33</v>
      </c>
      <c r="G13" s="92">
        <f>VLOOKUP(A13,'Data Vlaue (Cr)'!C8:CB221,78,0)</f>
        <v>9.4000000000000004E-3</v>
      </c>
      <c r="H13" s="91">
        <f>VLOOKUP($A13,'Data Vlaue (Cr)'!$C:$FB,91)</f>
        <v>1404</v>
      </c>
      <c r="I13" s="91">
        <f>VLOOKUP($A13,'Data Vlaue (Cr)'!$C:$FB,93)</f>
        <v>60</v>
      </c>
      <c r="J13" s="92">
        <f>VLOOKUP($A13,'Data Vlaue (Cr)'!$C:$FB,94)</f>
        <v>4.4600000000000001E-2</v>
      </c>
      <c r="K13" s="91">
        <f>VLOOKUP($A13,'Data Vlaue (Cr)'!$C:$FB,95)</f>
        <v>688</v>
      </c>
      <c r="L13" s="91">
        <f>VLOOKUP($A13,'Data Vlaue (Cr)'!$C:$FB,97)</f>
        <v>7</v>
      </c>
      <c r="M13" s="92">
        <f>VLOOKUP($A13,'Data Vlaue (Cr)'!$C:$FB,98)</f>
        <v>1.0800000000000001E-2</v>
      </c>
      <c r="N13" s="91">
        <f>VLOOKUP($A13,'Data Vlaue (Cr)'!$C:$FB,79)</f>
        <v>3203</v>
      </c>
      <c r="O13" s="92">
        <f>VLOOKUP($A13,'Data Vlaue (Cr)'!$C:$FB,82)</f>
        <v>-8.9999999999999998E-4</v>
      </c>
    </row>
    <row r="14" spans="1:15" x14ac:dyDescent="0.25">
      <c r="A14" s="97" t="str">
        <f>'Data Vlaue (Cr)'!C9</f>
        <v>ALKEM</v>
      </c>
      <c r="B14" s="142">
        <f>VLOOKUP(A14,'Data Vlaue (Cr)'!C9:CW222,99,0)</f>
        <v>1134</v>
      </c>
      <c r="C14" s="90">
        <f>VLOOKUP(A14,'Data Vlaue (Cr)'!C9:CY222,101,0)</f>
        <v>17</v>
      </c>
      <c r="D14" s="139">
        <f>VLOOKUP(A14,'Data Vlaue (Cr)'!C9:CZ222,102,0)</f>
        <v>1.5100000000000001E-2</v>
      </c>
      <c r="E14" s="91">
        <f>VLOOKUP($A14,'Data Vlaue (Cr)'!$C:$FB,75)</f>
        <v>899</v>
      </c>
      <c r="F14" s="91">
        <f>VLOOKUP($A14,'Data Vlaue (Cr)'!$C:$FB,77)</f>
        <v>-4</v>
      </c>
      <c r="G14" s="92">
        <f>VLOOKUP(A14,'Data Vlaue (Cr)'!C9:CB222,78,0)</f>
        <v>-4.4000000000000003E-3</v>
      </c>
      <c r="H14" s="91">
        <f>VLOOKUP($A14,'Data Vlaue (Cr)'!$C:$FB,91)</f>
        <v>142</v>
      </c>
      <c r="I14" s="91">
        <f>VLOOKUP($A14,'Data Vlaue (Cr)'!$C:$FB,93)</f>
        <v>20</v>
      </c>
      <c r="J14" s="92">
        <f>VLOOKUP($A14,'Data Vlaue (Cr)'!$C:$FB,94)</f>
        <v>0.16420000000000001</v>
      </c>
      <c r="K14" s="91">
        <f>VLOOKUP($A14,'Data Vlaue (Cr)'!$C:$FB,95)</f>
        <v>92</v>
      </c>
      <c r="L14" s="91">
        <f>VLOOKUP($A14,'Data Vlaue (Cr)'!$C:$FB,97)</f>
        <v>1</v>
      </c>
      <c r="M14" s="92">
        <f>VLOOKUP($A14,'Data Vlaue (Cr)'!$C:$FB,98)</f>
        <v>9.2999999999999992E-3</v>
      </c>
      <c r="N14" s="91">
        <f>VLOOKUP($A14,'Data Vlaue (Cr)'!$C:$FB,79)</f>
        <v>866</v>
      </c>
      <c r="O14" s="92">
        <f>VLOOKUP($A14,'Data Vlaue (Cr)'!$C:$FB,82)</f>
        <v>-2.98E-2</v>
      </c>
    </row>
    <row r="15" spans="1:15" x14ac:dyDescent="0.25">
      <c r="A15" s="97" t="str">
        <f>'Data Vlaue (Cr)'!C10</f>
        <v>AMBER</v>
      </c>
      <c r="B15" s="142">
        <f>VLOOKUP(A15,'Data Vlaue (Cr)'!C10:CW223,99,0)</f>
        <v>2069</v>
      </c>
      <c r="C15" s="90">
        <f>VLOOKUP(A15,'Data Vlaue (Cr)'!C10:CY223,101,0)</f>
        <v>77</v>
      </c>
      <c r="D15" s="139">
        <f>VLOOKUP(A15,'Data Vlaue (Cr)'!C10:CZ223,102,0)</f>
        <v>3.8899999999999997E-2</v>
      </c>
      <c r="E15" s="91">
        <f>VLOOKUP($A15,'Data Vlaue (Cr)'!$C:$FB,75)</f>
        <v>776</v>
      </c>
      <c r="F15" s="91">
        <f>VLOOKUP($A15,'Data Vlaue (Cr)'!$C:$FB,77)</f>
        <v>9</v>
      </c>
      <c r="G15" s="92">
        <f>VLOOKUP(A15,'Data Vlaue (Cr)'!C10:CB223,78,0)</f>
        <v>1.21E-2</v>
      </c>
      <c r="H15" s="91">
        <f>VLOOKUP($A15,'Data Vlaue (Cr)'!$C:$FB,91)</f>
        <v>778</v>
      </c>
      <c r="I15" s="91">
        <f>VLOOKUP($A15,'Data Vlaue (Cr)'!$C:$FB,93)</f>
        <v>63</v>
      </c>
      <c r="J15" s="92">
        <f>VLOOKUP($A15,'Data Vlaue (Cr)'!$C:$FB,94)</f>
        <v>8.8800000000000004E-2</v>
      </c>
      <c r="K15" s="91">
        <f>VLOOKUP($A15,'Data Vlaue (Cr)'!$C:$FB,95)</f>
        <v>516</v>
      </c>
      <c r="L15" s="91">
        <f>VLOOKUP($A15,'Data Vlaue (Cr)'!$C:$FB,97)</f>
        <v>5</v>
      </c>
      <c r="M15" s="92">
        <f>VLOOKUP($A15,'Data Vlaue (Cr)'!$C:$FB,98)</f>
        <v>9.2999999999999992E-3</v>
      </c>
      <c r="N15" s="91">
        <f>VLOOKUP($A15,'Data Vlaue (Cr)'!$C:$FB,79)</f>
        <v>664</v>
      </c>
      <c r="O15" s="92">
        <f>VLOOKUP($A15,'Data Vlaue (Cr)'!$C:$FB,82)</f>
        <v>-4.8999999999999998E-3</v>
      </c>
    </row>
    <row r="16" spans="1:15" x14ac:dyDescent="0.25">
      <c r="A16" s="97" t="str">
        <f>'Data Vlaue (Cr)'!C11</f>
        <v>AMBUJACEM</v>
      </c>
      <c r="B16" s="142">
        <f>VLOOKUP(A16,'Data Vlaue (Cr)'!C11:CW224,99,0)</f>
        <v>3769</v>
      </c>
      <c r="C16" s="90">
        <f>VLOOKUP(A16,'Data Vlaue (Cr)'!C11:CY224,101,0)</f>
        <v>22</v>
      </c>
      <c r="D16" s="139">
        <f>VLOOKUP(A16,'Data Vlaue (Cr)'!C11:CZ224,102,0)</f>
        <v>5.8999999999999999E-3</v>
      </c>
      <c r="E16" s="91">
        <f>VLOOKUP($A16,'Data Vlaue (Cr)'!$C:$FB,75)</f>
        <v>2603</v>
      </c>
      <c r="F16" s="91">
        <f>VLOOKUP($A16,'Data Vlaue (Cr)'!$C:$FB,77)</f>
        <v>-10</v>
      </c>
      <c r="G16" s="92">
        <f>VLOOKUP(A16,'Data Vlaue (Cr)'!C11:CB224,78,0)</f>
        <v>-4.0000000000000001E-3</v>
      </c>
      <c r="H16" s="91">
        <f>VLOOKUP($A16,'Data Vlaue (Cr)'!$C:$FB,91)</f>
        <v>643</v>
      </c>
      <c r="I16" s="91">
        <f>VLOOKUP($A16,'Data Vlaue (Cr)'!$C:$FB,93)</f>
        <v>34</v>
      </c>
      <c r="J16" s="92">
        <f>VLOOKUP($A16,'Data Vlaue (Cr)'!$C:$FB,94)</f>
        <v>5.6099999999999997E-2</v>
      </c>
      <c r="K16" s="91">
        <f>VLOOKUP($A16,'Data Vlaue (Cr)'!$C:$FB,95)</f>
        <v>522</v>
      </c>
      <c r="L16" s="91">
        <f>VLOOKUP($A16,'Data Vlaue (Cr)'!$C:$FB,97)</f>
        <v>-1</v>
      </c>
      <c r="M16" s="92">
        <f>VLOOKUP($A16,'Data Vlaue (Cr)'!$C:$FB,98)</f>
        <v>-2.7000000000000001E-3</v>
      </c>
      <c r="N16" s="91">
        <f>VLOOKUP($A16,'Data Vlaue (Cr)'!$C:$FB,79)</f>
        <v>2510</v>
      </c>
      <c r="O16" s="92">
        <f>VLOOKUP($A16,'Data Vlaue (Cr)'!$C:$FB,82)</f>
        <v>-5.7999999999999996E-3</v>
      </c>
    </row>
    <row r="17" spans="1:15" x14ac:dyDescent="0.25">
      <c r="A17" s="97" t="str">
        <f>'Data Vlaue (Cr)'!C12</f>
        <v>ANGELONE</v>
      </c>
      <c r="B17" s="142">
        <f>VLOOKUP(A17,'Data Vlaue (Cr)'!C12:CW225,99,0)</f>
        <v>2838</v>
      </c>
      <c r="C17" s="90">
        <f>VLOOKUP(A17,'Data Vlaue (Cr)'!C12:CY225,101,0)</f>
        <v>92</v>
      </c>
      <c r="D17" s="139">
        <f>VLOOKUP(A17,'Data Vlaue (Cr)'!C12:CZ225,102,0)</f>
        <v>3.3500000000000002E-2</v>
      </c>
      <c r="E17" s="91">
        <f>VLOOKUP($A17,'Data Vlaue (Cr)'!$C:$FB,75)</f>
        <v>1044</v>
      </c>
      <c r="F17" s="91">
        <f>VLOOKUP($A17,'Data Vlaue (Cr)'!$C:$FB,77)</f>
        <v>25</v>
      </c>
      <c r="G17" s="92">
        <f>VLOOKUP(A17,'Data Vlaue (Cr)'!C12:CB225,78,0)</f>
        <v>2.4799999999999999E-2</v>
      </c>
      <c r="H17" s="91">
        <f>VLOOKUP($A17,'Data Vlaue (Cr)'!$C:$FB,91)</f>
        <v>1274</v>
      </c>
      <c r="I17" s="91">
        <f>VLOOKUP($A17,'Data Vlaue (Cr)'!$C:$FB,93)</f>
        <v>65</v>
      </c>
      <c r="J17" s="92">
        <f>VLOOKUP($A17,'Data Vlaue (Cr)'!$C:$FB,94)</f>
        <v>5.3499999999999999E-2</v>
      </c>
      <c r="K17" s="91">
        <f>VLOOKUP($A17,'Data Vlaue (Cr)'!$C:$FB,95)</f>
        <v>519</v>
      </c>
      <c r="L17" s="91">
        <f>VLOOKUP($A17,'Data Vlaue (Cr)'!$C:$FB,97)</f>
        <v>2</v>
      </c>
      <c r="M17" s="92">
        <f>VLOOKUP($A17,'Data Vlaue (Cr)'!$C:$FB,98)</f>
        <v>3.5999999999999999E-3</v>
      </c>
      <c r="N17" s="91">
        <f>VLOOKUP($A17,'Data Vlaue (Cr)'!$C:$FB,79)</f>
        <v>901</v>
      </c>
      <c r="O17" s="92">
        <f>VLOOKUP($A17,'Data Vlaue (Cr)'!$C:$FB,82)</f>
        <v>8.3000000000000001E-3</v>
      </c>
    </row>
    <row r="18" spans="1:15" x14ac:dyDescent="0.25">
      <c r="A18" s="97" t="str">
        <f>'Data Vlaue (Cr)'!C13</f>
        <v>APLAPOLLO</v>
      </c>
      <c r="B18" s="142">
        <f>VLOOKUP(A18,'Data Vlaue (Cr)'!C13:CW226,99,0)</f>
        <v>1744</v>
      </c>
      <c r="C18" s="90">
        <f>VLOOKUP(A18,'Data Vlaue (Cr)'!C13:CY226,101,0)</f>
        <v>39</v>
      </c>
      <c r="D18" s="139">
        <f>VLOOKUP(A18,'Data Vlaue (Cr)'!C13:CZ226,102,0)</f>
        <v>2.29E-2</v>
      </c>
      <c r="E18" s="91">
        <f>VLOOKUP($A18,'Data Vlaue (Cr)'!$C:$FB,75)</f>
        <v>1390</v>
      </c>
      <c r="F18" s="91">
        <f>VLOOKUP($A18,'Data Vlaue (Cr)'!$C:$FB,77)</f>
        <v>18</v>
      </c>
      <c r="G18" s="92">
        <f>VLOOKUP(A18,'Data Vlaue (Cr)'!C13:CB226,78,0)</f>
        <v>1.32E-2</v>
      </c>
      <c r="H18" s="91">
        <f>VLOOKUP($A18,'Data Vlaue (Cr)'!$C:$FB,91)</f>
        <v>202</v>
      </c>
      <c r="I18" s="91">
        <f>VLOOKUP($A18,'Data Vlaue (Cr)'!$C:$FB,93)</f>
        <v>24</v>
      </c>
      <c r="J18" s="92">
        <f>VLOOKUP($A18,'Data Vlaue (Cr)'!$C:$FB,94)</f>
        <v>0.13489999999999999</v>
      </c>
      <c r="K18" s="91">
        <f>VLOOKUP($A18,'Data Vlaue (Cr)'!$C:$FB,95)</f>
        <v>153</v>
      </c>
      <c r="L18" s="91">
        <f>VLOOKUP($A18,'Data Vlaue (Cr)'!$C:$FB,97)</f>
        <v>-3</v>
      </c>
      <c r="M18" s="92">
        <f>VLOOKUP($A18,'Data Vlaue (Cr)'!$C:$FB,98)</f>
        <v>-1.9900000000000001E-2</v>
      </c>
      <c r="N18" s="91">
        <f>VLOOKUP($A18,'Data Vlaue (Cr)'!$C:$FB,79)</f>
        <v>1337</v>
      </c>
      <c r="O18" s="92">
        <f>VLOOKUP($A18,'Data Vlaue (Cr)'!$C:$FB,82)</f>
        <v>8.3000000000000001E-3</v>
      </c>
    </row>
    <row r="19" spans="1:15" x14ac:dyDescent="0.25">
      <c r="A19" s="97" t="str">
        <f>'Data Vlaue (Cr)'!C14</f>
        <v>APOLLOHOSP</v>
      </c>
      <c r="B19" s="142">
        <f>VLOOKUP(A19,'Data Vlaue (Cr)'!C14:CW227,99,0)</f>
        <v>4823</v>
      </c>
      <c r="C19" s="90">
        <f>VLOOKUP(A19,'Data Vlaue (Cr)'!C14:CY227,101,0)</f>
        <v>348</v>
      </c>
      <c r="D19" s="139">
        <f>VLOOKUP(A19,'Data Vlaue (Cr)'!C14:CZ227,102,0)</f>
        <v>7.7799999999999994E-2</v>
      </c>
      <c r="E19" s="91">
        <f>VLOOKUP($A19,'Data Vlaue (Cr)'!$C:$FB,75)</f>
        <v>2366</v>
      </c>
      <c r="F19" s="91">
        <f>VLOOKUP($A19,'Data Vlaue (Cr)'!$C:$FB,77)</f>
        <v>55</v>
      </c>
      <c r="G19" s="92">
        <f>VLOOKUP(A19,'Data Vlaue (Cr)'!C14:CB227,78,0)</f>
        <v>2.3599999999999999E-2</v>
      </c>
      <c r="H19" s="91">
        <f>VLOOKUP($A19,'Data Vlaue (Cr)'!$C:$FB,91)</f>
        <v>1673</v>
      </c>
      <c r="I19" s="91">
        <f>VLOOKUP($A19,'Data Vlaue (Cr)'!$C:$FB,93)</f>
        <v>206</v>
      </c>
      <c r="J19" s="92">
        <f>VLOOKUP($A19,'Data Vlaue (Cr)'!$C:$FB,94)</f>
        <v>0.14019999999999999</v>
      </c>
      <c r="K19" s="91">
        <f>VLOOKUP($A19,'Data Vlaue (Cr)'!$C:$FB,95)</f>
        <v>784</v>
      </c>
      <c r="L19" s="91">
        <f>VLOOKUP($A19,'Data Vlaue (Cr)'!$C:$FB,97)</f>
        <v>88</v>
      </c>
      <c r="M19" s="92">
        <f>VLOOKUP($A19,'Data Vlaue (Cr)'!$C:$FB,98)</f>
        <v>0.12620000000000001</v>
      </c>
      <c r="N19" s="91">
        <f>VLOOKUP($A19,'Data Vlaue (Cr)'!$C:$FB,79)</f>
        <v>2196</v>
      </c>
      <c r="O19" s="92">
        <f>VLOOKUP($A19,'Data Vlaue (Cr)'!$C:$FB,82)</f>
        <v>6.3E-3</v>
      </c>
    </row>
    <row r="20" spans="1:15" x14ac:dyDescent="0.25">
      <c r="A20" s="97" t="str">
        <f>'Data Vlaue (Cr)'!C15</f>
        <v>ASHOKLEY</v>
      </c>
      <c r="B20" s="142">
        <f>VLOOKUP(A20,'Data Vlaue (Cr)'!C15:CW228,99,0)</f>
        <v>4882</v>
      </c>
      <c r="C20" s="90">
        <f>VLOOKUP(A20,'Data Vlaue (Cr)'!C15:CY228,101,0)</f>
        <v>15</v>
      </c>
      <c r="D20" s="139">
        <f>VLOOKUP(A20,'Data Vlaue (Cr)'!C15:CZ228,102,0)</f>
        <v>3.0999999999999999E-3</v>
      </c>
      <c r="E20" s="91">
        <f>VLOOKUP($A20,'Data Vlaue (Cr)'!$C:$FB,75)</f>
        <v>2656</v>
      </c>
      <c r="F20" s="91">
        <f>VLOOKUP($A20,'Data Vlaue (Cr)'!$C:$FB,77)</f>
        <v>35</v>
      </c>
      <c r="G20" s="92">
        <f>VLOOKUP(A20,'Data Vlaue (Cr)'!C15:CB228,78,0)</f>
        <v>1.3299999999999999E-2</v>
      </c>
      <c r="H20" s="91">
        <f>VLOOKUP($A20,'Data Vlaue (Cr)'!$C:$FB,91)</f>
        <v>1127</v>
      </c>
      <c r="I20" s="91">
        <f>VLOOKUP($A20,'Data Vlaue (Cr)'!$C:$FB,93)</f>
        <v>-19</v>
      </c>
      <c r="J20" s="92">
        <f>VLOOKUP($A20,'Data Vlaue (Cr)'!$C:$FB,94)</f>
        <v>-1.6799999999999999E-2</v>
      </c>
      <c r="K20" s="91">
        <f>VLOOKUP($A20,'Data Vlaue (Cr)'!$C:$FB,95)</f>
        <v>1099</v>
      </c>
      <c r="L20" s="91">
        <f>VLOOKUP($A20,'Data Vlaue (Cr)'!$C:$FB,97)</f>
        <v>-1</v>
      </c>
      <c r="M20" s="92">
        <f>VLOOKUP($A20,'Data Vlaue (Cr)'!$C:$FB,98)</f>
        <v>-8.0000000000000004E-4</v>
      </c>
      <c r="N20" s="91">
        <f>VLOOKUP($A20,'Data Vlaue (Cr)'!$C:$FB,79)</f>
        <v>2341</v>
      </c>
      <c r="O20" s="92">
        <f>VLOOKUP($A20,'Data Vlaue (Cr)'!$C:$FB,82)</f>
        <v>-5.0000000000000001E-3</v>
      </c>
    </row>
    <row r="21" spans="1:15" x14ac:dyDescent="0.25">
      <c r="A21" s="97" t="str">
        <f>'Data Vlaue (Cr)'!C16</f>
        <v>ASIANPAINT</v>
      </c>
      <c r="B21" s="142">
        <f>VLOOKUP(A21,'Data Vlaue (Cr)'!C16:CW229,99,0)</f>
        <v>7139</v>
      </c>
      <c r="C21" s="90">
        <f>VLOOKUP(A21,'Data Vlaue (Cr)'!C16:CY229,101,0)</f>
        <v>17</v>
      </c>
      <c r="D21" s="139">
        <f>VLOOKUP(A21,'Data Vlaue (Cr)'!C16:CZ229,102,0)</f>
        <v>2.3E-3</v>
      </c>
      <c r="E21" s="91">
        <f>VLOOKUP($A21,'Data Vlaue (Cr)'!$C:$FB,75)</f>
        <v>3401</v>
      </c>
      <c r="F21" s="91">
        <f>VLOOKUP($A21,'Data Vlaue (Cr)'!$C:$FB,77)</f>
        <v>48</v>
      </c>
      <c r="G21" s="92">
        <f>VLOOKUP(A21,'Data Vlaue (Cr)'!C16:CB229,78,0)</f>
        <v>1.4200000000000001E-2</v>
      </c>
      <c r="H21" s="91">
        <f>VLOOKUP($A21,'Data Vlaue (Cr)'!$C:$FB,91)</f>
        <v>2475</v>
      </c>
      <c r="I21" s="91">
        <f>VLOOKUP($A21,'Data Vlaue (Cr)'!$C:$FB,93)</f>
        <v>-9</v>
      </c>
      <c r="J21" s="92">
        <f>VLOOKUP($A21,'Data Vlaue (Cr)'!$C:$FB,94)</f>
        <v>-3.5999999999999999E-3</v>
      </c>
      <c r="K21" s="91">
        <f>VLOOKUP($A21,'Data Vlaue (Cr)'!$C:$FB,95)</f>
        <v>1263</v>
      </c>
      <c r="L21" s="91">
        <f>VLOOKUP($A21,'Data Vlaue (Cr)'!$C:$FB,97)</f>
        <v>-22</v>
      </c>
      <c r="M21" s="92">
        <f>VLOOKUP($A21,'Data Vlaue (Cr)'!$C:$FB,98)</f>
        <v>-1.7299999999999999E-2</v>
      </c>
      <c r="N21" s="91">
        <f>VLOOKUP($A21,'Data Vlaue (Cr)'!$C:$FB,79)</f>
        <v>3237</v>
      </c>
      <c r="O21" s="92">
        <f>VLOOKUP($A21,'Data Vlaue (Cr)'!$C:$FB,82)</f>
        <v>4.5999999999999999E-3</v>
      </c>
    </row>
    <row r="22" spans="1:15" x14ac:dyDescent="0.25">
      <c r="A22" s="97" t="str">
        <f>'Data Vlaue (Cr)'!C17</f>
        <v>ASTRAL</v>
      </c>
      <c r="B22" s="142">
        <f>VLOOKUP(A22,'Data Vlaue (Cr)'!C17:CW230,99,0)</f>
        <v>1891</v>
      </c>
      <c r="C22" s="90">
        <f>VLOOKUP(A22,'Data Vlaue (Cr)'!C17:CY230,101,0)</f>
        <v>-17</v>
      </c>
      <c r="D22" s="139">
        <f>VLOOKUP(A22,'Data Vlaue (Cr)'!C17:CZ230,102,0)</f>
        <v>-8.8999999999999999E-3</v>
      </c>
      <c r="E22" s="91">
        <f>VLOOKUP($A22,'Data Vlaue (Cr)'!$C:$FB,75)</f>
        <v>1090</v>
      </c>
      <c r="F22" s="91">
        <f>VLOOKUP($A22,'Data Vlaue (Cr)'!$C:$FB,77)</f>
        <v>-9</v>
      </c>
      <c r="G22" s="92">
        <f>VLOOKUP(A22,'Data Vlaue (Cr)'!C17:CB230,78,0)</f>
        <v>-8.0000000000000002E-3</v>
      </c>
      <c r="H22" s="91">
        <f>VLOOKUP($A22,'Data Vlaue (Cr)'!$C:$FB,91)</f>
        <v>532</v>
      </c>
      <c r="I22" s="91">
        <f>VLOOKUP($A22,'Data Vlaue (Cr)'!$C:$FB,93)</f>
        <v>10</v>
      </c>
      <c r="J22" s="92">
        <f>VLOOKUP($A22,'Data Vlaue (Cr)'!$C:$FB,94)</f>
        <v>1.9E-2</v>
      </c>
      <c r="K22" s="91">
        <f>VLOOKUP($A22,'Data Vlaue (Cr)'!$C:$FB,95)</f>
        <v>269</v>
      </c>
      <c r="L22" s="91">
        <f>VLOOKUP($A22,'Data Vlaue (Cr)'!$C:$FB,97)</f>
        <v>-18</v>
      </c>
      <c r="M22" s="92">
        <f>VLOOKUP($A22,'Data Vlaue (Cr)'!$C:$FB,98)</f>
        <v>-6.2700000000000006E-2</v>
      </c>
      <c r="N22" s="91">
        <f>VLOOKUP($A22,'Data Vlaue (Cr)'!$C:$FB,79)</f>
        <v>989</v>
      </c>
      <c r="O22" s="92">
        <f>VLOOKUP($A22,'Data Vlaue (Cr)'!$C:$FB,82)</f>
        <v>-1.41E-2</v>
      </c>
    </row>
    <row r="23" spans="1:15" x14ac:dyDescent="0.25">
      <c r="A23" s="97" t="str">
        <f>'Data Vlaue (Cr)'!C18</f>
        <v>AUBANK</v>
      </c>
      <c r="B23" s="142">
        <f>VLOOKUP(A23,'Data Vlaue (Cr)'!C18:CW231,99,0)</f>
        <v>3659</v>
      </c>
      <c r="C23" s="90">
        <f>VLOOKUP(A23,'Data Vlaue (Cr)'!C18:CY231,101,0)</f>
        <v>192</v>
      </c>
      <c r="D23" s="139">
        <f>VLOOKUP(A23,'Data Vlaue (Cr)'!C18:CZ231,102,0)</f>
        <v>5.5500000000000001E-2</v>
      </c>
      <c r="E23" s="91">
        <f>VLOOKUP($A23,'Data Vlaue (Cr)'!$C:$FB,75)</f>
        <v>2108</v>
      </c>
      <c r="F23" s="91">
        <f>VLOOKUP($A23,'Data Vlaue (Cr)'!$C:$FB,77)</f>
        <v>104</v>
      </c>
      <c r="G23" s="92">
        <f>VLOOKUP(A23,'Data Vlaue (Cr)'!C18:CB231,78,0)</f>
        <v>5.1700000000000003E-2</v>
      </c>
      <c r="H23" s="91">
        <f>VLOOKUP($A23,'Data Vlaue (Cr)'!$C:$FB,91)</f>
        <v>856</v>
      </c>
      <c r="I23" s="91">
        <f>VLOOKUP($A23,'Data Vlaue (Cr)'!$C:$FB,93)</f>
        <v>61</v>
      </c>
      <c r="J23" s="92">
        <f>VLOOKUP($A23,'Data Vlaue (Cr)'!$C:$FB,94)</f>
        <v>7.6600000000000001E-2</v>
      </c>
      <c r="K23" s="91">
        <f>VLOOKUP($A23,'Data Vlaue (Cr)'!$C:$FB,95)</f>
        <v>695</v>
      </c>
      <c r="L23" s="91">
        <f>VLOOKUP($A23,'Data Vlaue (Cr)'!$C:$FB,97)</f>
        <v>28</v>
      </c>
      <c r="M23" s="92">
        <f>VLOOKUP($A23,'Data Vlaue (Cr)'!$C:$FB,98)</f>
        <v>4.1700000000000001E-2</v>
      </c>
      <c r="N23" s="91">
        <f>VLOOKUP($A23,'Data Vlaue (Cr)'!$C:$FB,79)</f>
        <v>1844</v>
      </c>
      <c r="O23" s="92">
        <f>VLOOKUP($A23,'Data Vlaue (Cr)'!$C:$FB,82)</f>
        <v>3.2300000000000002E-2</v>
      </c>
    </row>
    <row r="24" spans="1:15" x14ac:dyDescent="0.25">
      <c r="A24" s="97" t="str">
        <f>'Data Vlaue (Cr)'!C19</f>
        <v>AUROPHARMA</v>
      </c>
      <c r="B24" s="142">
        <f>VLOOKUP(A24,'Data Vlaue (Cr)'!C19:CW232,99,0)</f>
        <v>3711</v>
      </c>
      <c r="C24" s="90">
        <f>VLOOKUP(A24,'Data Vlaue (Cr)'!C19:CY232,101,0)</f>
        <v>27</v>
      </c>
      <c r="D24" s="139">
        <f>VLOOKUP(A24,'Data Vlaue (Cr)'!C19:CZ232,102,0)</f>
        <v>7.1999999999999998E-3</v>
      </c>
      <c r="E24" s="91">
        <f>VLOOKUP($A24,'Data Vlaue (Cr)'!$C:$FB,75)</f>
        <v>2678</v>
      </c>
      <c r="F24" s="91">
        <f>VLOOKUP($A24,'Data Vlaue (Cr)'!$C:$FB,77)</f>
        <v>8</v>
      </c>
      <c r="G24" s="92">
        <f>VLOOKUP(A24,'Data Vlaue (Cr)'!C19:CB232,78,0)</f>
        <v>2.8999999999999998E-3</v>
      </c>
      <c r="H24" s="91">
        <f>VLOOKUP($A24,'Data Vlaue (Cr)'!$C:$FB,91)</f>
        <v>715</v>
      </c>
      <c r="I24" s="91">
        <f>VLOOKUP($A24,'Data Vlaue (Cr)'!$C:$FB,93)</f>
        <v>15</v>
      </c>
      <c r="J24" s="92">
        <f>VLOOKUP($A24,'Data Vlaue (Cr)'!$C:$FB,94)</f>
        <v>2.2100000000000002E-2</v>
      </c>
      <c r="K24" s="91">
        <f>VLOOKUP($A24,'Data Vlaue (Cr)'!$C:$FB,95)</f>
        <v>318</v>
      </c>
      <c r="L24" s="91">
        <f>VLOOKUP($A24,'Data Vlaue (Cr)'!$C:$FB,97)</f>
        <v>3</v>
      </c>
      <c r="M24" s="92">
        <f>VLOOKUP($A24,'Data Vlaue (Cr)'!$C:$FB,98)</f>
        <v>1.11E-2</v>
      </c>
      <c r="N24" s="91">
        <f>VLOOKUP($A24,'Data Vlaue (Cr)'!$C:$FB,79)</f>
        <v>2590</v>
      </c>
      <c r="O24" s="92">
        <f>VLOOKUP($A24,'Data Vlaue (Cr)'!$C:$FB,82)</f>
        <v>-3.8E-3</v>
      </c>
    </row>
    <row r="25" spans="1:15" x14ac:dyDescent="0.25">
      <c r="A25" s="97" t="str">
        <f>'Data Vlaue (Cr)'!C20</f>
        <v>AXISBANK</v>
      </c>
      <c r="B25" s="142">
        <f>VLOOKUP(A25,'Data Vlaue (Cr)'!C20:CW233,99,0)</f>
        <v>15967</v>
      </c>
      <c r="C25" s="90">
        <f>VLOOKUP(A25,'Data Vlaue (Cr)'!C20:CY233,101,0)</f>
        <v>-640</v>
      </c>
      <c r="D25" s="139">
        <f>VLOOKUP(A25,'Data Vlaue (Cr)'!C20:CZ233,102,0)</f>
        <v>-3.8600000000000002E-2</v>
      </c>
      <c r="E25" s="91">
        <f>VLOOKUP($A25,'Data Vlaue (Cr)'!$C:$FB,75)</f>
        <v>9521</v>
      </c>
      <c r="F25" s="91">
        <f>VLOOKUP($A25,'Data Vlaue (Cr)'!$C:$FB,77)</f>
        <v>-10</v>
      </c>
      <c r="G25" s="92">
        <f>VLOOKUP(A25,'Data Vlaue (Cr)'!C20:CB233,78,0)</f>
        <v>-1.1000000000000001E-3</v>
      </c>
      <c r="H25" s="91">
        <f>VLOOKUP($A25,'Data Vlaue (Cr)'!$C:$FB,91)</f>
        <v>4474</v>
      </c>
      <c r="I25" s="91">
        <f>VLOOKUP($A25,'Data Vlaue (Cr)'!$C:$FB,93)</f>
        <v>-393</v>
      </c>
      <c r="J25" s="92">
        <f>VLOOKUP($A25,'Data Vlaue (Cr)'!$C:$FB,94)</f>
        <v>-8.0799999999999997E-2</v>
      </c>
      <c r="K25" s="91">
        <f>VLOOKUP($A25,'Data Vlaue (Cr)'!$C:$FB,95)</f>
        <v>1973</v>
      </c>
      <c r="L25" s="91">
        <f>VLOOKUP($A25,'Data Vlaue (Cr)'!$C:$FB,97)</f>
        <v>-237</v>
      </c>
      <c r="M25" s="92">
        <f>VLOOKUP($A25,'Data Vlaue (Cr)'!$C:$FB,98)</f>
        <v>-0.1072</v>
      </c>
      <c r="N25" s="91">
        <f>VLOOKUP($A25,'Data Vlaue (Cr)'!$C:$FB,79)</f>
        <v>8391</v>
      </c>
      <c r="O25" s="92">
        <f>VLOOKUP($A25,'Data Vlaue (Cr)'!$C:$FB,82)</f>
        <v>-1.5299999999999999E-2</v>
      </c>
    </row>
    <row r="26" spans="1:15" x14ac:dyDescent="0.25">
      <c r="A26" s="97" t="str">
        <f>'Data Vlaue (Cr)'!C21</f>
        <v>BAJAJ-AUTO</v>
      </c>
      <c r="B26" s="142">
        <f>VLOOKUP(A26,'Data Vlaue (Cr)'!C21:CW234,99,0)</f>
        <v>6178</v>
      </c>
      <c r="C26" s="90">
        <f>VLOOKUP(A26,'Data Vlaue (Cr)'!C21:CY234,101,0)</f>
        <v>128</v>
      </c>
      <c r="D26" s="139">
        <f>VLOOKUP(A26,'Data Vlaue (Cr)'!C21:CZ234,102,0)</f>
        <v>2.12E-2</v>
      </c>
      <c r="E26" s="91">
        <f>VLOOKUP($A26,'Data Vlaue (Cr)'!$C:$FB,75)</f>
        <v>3185</v>
      </c>
      <c r="F26" s="91">
        <f>VLOOKUP($A26,'Data Vlaue (Cr)'!$C:$FB,77)</f>
        <v>60</v>
      </c>
      <c r="G26" s="92">
        <f>VLOOKUP(A26,'Data Vlaue (Cr)'!C21:CB234,78,0)</f>
        <v>1.9300000000000001E-2</v>
      </c>
      <c r="H26" s="91">
        <f>VLOOKUP($A26,'Data Vlaue (Cr)'!$C:$FB,91)</f>
        <v>1950</v>
      </c>
      <c r="I26" s="91">
        <f>VLOOKUP($A26,'Data Vlaue (Cr)'!$C:$FB,93)</f>
        <v>63</v>
      </c>
      <c r="J26" s="92">
        <f>VLOOKUP($A26,'Data Vlaue (Cr)'!$C:$FB,94)</f>
        <v>3.32E-2</v>
      </c>
      <c r="K26" s="91">
        <f>VLOOKUP($A26,'Data Vlaue (Cr)'!$C:$FB,95)</f>
        <v>1043</v>
      </c>
      <c r="L26" s="91">
        <f>VLOOKUP($A26,'Data Vlaue (Cr)'!$C:$FB,97)</f>
        <v>5</v>
      </c>
      <c r="M26" s="92">
        <f>VLOOKUP($A26,'Data Vlaue (Cr)'!$C:$FB,98)</f>
        <v>5.1999999999999998E-3</v>
      </c>
      <c r="N26" s="91">
        <f>VLOOKUP($A26,'Data Vlaue (Cr)'!$C:$FB,79)</f>
        <v>2920</v>
      </c>
      <c r="O26" s="92">
        <f>VLOOKUP($A26,'Data Vlaue (Cr)'!$C:$FB,82)</f>
        <v>-1.8499999999999999E-2</v>
      </c>
    </row>
    <row r="27" spans="1:15" x14ac:dyDescent="0.25">
      <c r="A27" s="97" t="str">
        <f>'Data Vlaue (Cr)'!C22</f>
        <v>BAJAJFINSV</v>
      </c>
      <c r="B27" s="142">
        <f>VLOOKUP(A27,'Data Vlaue (Cr)'!C22:CW235,99,0)</f>
        <v>5633</v>
      </c>
      <c r="C27" s="90">
        <f>VLOOKUP(A27,'Data Vlaue (Cr)'!C22:CY235,101,0)</f>
        <v>68</v>
      </c>
      <c r="D27" s="139">
        <f>VLOOKUP(A27,'Data Vlaue (Cr)'!C22:CZ235,102,0)</f>
        <v>1.2200000000000001E-2</v>
      </c>
      <c r="E27" s="91">
        <f>VLOOKUP($A27,'Data Vlaue (Cr)'!$C:$FB,75)</f>
        <v>3760</v>
      </c>
      <c r="F27" s="91">
        <f>VLOOKUP($A27,'Data Vlaue (Cr)'!$C:$FB,77)</f>
        <v>17</v>
      </c>
      <c r="G27" s="92">
        <f>VLOOKUP(A27,'Data Vlaue (Cr)'!C22:CB235,78,0)</f>
        <v>4.4999999999999997E-3</v>
      </c>
      <c r="H27" s="91">
        <f>VLOOKUP($A27,'Data Vlaue (Cr)'!$C:$FB,91)</f>
        <v>1132</v>
      </c>
      <c r="I27" s="91">
        <f>VLOOKUP($A27,'Data Vlaue (Cr)'!$C:$FB,93)</f>
        <v>65</v>
      </c>
      <c r="J27" s="92">
        <f>VLOOKUP($A27,'Data Vlaue (Cr)'!$C:$FB,94)</f>
        <v>6.0600000000000001E-2</v>
      </c>
      <c r="K27" s="91">
        <f>VLOOKUP($A27,'Data Vlaue (Cr)'!$C:$FB,95)</f>
        <v>741</v>
      </c>
      <c r="L27" s="91">
        <f>VLOOKUP($A27,'Data Vlaue (Cr)'!$C:$FB,97)</f>
        <v>-14</v>
      </c>
      <c r="M27" s="92">
        <f>VLOOKUP($A27,'Data Vlaue (Cr)'!$C:$FB,98)</f>
        <v>-1.8200000000000001E-2</v>
      </c>
      <c r="N27" s="91">
        <f>VLOOKUP($A27,'Data Vlaue (Cr)'!$C:$FB,79)</f>
        <v>3222</v>
      </c>
      <c r="O27" s="92">
        <f>VLOOKUP($A27,'Data Vlaue (Cr)'!$C:$FB,82)</f>
        <v>-1.6E-2</v>
      </c>
    </row>
    <row r="28" spans="1:15" x14ac:dyDescent="0.25">
      <c r="A28" s="97" t="str">
        <f>'Data Vlaue (Cr)'!C23</f>
        <v>BAJFINANCE</v>
      </c>
      <c r="B28" s="142">
        <f>VLOOKUP(A28,'Data Vlaue (Cr)'!C23:CW236,99,0)</f>
        <v>14026</v>
      </c>
      <c r="C28" s="90">
        <f>VLOOKUP(A28,'Data Vlaue (Cr)'!C23:CY236,101,0)</f>
        <v>18</v>
      </c>
      <c r="D28" s="139">
        <f>VLOOKUP(A28,'Data Vlaue (Cr)'!C23:CZ236,102,0)</f>
        <v>1.2999999999999999E-3</v>
      </c>
      <c r="E28" s="91">
        <f>VLOOKUP($A28,'Data Vlaue (Cr)'!$C:$FB,75)</f>
        <v>8846</v>
      </c>
      <c r="F28" s="91">
        <f>VLOOKUP($A28,'Data Vlaue (Cr)'!$C:$FB,77)</f>
        <v>-57</v>
      </c>
      <c r="G28" s="92">
        <f>VLOOKUP(A28,'Data Vlaue (Cr)'!C23:CB236,78,0)</f>
        <v>-6.4000000000000003E-3</v>
      </c>
      <c r="H28" s="91">
        <f>VLOOKUP($A28,'Data Vlaue (Cr)'!$C:$FB,91)</f>
        <v>3254</v>
      </c>
      <c r="I28" s="91">
        <f>VLOOKUP($A28,'Data Vlaue (Cr)'!$C:$FB,93)</f>
        <v>25</v>
      </c>
      <c r="J28" s="92">
        <f>VLOOKUP($A28,'Data Vlaue (Cr)'!$C:$FB,94)</f>
        <v>7.7999999999999996E-3</v>
      </c>
      <c r="K28" s="91">
        <f>VLOOKUP($A28,'Data Vlaue (Cr)'!$C:$FB,95)</f>
        <v>1927</v>
      </c>
      <c r="L28" s="91">
        <f>VLOOKUP($A28,'Data Vlaue (Cr)'!$C:$FB,97)</f>
        <v>49</v>
      </c>
      <c r="M28" s="92">
        <f>VLOOKUP($A28,'Data Vlaue (Cr)'!$C:$FB,98)</f>
        <v>2.63E-2</v>
      </c>
      <c r="N28" s="91">
        <f>VLOOKUP($A28,'Data Vlaue (Cr)'!$C:$FB,79)</f>
        <v>7755</v>
      </c>
      <c r="O28" s="92">
        <f>VLOOKUP($A28,'Data Vlaue (Cr)'!$C:$FB,82)</f>
        <v>-3.3799999999999997E-2</v>
      </c>
    </row>
    <row r="29" spans="1:15" x14ac:dyDescent="0.25">
      <c r="A29" s="97" t="str">
        <f>'Data Vlaue (Cr)'!C24</f>
        <v>BANDHANBNK</v>
      </c>
      <c r="B29" s="142">
        <f>VLOOKUP(A29,'Data Vlaue (Cr)'!C24:CW237,99,0)</f>
        <v>2726</v>
      </c>
      <c r="C29" s="90">
        <f>VLOOKUP(A29,'Data Vlaue (Cr)'!C24:CY237,101,0)</f>
        <v>-6</v>
      </c>
      <c r="D29" s="139">
        <f>VLOOKUP(A29,'Data Vlaue (Cr)'!C24:CZ237,102,0)</f>
        <v>-2.2000000000000001E-3</v>
      </c>
      <c r="E29" s="91">
        <f>VLOOKUP($A29,'Data Vlaue (Cr)'!$C:$FB,75)</f>
        <v>1684</v>
      </c>
      <c r="F29" s="91">
        <f>VLOOKUP($A29,'Data Vlaue (Cr)'!$C:$FB,77)</f>
        <v>-4</v>
      </c>
      <c r="G29" s="92">
        <f>VLOOKUP(A29,'Data Vlaue (Cr)'!C24:CB237,78,0)</f>
        <v>-2.2000000000000001E-3</v>
      </c>
      <c r="H29" s="91">
        <f>VLOOKUP($A29,'Data Vlaue (Cr)'!$C:$FB,91)</f>
        <v>623</v>
      </c>
      <c r="I29" s="91">
        <f>VLOOKUP($A29,'Data Vlaue (Cr)'!$C:$FB,93)</f>
        <v>-2</v>
      </c>
      <c r="J29" s="92">
        <f>VLOOKUP($A29,'Data Vlaue (Cr)'!$C:$FB,94)</f>
        <v>-2.7000000000000001E-3</v>
      </c>
      <c r="K29" s="91">
        <f>VLOOKUP($A29,'Data Vlaue (Cr)'!$C:$FB,95)</f>
        <v>420</v>
      </c>
      <c r="L29" s="91">
        <f>VLOOKUP($A29,'Data Vlaue (Cr)'!$C:$FB,97)</f>
        <v>-1</v>
      </c>
      <c r="M29" s="92">
        <f>VLOOKUP($A29,'Data Vlaue (Cr)'!$C:$FB,98)</f>
        <v>-1.8E-3</v>
      </c>
      <c r="N29" s="91">
        <f>VLOOKUP($A29,'Data Vlaue (Cr)'!$C:$FB,79)</f>
        <v>1579</v>
      </c>
      <c r="O29" s="92">
        <f>VLOOKUP($A29,'Data Vlaue (Cr)'!$C:$FB,82)</f>
        <v>-2.0999999999999999E-3</v>
      </c>
    </row>
    <row r="30" spans="1:15" x14ac:dyDescent="0.25">
      <c r="A30" s="97" t="str">
        <f>'Data Vlaue (Cr)'!C25</f>
        <v>BANKBARODA</v>
      </c>
      <c r="B30" s="142">
        <f>VLOOKUP(A30,'Data Vlaue (Cr)'!C25:CW238,99,0)</f>
        <v>5139</v>
      </c>
      <c r="C30" s="90">
        <f>VLOOKUP(A30,'Data Vlaue (Cr)'!C25:CY238,101,0)</f>
        <v>-120</v>
      </c>
      <c r="D30" s="139">
        <f>VLOOKUP(A30,'Data Vlaue (Cr)'!C25:CZ238,102,0)</f>
        <v>-2.2800000000000001E-2</v>
      </c>
      <c r="E30" s="91">
        <f>VLOOKUP($A30,'Data Vlaue (Cr)'!$C:$FB,75)</f>
        <v>2524</v>
      </c>
      <c r="F30" s="91">
        <f>VLOOKUP($A30,'Data Vlaue (Cr)'!$C:$FB,77)</f>
        <v>-40</v>
      </c>
      <c r="G30" s="92">
        <f>VLOOKUP(A30,'Data Vlaue (Cr)'!C25:CB238,78,0)</f>
        <v>-1.54E-2</v>
      </c>
      <c r="H30" s="91">
        <f>VLOOKUP($A30,'Data Vlaue (Cr)'!$C:$FB,91)</f>
        <v>1459</v>
      </c>
      <c r="I30" s="91">
        <f>VLOOKUP($A30,'Data Vlaue (Cr)'!$C:$FB,93)</f>
        <v>-93</v>
      </c>
      <c r="J30" s="92">
        <f>VLOOKUP($A30,'Data Vlaue (Cr)'!$C:$FB,94)</f>
        <v>-0.06</v>
      </c>
      <c r="K30" s="91">
        <f>VLOOKUP($A30,'Data Vlaue (Cr)'!$C:$FB,95)</f>
        <v>1156</v>
      </c>
      <c r="L30" s="91">
        <f>VLOOKUP($A30,'Data Vlaue (Cr)'!$C:$FB,97)</f>
        <v>13</v>
      </c>
      <c r="M30" s="92">
        <f>VLOOKUP($A30,'Data Vlaue (Cr)'!$C:$FB,98)</f>
        <v>1.11E-2</v>
      </c>
      <c r="N30" s="91">
        <f>VLOOKUP($A30,'Data Vlaue (Cr)'!$C:$FB,79)</f>
        <v>2290</v>
      </c>
      <c r="O30" s="92">
        <f>VLOOKUP($A30,'Data Vlaue (Cr)'!$C:$FB,82)</f>
        <v>-2.7199999999999998E-2</v>
      </c>
    </row>
    <row r="31" spans="1:15" x14ac:dyDescent="0.25">
      <c r="A31" s="97" t="str">
        <f>'Data Vlaue (Cr)'!C26</f>
        <v>BANKINDIA</v>
      </c>
      <c r="B31" s="142">
        <f>VLOOKUP(A31,'Data Vlaue (Cr)'!C26:CW239,99,0)</f>
        <v>1392</v>
      </c>
      <c r="C31" s="90">
        <f>VLOOKUP(A31,'Data Vlaue (Cr)'!C26:CY239,101,0)</f>
        <v>21</v>
      </c>
      <c r="D31" s="139">
        <f>VLOOKUP(A31,'Data Vlaue (Cr)'!C26:CZ239,102,0)</f>
        <v>1.5100000000000001E-2</v>
      </c>
      <c r="E31" s="91">
        <f>VLOOKUP($A31,'Data Vlaue (Cr)'!$C:$FB,75)</f>
        <v>715</v>
      </c>
      <c r="F31" s="91">
        <f>VLOOKUP($A31,'Data Vlaue (Cr)'!$C:$FB,77)</f>
        <v>-27</v>
      </c>
      <c r="G31" s="92">
        <f>VLOOKUP(A31,'Data Vlaue (Cr)'!C26:CB239,78,0)</f>
        <v>-3.6700000000000003E-2</v>
      </c>
      <c r="H31" s="91">
        <f>VLOOKUP($A31,'Data Vlaue (Cr)'!$C:$FB,91)</f>
        <v>393</v>
      </c>
      <c r="I31" s="91">
        <f>VLOOKUP($A31,'Data Vlaue (Cr)'!$C:$FB,93)</f>
        <v>29</v>
      </c>
      <c r="J31" s="92">
        <f>VLOOKUP($A31,'Data Vlaue (Cr)'!$C:$FB,94)</f>
        <v>7.8200000000000006E-2</v>
      </c>
      <c r="K31" s="91">
        <f>VLOOKUP($A31,'Data Vlaue (Cr)'!$C:$FB,95)</f>
        <v>284</v>
      </c>
      <c r="L31" s="91">
        <f>VLOOKUP($A31,'Data Vlaue (Cr)'!$C:$FB,97)</f>
        <v>19</v>
      </c>
      <c r="M31" s="92">
        <f>VLOOKUP($A31,'Data Vlaue (Cr)'!$C:$FB,98)</f>
        <v>7.3300000000000004E-2</v>
      </c>
      <c r="N31" s="91">
        <f>VLOOKUP($A31,'Data Vlaue (Cr)'!$C:$FB,79)</f>
        <v>671</v>
      </c>
      <c r="O31" s="92">
        <f>VLOOKUP($A31,'Data Vlaue (Cr)'!$C:$FB,82)</f>
        <v>-4.0599999999999997E-2</v>
      </c>
    </row>
    <row r="32" spans="1:15" x14ac:dyDescent="0.25">
      <c r="A32" s="97" t="str">
        <f>'Data Vlaue (Cr)'!C27</f>
        <v>BANKNIFTY</v>
      </c>
      <c r="B32" s="142">
        <f>VLOOKUP(A32,'Data Vlaue (Cr)'!C27:CW240,99,0)</f>
        <v>247509</v>
      </c>
      <c r="C32" s="90">
        <f>VLOOKUP(A32,'Data Vlaue (Cr)'!C27:CY240,101,0)</f>
        <v>5633</v>
      </c>
      <c r="D32" s="139">
        <f>VLOOKUP(A32,'Data Vlaue (Cr)'!C27:CZ240,102,0)</f>
        <v>2.3300000000000001E-2</v>
      </c>
      <c r="E32" s="91">
        <f>VLOOKUP($A32,'Data Vlaue (Cr)'!$C:$FB,75)</f>
        <v>12400</v>
      </c>
      <c r="F32" s="91">
        <f>VLOOKUP($A32,'Data Vlaue (Cr)'!$C:$FB,77)</f>
        <v>-57</v>
      </c>
      <c r="G32" s="92">
        <f>VLOOKUP(A32,'Data Vlaue (Cr)'!C27:CB240,78,0)</f>
        <v>-4.5999999999999999E-3</v>
      </c>
      <c r="H32" s="91">
        <f>VLOOKUP($A32,'Data Vlaue (Cr)'!$C:$FB,91)</f>
        <v>134280</v>
      </c>
      <c r="I32" s="91">
        <f>VLOOKUP($A32,'Data Vlaue (Cr)'!$C:$FB,93)</f>
        <v>4823</v>
      </c>
      <c r="J32" s="92">
        <f>VLOOKUP($A32,'Data Vlaue (Cr)'!$C:$FB,94)</f>
        <v>3.73E-2</v>
      </c>
      <c r="K32" s="91">
        <f>VLOOKUP($A32,'Data Vlaue (Cr)'!$C:$FB,95)</f>
        <v>100829</v>
      </c>
      <c r="L32" s="91">
        <f>VLOOKUP($A32,'Data Vlaue (Cr)'!$C:$FB,97)</f>
        <v>867</v>
      </c>
      <c r="M32" s="92">
        <f>VLOOKUP($A32,'Data Vlaue (Cr)'!$C:$FB,98)</f>
        <v>8.6999999999999994E-3</v>
      </c>
      <c r="N32" s="91">
        <f>VLOOKUP($A32,'Data Vlaue (Cr)'!$C:$FB,79)</f>
        <v>10910</v>
      </c>
      <c r="O32" s="92">
        <f>VLOOKUP($A32,'Data Vlaue (Cr)'!$C:$FB,82)</f>
        <v>-1.5699999999999999E-2</v>
      </c>
    </row>
    <row r="33" spans="1:15" x14ac:dyDescent="0.25">
      <c r="A33" s="97" t="str">
        <f>'Data Vlaue (Cr)'!C28</f>
        <v>BDL</v>
      </c>
      <c r="B33" s="142">
        <f>VLOOKUP(A33,'Data Vlaue (Cr)'!C28:CW241,99,0)</f>
        <v>2025</v>
      </c>
      <c r="C33" s="90">
        <f>VLOOKUP(A33,'Data Vlaue (Cr)'!C28:CY241,101,0)</f>
        <v>86</v>
      </c>
      <c r="D33" s="139">
        <f>VLOOKUP(A33,'Data Vlaue (Cr)'!C28:CZ241,102,0)</f>
        <v>4.4200000000000003E-2</v>
      </c>
      <c r="E33" s="91">
        <f>VLOOKUP($A33,'Data Vlaue (Cr)'!$C:$FB,75)</f>
        <v>640</v>
      </c>
      <c r="F33" s="91">
        <f>VLOOKUP($A33,'Data Vlaue (Cr)'!$C:$FB,77)</f>
        <v>8</v>
      </c>
      <c r="G33" s="92">
        <f>VLOOKUP(A33,'Data Vlaue (Cr)'!C28:CB241,78,0)</f>
        <v>1.2800000000000001E-2</v>
      </c>
      <c r="H33" s="91">
        <f>VLOOKUP($A33,'Data Vlaue (Cr)'!$C:$FB,91)</f>
        <v>993</v>
      </c>
      <c r="I33" s="91">
        <f>VLOOKUP($A33,'Data Vlaue (Cr)'!$C:$FB,93)</f>
        <v>63</v>
      </c>
      <c r="J33" s="92">
        <f>VLOOKUP($A33,'Data Vlaue (Cr)'!$C:$FB,94)</f>
        <v>6.8199999999999997E-2</v>
      </c>
      <c r="K33" s="91">
        <f>VLOOKUP($A33,'Data Vlaue (Cr)'!$C:$FB,95)</f>
        <v>393</v>
      </c>
      <c r="L33" s="91">
        <f>VLOOKUP($A33,'Data Vlaue (Cr)'!$C:$FB,97)</f>
        <v>14</v>
      </c>
      <c r="M33" s="92">
        <f>VLOOKUP($A33,'Data Vlaue (Cr)'!$C:$FB,98)</f>
        <v>3.7600000000000001E-2</v>
      </c>
      <c r="N33" s="91">
        <f>VLOOKUP($A33,'Data Vlaue (Cr)'!$C:$FB,79)</f>
        <v>553</v>
      </c>
      <c r="O33" s="92">
        <f>VLOOKUP($A33,'Data Vlaue (Cr)'!$C:$FB,82)</f>
        <v>-4.1000000000000003E-3</v>
      </c>
    </row>
    <row r="34" spans="1:15" x14ac:dyDescent="0.25">
      <c r="A34" s="97" t="str">
        <f>'Data Vlaue (Cr)'!C29</f>
        <v>BEL</v>
      </c>
      <c r="B34" s="142">
        <f>VLOOKUP(A34,'Data Vlaue (Cr)'!C29:CW242,99,0)</f>
        <v>9993</v>
      </c>
      <c r="C34" s="90">
        <f>VLOOKUP(A34,'Data Vlaue (Cr)'!C29:CY242,101,0)</f>
        <v>25</v>
      </c>
      <c r="D34" s="139">
        <f>VLOOKUP(A34,'Data Vlaue (Cr)'!C29:CZ242,102,0)</f>
        <v>2.5000000000000001E-3</v>
      </c>
      <c r="E34" s="91">
        <f>VLOOKUP($A34,'Data Vlaue (Cr)'!$C:$FB,75)</f>
        <v>4749</v>
      </c>
      <c r="F34" s="91">
        <f>VLOOKUP($A34,'Data Vlaue (Cr)'!$C:$FB,77)</f>
        <v>61</v>
      </c>
      <c r="G34" s="92">
        <f>VLOOKUP(A34,'Data Vlaue (Cr)'!C29:CB242,78,0)</f>
        <v>1.29E-2</v>
      </c>
      <c r="H34" s="91">
        <f>VLOOKUP($A34,'Data Vlaue (Cr)'!$C:$FB,91)</f>
        <v>3603</v>
      </c>
      <c r="I34" s="91">
        <f>VLOOKUP($A34,'Data Vlaue (Cr)'!$C:$FB,93)</f>
        <v>-21</v>
      </c>
      <c r="J34" s="92">
        <f>VLOOKUP($A34,'Data Vlaue (Cr)'!$C:$FB,94)</f>
        <v>-5.8999999999999999E-3</v>
      </c>
      <c r="K34" s="91">
        <f>VLOOKUP($A34,'Data Vlaue (Cr)'!$C:$FB,95)</f>
        <v>1642</v>
      </c>
      <c r="L34" s="91">
        <f>VLOOKUP($A34,'Data Vlaue (Cr)'!$C:$FB,97)</f>
        <v>-14</v>
      </c>
      <c r="M34" s="92">
        <f>VLOOKUP($A34,'Data Vlaue (Cr)'!$C:$FB,98)</f>
        <v>-8.6E-3</v>
      </c>
      <c r="N34" s="91">
        <f>VLOOKUP($A34,'Data Vlaue (Cr)'!$C:$FB,79)</f>
        <v>3994</v>
      </c>
      <c r="O34" s="92">
        <f>VLOOKUP($A34,'Data Vlaue (Cr)'!$C:$FB,82)</f>
        <v>-9.5999999999999992E-3</v>
      </c>
    </row>
    <row r="35" spans="1:15" x14ac:dyDescent="0.25">
      <c r="A35" s="97" t="str">
        <f>'Data Vlaue (Cr)'!C30</f>
        <v>BHARATFORG</v>
      </c>
      <c r="B35" s="142">
        <f>VLOOKUP(A35,'Data Vlaue (Cr)'!C30:CW243,99,0)</f>
        <v>1952</v>
      </c>
      <c r="C35" s="90">
        <f>VLOOKUP(A35,'Data Vlaue (Cr)'!C30:CY243,101,0)</f>
        <v>33</v>
      </c>
      <c r="D35" s="139">
        <f>VLOOKUP(A35,'Data Vlaue (Cr)'!C30:CZ243,102,0)</f>
        <v>1.72E-2</v>
      </c>
      <c r="E35" s="91">
        <f>VLOOKUP($A35,'Data Vlaue (Cr)'!$C:$FB,75)</f>
        <v>1122</v>
      </c>
      <c r="F35" s="91">
        <f>VLOOKUP($A35,'Data Vlaue (Cr)'!$C:$FB,77)</f>
        <v>21</v>
      </c>
      <c r="G35" s="92">
        <f>VLOOKUP(A35,'Data Vlaue (Cr)'!C30:CB243,78,0)</f>
        <v>1.8800000000000001E-2</v>
      </c>
      <c r="H35" s="91">
        <f>VLOOKUP($A35,'Data Vlaue (Cr)'!$C:$FB,91)</f>
        <v>511</v>
      </c>
      <c r="I35" s="91">
        <f>VLOOKUP($A35,'Data Vlaue (Cr)'!$C:$FB,93)</f>
        <v>6</v>
      </c>
      <c r="J35" s="92">
        <f>VLOOKUP($A35,'Data Vlaue (Cr)'!$C:$FB,94)</f>
        <v>1.14E-2</v>
      </c>
      <c r="K35" s="91">
        <f>VLOOKUP($A35,'Data Vlaue (Cr)'!$C:$FB,95)</f>
        <v>319</v>
      </c>
      <c r="L35" s="91">
        <f>VLOOKUP($A35,'Data Vlaue (Cr)'!$C:$FB,97)</f>
        <v>7</v>
      </c>
      <c r="M35" s="92">
        <f>VLOOKUP($A35,'Data Vlaue (Cr)'!$C:$FB,98)</f>
        <v>2.1100000000000001E-2</v>
      </c>
      <c r="N35" s="91">
        <f>VLOOKUP($A35,'Data Vlaue (Cr)'!$C:$FB,79)</f>
        <v>1024</v>
      </c>
      <c r="O35" s="92">
        <f>VLOOKUP($A35,'Data Vlaue (Cr)'!$C:$FB,82)</f>
        <v>-5.9999999999999995E-4</v>
      </c>
    </row>
    <row r="36" spans="1:15" x14ac:dyDescent="0.25">
      <c r="A36" s="97" t="str">
        <f>'Data Vlaue (Cr)'!C31</f>
        <v>BHARTIARTL</v>
      </c>
      <c r="B36" s="142">
        <f>VLOOKUP(A36,'Data Vlaue (Cr)'!C31:CW244,99,0)</f>
        <v>15907</v>
      </c>
      <c r="C36" s="90">
        <f>VLOOKUP(A36,'Data Vlaue (Cr)'!C31:CY244,101,0)</f>
        <v>-300</v>
      </c>
      <c r="D36" s="139">
        <f>VLOOKUP(A36,'Data Vlaue (Cr)'!C31:CZ244,102,0)</f>
        <v>-1.8499999999999999E-2</v>
      </c>
      <c r="E36" s="91">
        <f>VLOOKUP($A36,'Data Vlaue (Cr)'!$C:$FB,75)</f>
        <v>9824</v>
      </c>
      <c r="F36" s="91">
        <f>VLOOKUP($A36,'Data Vlaue (Cr)'!$C:$FB,77)</f>
        <v>-182</v>
      </c>
      <c r="G36" s="92">
        <f>VLOOKUP(A36,'Data Vlaue (Cr)'!C31:CB244,78,0)</f>
        <v>-1.8200000000000001E-2</v>
      </c>
      <c r="H36" s="91">
        <f>VLOOKUP($A36,'Data Vlaue (Cr)'!$C:$FB,91)</f>
        <v>4059</v>
      </c>
      <c r="I36" s="91">
        <f>VLOOKUP($A36,'Data Vlaue (Cr)'!$C:$FB,93)</f>
        <v>-101</v>
      </c>
      <c r="J36" s="92">
        <f>VLOOKUP($A36,'Data Vlaue (Cr)'!$C:$FB,94)</f>
        <v>-2.4199999999999999E-2</v>
      </c>
      <c r="K36" s="91">
        <f>VLOOKUP($A36,'Data Vlaue (Cr)'!$C:$FB,95)</f>
        <v>2024</v>
      </c>
      <c r="L36" s="91">
        <f>VLOOKUP($A36,'Data Vlaue (Cr)'!$C:$FB,97)</f>
        <v>-17</v>
      </c>
      <c r="M36" s="92">
        <f>VLOOKUP($A36,'Data Vlaue (Cr)'!$C:$FB,98)</f>
        <v>-8.5000000000000006E-3</v>
      </c>
      <c r="N36" s="91">
        <f>VLOOKUP($A36,'Data Vlaue (Cr)'!$C:$FB,79)</f>
        <v>8795</v>
      </c>
      <c r="O36" s="92">
        <f>VLOOKUP($A36,'Data Vlaue (Cr)'!$C:$FB,82)</f>
        <v>-2.8500000000000001E-2</v>
      </c>
    </row>
    <row r="37" spans="1:15" x14ac:dyDescent="0.25">
      <c r="A37" s="97" t="str">
        <f>'Data Vlaue (Cr)'!C32</f>
        <v>BHEL</v>
      </c>
      <c r="B37" s="142">
        <f>VLOOKUP(A37,'Data Vlaue (Cr)'!C32:CW245,99,0)</f>
        <v>3922</v>
      </c>
      <c r="C37" s="90">
        <f>VLOOKUP(A37,'Data Vlaue (Cr)'!C32:CY245,101,0)</f>
        <v>53</v>
      </c>
      <c r="D37" s="139">
        <f>VLOOKUP(A37,'Data Vlaue (Cr)'!C32:CZ245,102,0)</f>
        <v>1.3599999999999999E-2</v>
      </c>
      <c r="E37" s="91">
        <f>VLOOKUP($A37,'Data Vlaue (Cr)'!$C:$FB,75)</f>
        <v>1773</v>
      </c>
      <c r="F37" s="91">
        <f>VLOOKUP($A37,'Data Vlaue (Cr)'!$C:$FB,77)</f>
        <v>-12</v>
      </c>
      <c r="G37" s="92">
        <f>VLOOKUP(A37,'Data Vlaue (Cr)'!C32:CB245,78,0)</f>
        <v>-6.4999999999999997E-3</v>
      </c>
      <c r="H37" s="91">
        <f>VLOOKUP($A37,'Data Vlaue (Cr)'!$C:$FB,91)</f>
        <v>1455</v>
      </c>
      <c r="I37" s="91">
        <f>VLOOKUP($A37,'Data Vlaue (Cr)'!$C:$FB,93)</f>
        <v>63</v>
      </c>
      <c r="J37" s="92">
        <f>VLOOKUP($A37,'Data Vlaue (Cr)'!$C:$FB,94)</f>
        <v>4.5600000000000002E-2</v>
      </c>
      <c r="K37" s="91">
        <f>VLOOKUP($A37,'Data Vlaue (Cr)'!$C:$FB,95)</f>
        <v>694</v>
      </c>
      <c r="L37" s="91">
        <f>VLOOKUP($A37,'Data Vlaue (Cr)'!$C:$FB,97)</f>
        <v>1</v>
      </c>
      <c r="M37" s="92">
        <f>VLOOKUP($A37,'Data Vlaue (Cr)'!$C:$FB,98)</f>
        <v>1.1999999999999999E-3</v>
      </c>
      <c r="N37" s="91">
        <f>VLOOKUP($A37,'Data Vlaue (Cr)'!$C:$FB,79)</f>
        <v>1659</v>
      </c>
      <c r="O37" s="92">
        <f>VLOOKUP($A37,'Data Vlaue (Cr)'!$C:$FB,82)</f>
        <v>-1.0999999999999999E-2</v>
      </c>
    </row>
    <row r="38" spans="1:15" x14ac:dyDescent="0.25">
      <c r="A38" s="97" t="str">
        <f>'Data Vlaue (Cr)'!C33</f>
        <v>BIOCON</v>
      </c>
      <c r="B38" s="142">
        <f>VLOOKUP(A38,'Data Vlaue (Cr)'!C33:CW246,99,0)</f>
        <v>3800</v>
      </c>
      <c r="C38" s="90">
        <f>VLOOKUP(A38,'Data Vlaue (Cr)'!C33:CY246,101,0)</f>
        <v>-48</v>
      </c>
      <c r="D38" s="139">
        <f>VLOOKUP(A38,'Data Vlaue (Cr)'!C33:CZ246,102,0)</f>
        <v>-1.26E-2</v>
      </c>
      <c r="E38" s="91">
        <f>VLOOKUP($A38,'Data Vlaue (Cr)'!$C:$FB,75)</f>
        <v>1878</v>
      </c>
      <c r="F38" s="91">
        <f>VLOOKUP($A38,'Data Vlaue (Cr)'!$C:$FB,77)</f>
        <v>-4</v>
      </c>
      <c r="G38" s="92">
        <f>VLOOKUP(A38,'Data Vlaue (Cr)'!C33:CB246,78,0)</f>
        <v>-1.9E-3</v>
      </c>
      <c r="H38" s="91">
        <f>VLOOKUP($A38,'Data Vlaue (Cr)'!$C:$FB,91)</f>
        <v>1276</v>
      </c>
      <c r="I38" s="91">
        <f>VLOOKUP($A38,'Data Vlaue (Cr)'!$C:$FB,93)</f>
        <v>-37</v>
      </c>
      <c r="J38" s="92">
        <f>VLOOKUP($A38,'Data Vlaue (Cr)'!$C:$FB,94)</f>
        <v>-2.8500000000000001E-2</v>
      </c>
      <c r="K38" s="91">
        <f>VLOOKUP($A38,'Data Vlaue (Cr)'!$C:$FB,95)</f>
        <v>646</v>
      </c>
      <c r="L38" s="91">
        <f>VLOOKUP($A38,'Data Vlaue (Cr)'!$C:$FB,97)</f>
        <v>-7</v>
      </c>
      <c r="M38" s="92">
        <f>VLOOKUP($A38,'Data Vlaue (Cr)'!$C:$FB,98)</f>
        <v>-1.14E-2</v>
      </c>
      <c r="N38" s="91">
        <f>VLOOKUP($A38,'Data Vlaue (Cr)'!$C:$FB,79)</f>
        <v>1782</v>
      </c>
      <c r="O38" s="92">
        <f>VLOOKUP($A38,'Data Vlaue (Cr)'!$C:$FB,82)</f>
        <v>-5.1999999999999998E-3</v>
      </c>
    </row>
    <row r="39" spans="1:15" x14ac:dyDescent="0.25">
      <c r="A39" s="97" t="str">
        <f>'Data Vlaue (Cr)'!C34</f>
        <v>BLUESTARCO</v>
      </c>
      <c r="B39" s="142">
        <f>VLOOKUP(A39,'Data Vlaue (Cr)'!C34:CW247,99,0)</f>
        <v>667</v>
      </c>
      <c r="C39" s="90">
        <f>VLOOKUP(A39,'Data Vlaue (Cr)'!C34:CY247,101,0)</f>
        <v>45</v>
      </c>
      <c r="D39" s="139">
        <f>VLOOKUP(A39,'Data Vlaue (Cr)'!C34:CZ247,102,0)</f>
        <v>7.2900000000000006E-2</v>
      </c>
      <c r="E39" s="91">
        <f>VLOOKUP($A39,'Data Vlaue (Cr)'!$C:$FB,75)</f>
        <v>436</v>
      </c>
      <c r="F39" s="91">
        <f>VLOOKUP($A39,'Data Vlaue (Cr)'!$C:$FB,77)</f>
        <v>3</v>
      </c>
      <c r="G39" s="92">
        <f>VLOOKUP(A39,'Data Vlaue (Cr)'!C34:CB247,78,0)</f>
        <v>6.1999999999999998E-3</v>
      </c>
      <c r="H39" s="91">
        <f>VLOOKUP($A39,'Data Vlaue (Cr)'!$C:$FB,91)</f>
        <v>136</v>
      </c>
      <c r="I39" s="91">
        <f>VLOOKUP($A39,'Data Vlaue (Cr)'!$C:$FB,93)</f>
        <v>31</v>
      </c>
      <c r="J39" s="92">
        <f>VLOOKUP($A39,'Data Vlaue (Cr)'!$C:$FB,94)</f>
        <v>0.29099999999999998</v>
      </c>
      <c r="K39" s="91">
        <f>VLOOKUP($A39,'Data Vlaue (Cr)'!$C:$FB,95)</f>
        <v>95</v>
      </c>
      <c r="L39" s="91">
        <f>VLOOKUP($A39,'Data Vlaue (Cr)'!$C:$FB,97)</f>
        <v>12</v>
      </c>
      <c r="M39" s="92">
        <f>VLOOKUP($A39,'Data Vlaue (Cr)'!$C:$FB,98)</f>
        <v>0.14510000000000001</v>
      </c>
      <c r="N39" s="91">
        <f>VLOOKUP($A39,'Data Vlaue (Cr)'!$C:$FB,79)</f>
        <v>402</v>
      </c>
      <c r="O39" s="92">
        <f>VLOOKUP($A39,'Data Vlaue (Cr)'!$C:$FB,82)</f>
        <v>5.5999999999999999E-3</v>
      </c>
    </row>
    <row r="40" spans="1:15" x14ac:dyDescent="0.25">
      <c r="A40" s="97" t="str">
        <f>'Data Vlaue (Cr)'!C35</f>
        <v>BOSCHLTD</v>
      </c>
      <c r="B40" s="142">
        <f>VLOOKUP(A40,'Data Vlaue (Cr)'!C35:CW248,99,0)</f>
        <v>1238</v>
      </c>
      <c r="C40" s="90">
        <f>VLOOKUP(A40,'Data Vlaue (Cr)'!C35:CY248,101,0)</f>
        <v>41</v>
      </c>
      <c r="D40" s="139">
        <f>VLOOKUP(A40,'Data Vlaue (Cr)'!C35:CZ248,102,0)</f>
        <v>3.4099999999999998E-2</v>
      </c>
      <c r="E40" s="91">
        <f>VLOOKUP($A40,'Data Vlaue (Cr)'!$C:$FB,75)</f>
        <v>764</v>
      </c>
      <c r="F40" s="91">
        <f>VLOOKUP($A40,'Data Vlaue (Cr)'!$C:$FB,77)</f>
        <v>9</v>
      </c>
      <c r="G40" s="92">
        <f>VLOOKUP(A40,'Data Vlaue (Cr)'!C35:CB248,78,0)</f>
        <v>1.18E-2</v>
      </c>
      <c r="H40" s="91">
        <f>VLOOKUP($A40,'Data Vlaue (Cr)'!$C:$FB,91)</f>
        <v>321</v>
      </c>
      <c r="I40" s="91">
        <f>VLOOKUP($A40,'Data Vlaue (Cr)'!$C:$FB,93)</f>
        <v>30</v>
      </c>
      <c r="J40" s="92">
        <f>VLOOKUP($A40,'Data Vlaue (Cr)'!$C:$FB,94)</f>
        <v>0.1047</v>
      </c>
      <c r="K40" s="91">
        <f>VLOOKUP($A40,'Data Vlaue (Cr)'!$C:$FB,95)</f>
        <v>153</v>
      </c>
      <c r="L40" s="91">
        <f>VLOOKUP($A40,'Data Vlaue (Cr)'!$C:$FB,97)</f>
        <v>1</v>
      </c>
      <c r="M40" s="92">
        <f>VLOOKUP($A40,'Data Vlaue (Cr)'!$C:$FB,98)</f>
        <v>9.4999999999999998E-3</v>
      </c>
      <c r="N40" s="91">
        <f>VLOOKUP($A40,'Data Vlaue (Cr)'!$C:$FB,79)</f>
        <v>725</v>
      </c>
      <c r="O40" s="92">
        <f>VLOOKUP($A40,'Data Vlaue (Cr)'!$C:$FB,82)</f>
        <v>-2.2000000000000001E-3</v>
      </c>
    </row>
    <row r="41" spans="1:15" x14ac:dyDescent="0.25">
      <c r="A41" s="97" t="str">
        <f>'Data Vlaue (Cr)'!C36</f>
        <v>BPCL</v>
      </c>
      <c r="B41" s="142">
        <f>VLOOKUP(A41,'Data Vlaue (Cr)'!C36:CW249,99,0)</f>
        <v>2203</v>
      </c>
      <c r="C41" s="90">
        <f>VLOOKUP(A41,'Data Vlaue (Cr)'!C36:CY249,101,0)</f>
        <v>13</v>
      </c>
      <c r="D41" s="139">
        <f>VLOOKUP(A41,'Data Vlaue (Cr)'!C36:CZ249,102,0)</f>
        <v>6.1000000000000004E-3</v>
      </c>
      <c r="E41" s="91">
        <f>VLOOKUP($A41,'Data Vlaue (Cr)'!$C:$FB,75)</f>
        <v>1044</v>
      </c>
      <c r="F41" s="91">
        <f>VLOOKUP($A41,'Data Vlaue (Cr)'!$C:$FB,77)</f>
        <v>-23</v>
      </c>
      <c r="G41" s="92">
        <f>VLOOKUP(A41,'Data Vlaue (Cr)'!C36:CB249,78,0)</f>
        <v>-2.1600000000000001E-2</v>
      </c>
      <c r="H41" s="91">
        <f>VLOOKUP($A41,'Data Vlaue (Cr)'!$C:$FB,91)</f>
        <v>736</v>
      </c>
      <c r="I41" s="91">
        <f>VLOOKUP($A41,'Data Vlaue (Cr)'!$C:$FB,93)</f>
        <v>29</v>
      </c>
      <c r="J41" s="92">
        <f>VLOOKUP($A41,'Data Vlaue (Cr)'!$C:$FB,94)</f>
        <v>4.1500000000000002E-2</v>
      </c>
      <c r="K41" s="91">
        <f>VLOOKUP($A41,'Data Vlaue (Cr)'!$C:$FB,95)</f>
        <v>423</v>
      </c>
      <c r="L41" s="91">
        <f>VLOOKUP($A41,'Data Vlaue (Cr)'!$C:$FB,97)</f>
        <v>7</v>
      </c>
      <c r="M41" s="92">
        <f>VLOOKUP($A41,'Data Vlaue (Cr)'!$C:$FB,98)</f>
        <v>1.7000000000000001E-2</v>
      </c>
      <c r="N41" s="91">
        <f>VLOOKUP($A41,'Data Vlaue (Cr)'!$C:$FB,79)</f>
        <v>989</v>
      </c>
      <c r="O41" s="92">
        <f>VLOOKUP($A41,'Data Vlaue (Cr)'!$C:$FB,82)</f>
        <v>-2.69E-2</v>
      </c>
    </row>
    <row r="42" spans="1:15" x14ac:dyDescent="0.25">
      <c r="A42" s="97" t="str">
        <f>'Data Vlaue (Cr)'!C37</f>
        <v>BRITANNIA</v>
      </c>
      <c r="B42" s="142">
        <f>VLOOKUP(A42,'Data Vlaue (Cr)'!C37:CW250,99,0)</f>
        <v>2911</v>
      </c>
      <c r="C42" s="90">
        <f>VLOOKUP(A42,'Data Vlaue (Cr)'!C37:CY250,101,0)</f>
        <v>33</v>
      </c>
      <c r="D42" s="139">
        <f>VLOOKUP(A42,'Data Vlaue (Cr)'!C37:CZ250,102,0)</f>
        <v>1.1599999999999999E-2</v>
      </c>
      <c r="E42" s="91">
        <f>VLOOKUP($A42,'Data Vlaue (Cr)'!$C:$FB,75)</f>
        <v>1650</v>
      </c>
      <c r="F42" s="91">
        <f>VLOOKUP($A42,'Data Vlaue (Cr)'!$C:$FB,77)</f>
        <v>-18</v>
      </c>
      <c r="G42" s="92">
        <f>VLOOKUP(A42,'Data Vlaue (Cr)'!C37:CB250,78,0)</f>
        <v>-1.0999999999999999E-2</v>
      </c>
      <c r="H42" s="91">
        <f>VLOOKUP($A42,'Data Vlaue (Cr)'!$C:$FB,91)</f>
        <v>771</v>
      </c>
      <c r="I42" s="91">
        <f>VLOOKUP($A42,'Data Vlaue (Cr)'!$C:$FB,93)</f>
        <v>60</v>
      </c>
      <c r="J42" s="92">
        <f>VLOOKUP($A42,'Data Vlaue (Cr)'!$C:$FB,94)</f>
        <v>8.4400000000000003E-2</v>
      </c>
      <c r="K42" s="91">
        <f>VLOOKUP($A42,'Data Vlaue (Cr)'!$C:$FB,95)</f>
        <v>490</v>
      </c>
      <c r="L42" s="91">
        <f>VLOOKUP($A42,'Data Vlaue (Cr)'!$C:$FB,97)</f>
        <v>-8</v>
      </c>
      <c r="M42" s="92">
        <f>VLOOKUP($A42,'Data Vlaue (Cr)'!$C:$FB,98)</f>
        <v>-1.6500000000000001E-2</v>
      </c>
      <c r="N42" s="91">
        <f>VLOOKUP($A42,'Data Vlaue (Cr)'!$C:$FB,79)</f>
        <v>1619</v>
      </c>
      <c r="O42" s="92">
        <f>VLOOKUP($A42,'Data Vlaue (Cr)'!$C:$FB,82)</f>
        <v>-1.2500000000000001E-2</v>
      </c>
    </row>
    <row r="43" spans="1:15" x14ac:dyDescent="0.25">
      <c r="A43" s="97" t="str">
        <f>'Data Vlaue (Cr)'!C38</f>
        <v>BSE</v>
      </c>
      <c r="B43" s="142">
        <f>VLOOKUP(A43,'Data Vlaue (Cr)'!C38:CW251,99,0)</f>
        <v>9006</v>
      </c>
      <c r="C43" s="90">
        <f>VLOOKUP(A43,'Data Vlaue (Cr)'!C38:CY251,101,0)</f>
        <v>-116</v>
      </c>
      <c r="D43" s="139">
        <f>VLOOKUP(A43,'Data Vlaue (Cr)'!C38:CZ251,102,0)</f>
        <v>-1.2699999999999999E-2</v>
      </c>
      <c r="E43" s="91">
        <f>VLOOKUP($A43,'Data Vlaue (Cr)'!$C:$FB,75)</f>
        <v>3084</v>
      </c>
      <c r="F43" s="91">
        <f>VLOOKUP($A43,'Data Vlaue (Cr)'!$C:$FB,77)</f>
        <v>-54</v>
      </c>
      <c r="G43" s="92">
        <f>VLOOKUP(A43,'Data Vlaue (Cr)'!C38:CB251,78,0)</f>
        <v>-1.72E-2</v>
      </c>
      <c r="H43" s="91">
        <f>VLOOKUP($A43,'Data Vlaue (Cr)'!$C:$FB,91)</f>
        <v>3935</v>
      </c>
      <c r="I43" s="91">
        <f>VLOOKUP($A43,'Data Vlaue (Cr)'!$C:$FB,93)</f>
        <v>-29</v>
      </c>
      <c r="J43" s="92">
        <f>VLOOKUP($A43,'Data Vlaue (Cr)'!$C:$FB,94)</f>
        <v>-7.3000000000000001E-3</v>
      </c>
      <c r="K43" s="91">
        <f>VLOOKUP($A43,'Data Vlaue (Cr)'!$C:$FB,95)</f>
        <v>1987</v>
      </c>
      <c r="L43" s="91">
        <f>VLOOKUP($A43,'Data Vlaue (Cr)'!$C:$FB,97)</f>
        <v>-33</v>
      </c>
      <c r="M43" s="92">
        <f>VLOOKUP($A43,'Data Vlaue (Cr)'!$C:$FB,98)</f>
        <v>-1.6299999999999999E-2</v>
      </c>
      <c r="N43" s="91">
        <f>VLOOKUP($A43,'Data Vlaue (Cr)'!$C:$FB,79)</f>
        <v>2685</v>
      </c>
      <c r="O43" s="92">
        <f>VLOOKUP($A43,'Data Vlaue (Cr)'!$C:$FB,82)</f>
        <v>-3.6900000000000002E-2</v>
      </c>
    </row>
    <row r="44" spans="1:15" x14ac:dyDescent="0.25">
      <c r="A44" s="97" t="str">
        <f>'Data Vlaue (Cr)'!C39</f>
        <v>CAMS</v>
      </c>
      <c r="B44" s="142">
        <f>VLOOKUP(A44,'Data Vlaue (Cr)'!C39:CW252,99,0)</f>
        <v>1404</v>
      </c>
      <c r="C44" s="90">
        <f>VLOOKUP(A44,'Data Vlaue (Cr)'!C39:CY252,101,0)</f>
        <v>41</v>
      </c>
      <c r="D44" s="139">
        <f>VLOOKUP(A44,'Data Vlaue (Cr)'!C39:CZ252,102,0)</f>
        <v>2.9899999999999999E-2</v>
      </c>
      <c r="E44" s="91">
        <f>VLOOKUP($A44,'Data Vlaue (Cr)'!$C:$FB,75)</f>
        <v>686</v>
      </c>
      <c r="F44" s="91">
        <f>VLOOKUP($A44,'Data Vlaue (Cr)'!$C:$FB,77)</f>
        <v>-5</v>
      </c>
      <c r="G44" s="92">
        <f>VLOOKUP(A44,'Data Vlaue (Cr)'!C39:CB252,78,0)</f>
        <v>-6.6E-3</v>
      </c>
      <c r="H44" s="91">
        <f>VLOOKUP($A44,'Data Vlaue (Cr)'!$C:$FB,91)</f>
        <v>435</v>
      </c>
      <c r="I44" s="91">
        <f>VLOOKUP($A44,'Data Vlaue (Cr)'!$C:$FB,93)</f>
        <v>17</v>
      </c>
      <c r="J44" s="92">
        <f>VLOOKUP($A44,'Data Vlaue (Cr)'!$C:$FB,94)</f>
        <v>4.0099999999999997E-2</v>
      </c>
      <c r="K44" s="91">
        <f>VLOOKUP($A44,'Data Vlaue (Cr)'!$C:$FB,95)</f>
        <v>284</v>
      </c>
      <c r="L44" s="91">
        <f>VLOOKUP($A44,'Data Vlaue (Cr)'!$C:$FB,97)</f>
        <v>29</v>
      </c>
      <c r="M44" s="92">
        <f>VLOOKUP($A44,'Data Vlaue (Cr)'!$C:$FB,98)</f>
        <v>0.1118</v>
      </c>
      <c r="N44" s="91">
        <f>VLOOKUP($A44,'Data Vlaue (Cr)'!$C:$FB,79)</f>
        <v>589</v>
      </c>
      <c r="O44" s="92">
        <f>VLOOKUP($A44,'Data Vlaue (Cr)'!$C:$FB,82)</f>
        <v>-1.35E-2</v>
      </c>
    </row>
    <row r="45" spans="1:15" x14ac:dyDescent="0.25">
      <c r="A45" s="97" t="str">
        <f>'Data Vlaue (Cr)'!C40</f>
        <v>CANBK</v>
      </c>
      <c r="B45" s="142">
        <f>VLOOKUP(A45,'Data Vlaue (Cr)'!C40:CW253,99,0)</f>
        <v>5214</v>
      </c>
      <c r="C45" s="90">
        <f>VLOOKUP(A45,'Data Vlaue (Cr)'!C40:CY253,101,0)</f>
        <v>-14</v>
      </c>
      <c r="D45" s="139">
        <f>VLOOKUP(A45,'Data Vlaue (Cr)'!C40:CZ253,102,0)</f>
        <v>-2.7000000000000001E-3</v>
      </c>
      <c r="E45" s="91">
        <f>VLOOKUP($A45,'Data Vlaue (Cr)'!$C:$FB,75)</f>
        <v>2184</v>
      </c>
      <c r="F45" s="91">
        <f>VLOOKUP($A45,'Data Vlaue (Cr)'!$C:$FB,77)</f>
        <v>-11</v>
      </c>
      <c r="G45" s="92">
        <f>VLOOKUP(A45,'Data Vlaue (Cr)'!C40:CB253,78,0)</f>
        <v>-4.8999999999999998E-3</v>
      </c>
      <c r="H45" s="91">
        <f>VLOOKUP($A45,'Data Vlaue (Cr)'!$C:$FB,91)</f>
        <v>1664</v>
      </c>
      <c r="I45" s="91">
        <f>VLOOKUP($A45,'Data Vlaue (Cr)'!$C:$FB,93)</f>
        <v>-60</v>
      </c>
      <c r="J45" s="92">
        <f>VLOOKUP($A45,'Data Vlaue (Cr)'!$C:$FB,94)</f>
        <v>-3.4799999999999998E-2</v>
      </c>
      <c r="K45" s="91">
        <f>VLOOKUP($A45,'Data Vlaue (Cr)'!$C:$FB,95)</f>
        <v>1366</v>
      </c>
      <c r="L45" s="91">
        <f>VLOOKUP($A45,'Data Vlaue (Cr)'!$C:$FB,97)</f>
        <v>57</v>
      </c>
      <c r="M45" s="92">
        <f>VLOOKUP($A45,'Data Vlaue (Cr)'!$C:$FB,98)</f>
        <v>4.3299999999999998E-2</v>
      </c>
      <c r="N45" s="91">
        <f>VLOOKUP($A45,'Data Vlaue (Cr)'!$C:$FB,79)</f>
        <v>1840</v>
      </c>
      <c r="O45" s="92">
        <f>VLOOKUP($A45,'Data Vlaue (Cr)'!$C:$FB,82)</f>
        <v>-2.1100000000000001E-2</v>
      </c>
    </row>
    <row r="46" spans="1:15" x14ac:dyDescent="0.25">
      <c r="A46" s="97" t="str">
        <f>'Data Vlaue (Cr)'!C41</f>
        <v>CDSL</v>
      </c>
      <c r="B46" s="142">
        <f>VLOOKUP(A46,'Data Vlaue (Cr)'!C41:CW254,99,0)</f>
        <v>3975</v>
      </c>
      <c r="C46" s="90">
        <f>VLOOKUP(A46,'Data Vlaue (Cr)'!C41:CY254,101,0)</f>
        <v>198</v>
      </c>
      <c r="D46" s="139">
        <f>VLOOKUP(A46,'Data Vlaue (Cr)'!C41:CZ254,102,0)</f>
        <v>5.2499999999999998E-2</v>
      </c>
      <c r="E46" s="91">
        <f>VLOOKUP($A46,'Data Vlaue (Cr)'!$C:$FB,75)</f>
        <v>1490</v>
      </c>
      <c r="F46" s="91">
        <f>VLOOKUP($A46,'Data Vlaue (Cr)'!$C:$FB,77)</f>
        <v>47</v>
      </c>
      <c r="G46" s="92">
        <f>VLOOKUP(A46,'Data Vlaue (Cr)'!C41:CB254,78,0)</f>
        <v>3.2800000000000003E-2</v>
      </c>
      <c r="H46" s="91">
        <f>VLOOKUP($A46,'Data Vlaue (Cr)'!$C:$FB,91)</f>
        <v>1731</v>
      </c>
      <c r="I46" s="91">
        <f>VLOOKUP($A46,'Data Vlaue (Cr)'!$C:$FB,93)</f>
        <v>135</v>
      </c>
      <c r="J46" s="92">
        <f>VLOOKUP($A46,'Data Vlaue (Cr)'!$C:$FB,94)</f>
        <v>8.4900000000000003E-2</v>
      </c>
      <c r="K46" s="91">
        <f>VLOOKUP($A46,'Data Vlaue (Cr)'!$C:$FB,95)</f>
        <v>754</v>
      </c>
      <c r="L46" s="91">
        <f>VLOOKUP($A46,'Data Vlaue (Cr)'!$C:$FB,97)</f>
        <v>16</v>
      </c>
      <c r="M46" s="92">
        <f>VLOOKUP($A46,'Data Vlaue (Cr)'!$C:$FB,98)</f>
        <v>2.1000000000000001E-2</v>
      </c>
      <c r="N46" s="91">
        <f>VLOOKUP($A46,'Data Vlaue (Cr)'!$C:$FB,79)</f>
        <v>1300</v>
      </c>
      <c r="O46" s="92">
        <f>VLOOKUP($A46,'Data Vlaue (Cr)'!$C:$FB,82)</f>
        <v>1.7999999999999999E-2</v>
      </c>
    </row>
    <row r="47" spans="1:15" x14ac:dyDescent="0.25">
      <c r="A47" s="97" t="str">
        <f>'Data Vlaue (Cr)'!C42</f>
        <v>CGPOWER</v>
      </c>
      <c r="B47" s="142">
        <f>VLOOKUP(A47,'Data Vlaue (Cr)'!C42:CW255,99,0)</f>
        <v>1925</v>
      </c>
      <c r="C47" s="90">
        <f>VLOOKUP(A47,'Data Vlaue (Cr)'!C42:CY255,101,0)</f>
        <v>120</v>
      </c>
      <c r="D47" s="139">
        <f>VLOOKUP(A47,'Data Vlaue (Cr)'!C42:CZ255,102,0)</f>
        <v>6.6400000000000001E-2</v>
      </c>
      <c r="E47" s="91">
        <f>VLOOKUP($A47,'Data Vlaue (Cr)'!$C:$FB,75)</f>
        <v>991</v>
      </c>
      <c r="F47" s="91">
        <f>VLOOKUP($A47,'Data Vlaue (Cr)'!$C:$FB,77)</f>
        <v>-8</v>
      </c>
      <c r="G47" s="92">
        <f>VLOOKUP(A47,'Data Vlaue (Cr)'!C42:CB255,78,0)</f>
        <v>-8.2000000000000007E-3</v>
      </c>
      <c r="H47" s="91">
        <f>VLOOKUP($A47,'Data Vlaue (Cr)'!$C:$FB,91)</f>
        <v>646</v>
      </c>
      <c r="I47" s="91">
        <f>VLOOKUP($A47,'Data Vlaue (Cr)'!$C:$FB,93)</f>
        <v>118</v>
      </c>
      <c r="J47" s="92">
        <f>VLOOKUP($A47,'Data Vlaue (Cr)'!$C:$FB,94)</f>
        <v>0.223</v>
      </c>
      <c r="K47" s="91">
        <f>VLOOKUP($A47,'Data Vlaue (Cr)'!$C:$FB,95)</f>
        <v>287</v>
      </c>
      <c r="L47" s="91">
        <f>VLOOKUP($A47,'Data Vlaue (Cr)'!$C:$FB,97)</f>
        <v>10</v>
      </c>
      <c r="M47" s="92">
        <f>VLOOKUP($A47,'Data Vlaue (Cr)'!$C:$FB,98)</f>
        <v>3.6900000000000002E-2</v>
      </c>
      <c r="N47" s="91">
        <f>VLOOKUP($A47,'Data Vlaue (Cr)'!$C:$FB,79)</f>
        <v>914</v>
      </c>
      <c r="O47" s="92">
        <f>VLOOKUP($A47,'Data Vlaue (Cr)'!$C:$FB,82)</f>
        <v>-1.6799999999999999E-2</v>
      </c>
    </row>
    <row r="48" spans="1:15" x14ac:dyDescent="0.25">
      <c r="A48" s="97" t="str">
        <f>'Data Vlaue (Cr)'!C43</f>
        <v>CHOLAFIN</v>
      </c>
      <c r="B48" s="142">
        <f>VLOOKUP(A48,'Data Vlaue (Cr)'!C43:CW256,99,0)</f>
        <v>4118</v>
      </c>
      <c r="C48" s="90">
        <f>VLOOKUP(A48,'Data Vlaue (Cr)'!C43:CY256,101,0)</f>
        <v>734</v>
      </c>
      <c r="D48" s="139">
        <f>VLOOKUP(A48,'Data Vlaue (Cr)'!C43:CZ256,102,0)</f>
        <v>0.21679999999999999</v>
      </c>
      <c r="E48" s="91">
        <f>VLOOKUP($A48,'Data Vlaue (Cr)'!$C:$FB,75)</f>
        <v>2413</v>
      </c>
      <c r="F48" s="91">
        <f>VLOOKUP($A48,'Data Vlaue (Cr)'!$C:$FB,77)</f>
        <v>37</v>
      </c>
      <c r="G48" s="92">
        <f>VLOOKUP(A48,'Data Vlaue (Cr)'!C43:CB256,78,0)</f>
        <v>1.5699999999999999E-2</v>
      </c>
      <c r="H48" s="91">
        <f>VLOOKUP($A48,'Data Vlaue (Cr)'!$C:$FB,91)</f>
        <v>981</v>
      </c>
      <c r="I48" s="91">
        <f>VLOOKUP($A48,'Data Vlaue (Cr)'!$C:$FB,93)</f>
        <v>369</v>
      </c>
      <c r="J48" s="92">
        <f>VLOOKUP($A48,'Data Vlaue (Cr)'!$C:$FB,94)</f>
        <v>0.60170000000000001</v>
      </c>
      <c r="K48" s="91">
        <f>VLOOKUP($A48,'Data Vlaue (Cr)'!$C:$FB,95)</f>
        <v>723</v>
      </c>
      <c r="L48" s="91">
        <f>VLOOKUP($A48,'Data Vlaue (Cr)'!$C:$FB,97)</f>
        <v>328</v>
      </c>
      <c r="M48" s="92">
        <f>VLOOKUP($A48,'Data Vlaue (Cr)'!$C:$FB,98)</f>
        <v>0.8286</v>
      </c>
      <c r="N48" s="91">
        <f>VLOOKUP($A48,'Data Vlaue (Cr)'!$C:$FB,79)</f>
        <v>2274</v>
      </c>
      <c r="O48" s="92">
        <f>VLOOKUP($A48,'Data Vlaue (Cr)'!$C:$FB,82)</f>
        <v>3.0999999999999999E-3</v>
      </c>
    </row>
    <row r="49" spans="1:15" x14ac:dyDescent="0.25">
      <c r="A49" s="97" t="str">
        <f>'Data Vlaue (Cr)'!C44</f>
        <v>CIPLA</v>
      </c>
      <c r="B49" s="142">
        <f>VLOOKUP(A49,'Data Vlaue (Cr)'!C44:CW257,99,0)</f>
        <v>3580</v>
      </c>
      <c r="C49" s="90">
        <f>VLOOKUP(A49,'Data Vlaue (Cr)'!C44:CY257,101,0)</f>
        <v>65</v>
      </c>
      <c r="D49" s="139">
        <f>VLOOKUP(A49,'Data Vlaue (Cr)'!C44:CZ257,102,0)</f>
        <v>1.8499999999999999E-2</v>
      </c>
      <c r="E49" s="91">
        <f>VLOOKUP($A49,'Data Vlaue (Cr)'!$C:$FB,75)</f>
        <v>2063</v>
      </c>
      <c r="F49" s="91">
        <f>VLOOKUP($A49,'Data Vlaue (Cr)'!$C:$FB,77)</f>
        <v>46</v>
      </c>
      <c r="G49" s="92">
        <f>VLOOKUP(A49,'Data Vlaue (Cr)'!C44:CB257,78,0)</f>
        <v>2.2800000000000001E-2</v>
      </c>
      <c r="H49" s="91">
        <f>VLOOKUP($A49,'Data Vlaue (Cr)'!$C:$FB,91)</f>
        <v>921</v>
      </c>
      <c r="I49" s="91">
        <f>VLOOKUP($A49,'Data Vlaue (Cr)'!$C:$FB,93)</f>
        <v>22</v>
      </c>
      <c r="J49" s="92">
        <f>VLOOKUP($A49,'Data Vlaue (Cr)'!$C:$FB,94)</f>
        <v>2.41E-2</v>
      </c>
      <c r="K49" s="91">
        <f>VLOOKUP($A49,'Data Vlaue (Cr)'!$C:$FB,95)</f>
        <v>596</v>
      </c>
      <c r="L49" s="91">
        <f>VLOOKUP($A49,'Data Vlaue (Cr)'!$C:$FB,97)</f>
        <v>-2</v>
      </c>
      <c r="M49" s="92">
        <f>VLOOKUP($A49,'Data Vlaue (Cr)'!$C:$FB,98)</f>
        <v>-4.1000000000000003E-3</v>
      </c>
      <c r="N49" s="91">
        <f>VLOOKUP($A49,'Data Vlaue (Cr)'!$C:$FB,79)</f>
        <v>1856</v>
      </c>
      <c r="O49" s="92">
        <f>VLOOKUP($A49,'Data Vlaue (Cr)'!$C:$FB,82)</f>
        <v>-4.1999999999999997E-3</v>
      </c>
    </row>
    <row r="50" spans="1:15" x14ac:dyDescent="0.25">
      <c r="A50" s="97" t="str">
        <f>'Data Vlaue (Cr)'!C45</f>
        <v>COALINDIA</v>
      </c>
      <c r="B50" s="142">
        <f>VLOOKUP(A50,'Data Vlaue (Cr)'!C45:CW258,99,0)</f>
        <v>3638</v>
      </c>
      <c r="C50" s="90">
        <f>VLOOKUP(A50,'Data Vlaue (Cr)'!C45:CY258,101,0)</f>
        <v>33</v>
      </c>
      <c r="D50" s="139">
        <f>VLOOKUP(A50,'Data Vlaue (Cr)'!C45:CZ258,102,0)</f>
        <v>9.1000000000000004E-3</v>
      </c>
      <c r="E50" s="91">
        <f>VLOOKUP($A50,'Data Vlaue (Cr)'!$C:$FB,75)</f>
        <v>2154</v>
      </c>
      <c r="F50" s="91">
        <f>VLOOKUP($A50,'Data Vlaue (Cr)'!$C:$FB,77)</f>
        <v>-18</v>
      </c>
      <c r="G50" s="92">
        <f>VLOOKUP(A50,'Data Vlaue (Cr)'!C45:CB258,78,0)</f>
        <v>-8.2000000000000007E-3</v>
      </c>
      <c r="H50" s="91">
        <f>VLOOKUP($A50,'Data Vlaue (Cr)'!$C:$FB,91)</f>
        <v>760</v>
      </c>
      <c r="I50" s="91">
        <f>VLOOKUP($A50,'Data Vlaue (Cr)'!$C:$FB,93)</f>
        <v>27</v>
      </c>
      <c r="J50" s="92">
        <f>VLOOKUP($A50,'Data Vlaue (Cr)'!$C:$FB,94)</f>
        <v>3.73E-2</v>
      </c>
      <c r="K50" s="91">
        <f>VLOOKUP($A50,'Data Vlaue (Cr)'!$C:$FB,95)</f>
        <v>724</v>
      </c>
      <c r="L50" s="91">
        <f>VLOOKUP($A50,'Data Vlaue (Cr)'!$C:$FB,97)</f>
        <v>23</v>
      </c>
      <c r="M50" s="92">
        <f>VLOOKUP($A50,'Data Vlaue (Cr)'!$C:$FB,98)</f>
        <v>3.3099999999999997E-2</v>
      </c>
      <c r="N50" s="91">
        <f>VLOOKUP($A50,'Data Vlaue (Cr)'!$C:$FB,79)</f>
        <v>1880</v>
      </c>
      <c r="O50" s="92">
        <f>VLOOKUP($A50,'Data Vlaue (Cr)'!$C:$FB,82)</f>
        <v>-1.6899999999999998E-2</v>
      </c>
    </row>
    <row r="51" spans="1:15" x14ac:dyDescent="0.25">
      <c r="A51" s="97" t="str">
        <f>'Data Vlaue (Cr)'!C46</f>
        <v>COFORGE</v>
      </c>
      <c r="B51" s="142">
        <f>VLOOKUP(A51,'Data Vlaue (Cr)'!C46:CW259,99,0)</f>
        <v>4402</v>
      </c>
      <c r="C51" s="90">
        <f>VLOOKUP(A51,'Data Vlaue (Cr)'!C46:CY259,101,0)</f>
        <v>52</v>
      </c>
      <c r="D51" s="139">
        <f>VLOOKUP(A51,'Data Vlaue (Cr)'!C46:CZ259,102,0)</f>
        <v>1.21E-2</v>
      </c>
      <c r="E51" s="91">
        <f>VLOOKUP($A51,'Data Vlaue (Cr)'!$C:$FB,75)</f>
        <v>2310</v>
      </c>
      <c r="F51" s="91">
        <f>VLOOKUP($A51,'Data Vlaue (Cr)'!$C:$FB,77)</f>
        <v>60</v>
      </c>
      <c r="G51" s="92">
        <f>VLOOKUP(A51,'Data Vlaue (Cr)'!C46:CB259,78,0)</f>
        <v>2.69E-2</v>
      </c>
      <c r="H51" s="91">
        <f>VLOOKUP($A51,'Data Vlaue (Cr)'!$C:$FB,91)</f>
        <v>1435</v>
      </c>
      <c r="I51" s="91">
        <f>VLOOKUP($A51,'Data Vlaue (Cr)'!$C:$FB,93)</f>
        <v>-19</v>
      </c>
      <c r="J51" s="92">
        <f>VLOOKUP($A51,'Data Vlaue (Cr)'!$C:$FB,94)</f>
        <v>-1.29E-2</v>
      </c>
      <c r="K51" s="91">
        <f>VLOOKUP($A51,'Data Vlaue (Cr)'!$C:$FB,95)</f>
        <v>657</v>
      </c>
      <c r="L51" s="91">
        <f>VLOOKUP($A51,'Data Vlaue (Cr)'!$C:$FB,97)</f>
        <v>11</v>
      </c>
      <c r="M51" s="92">
        <f>VLOOKUP($A51,'Data Vlaue (Cr)'!$C:$FB,98)</f>
        <v>1.67E-2</v>
      </c>
      <c r="N51" s="91">
        <f>VLOOKUP($A51,'Data Vlaue (Cr)'!$C:$FB,79)</f>
        <v>2180</v>
      </c>
      <c r="O51" s="92">
        <f>VLOOKUP($A51,'Data Vlaue (Cr)'!$C:$FB,82)</f>
        <v>0.02</v>
      </c>
    </row>
    <row r="52" spans="1:15" x14ac:dyDescent="0.25">
      <c r="A52" s="97" t="str">
        <f>'Data Vlaue (Cr)'!C47</f>
        <v>COLPAL</v>
      </c>
      <c r="B52" s="142">
        <f>VLOOKUP(A52,'Data Vlaue (Cr)'!C47:CW260,99,0)</f>
        <v>2555</v>
      </c>
      <c r="C52" s="90">
        <f>VLOOKUP(A52,'Data Vlaue (Cr)'!C47:CY260,101,0)</f>
        <v>360</v>
      </c>
      <c r="D52" s="139">
        <f>VLOOKUP(A52,'Data Vlaue (Cr)'!C47:CZ260,102,0)</f>
        <v>0.16389999999999999</v>
      </c>
      <c r="E52" s="91">
        <f>VLOOKUP($A52,'Data Vlaue (Cr)'!$C:$FB,75)</f>
        <v>1503</v>
      </c>
      <c r="F52" s="91">
        <f>VLOOKUP($A52,'Data Vlaue (Cr)'!$C:$FB,77)</f>
        <v>144</v>
      </c>
      <c r="G52" s="92">
        <f>VLOOKUP(A52,'Data Vlaue (Cr)'!C47:CB260,78,0)</f>
        <v>0.1057</v>
      </c>
      <c r="H52" s="91">
        <f>VLOOKUP($A52,'Data Vlaue (Cr)'!$C:$FB,91)</f>
        <v>647</v>
      </c>
      <c r="I52" s="91">
        <f>VLOOKUP($A52,'Data Vlaue (Cr)'!$C:$FB,93)</f>
        <v>130</v>
      </c>
      <c r="J52" s="92">
        <f>VLOOKUP($A52,'Data Vlaue (Cr)'!$C:$FB,94)</f>
        <v>0.2505</v>
      </c>
      <c r="K52" s="91">
        <f>VLOOKUP($A52,'Data Vlaue (Cr)'!$C:$FB,95)</f>
        <v>405</v>
      </c>
      <c r="L52" s="91">
        <f>VLOOKUP($A52,'Data Vlaue (Cr)'!$C:$FB,97)</f>
        <v>86</v>
      </c>
      <c r="M52" s="92">
        <f>VLOOKUP($A52,'Data Vlaue (Cr)'!$C:$FB,98)</f>
        <v>0.27110000000000001</v>
      </c>
      <c r="N52" s="91">
        <f>VLOOKUP($A52,'Data Vlaue (Cr)'!$C:$FB,79)</f>
        <v>1326</v>
      </c>
      <c r="O52" s="92">
        <f>VLOOKUP($A52,'Data Vlaue (Cr)'!$C:$FB,82)</f>
        <v>5.1200000000000002E-2</v>
      </c>
    </row>
    <row r="53" spans="1:15" x14ac:dyDescent="0.25">
      <c r="A53" s="97" t="str">
        <f>'Data Vlaue (Cr)'!C48</f>
        <v>CONCOR</v>
      </c>
      <c r="B53" s="142">
        <f>VLOOKUP(A53,'Data Vlaue (Cr)'!C48:CW261,99,0)</f>
        <v>3200</v>
      </c>
      <c r="C53" s="90">
        <f>VLOOKUP(A53,'Data Vlaue (Cr)'!C48:CY261,101,0)</f>
        <v>52</v>
      </c>
      <c r="D53" s="139">
        <f>VLOOKUP(A53,'Data Vlaue (Cr)'!C48:CZ261,102,0)</f>
        <v>1.66E-2</v>
      </c>
      <c r="E53" s="91">
        <f>VLOOKUP($A53,'Data Vlaue (Cr)'!$C:$FB,75)</f>
        <v>2004</v>
      </c>
      <c r="F53" s="91">
        <f>VLOOKUP($A53,'Data Vlaue (Cr)'!$C:$FB,77)</f>
        <v>10</v>
      </c>
      <c r="G53" s="92">
        <f>VLOOKUP(A53,'Data Vlaue (Cr)'!C48:CB261,78,0)</f>
        <v>5.0000000000000001E-3</v>
      </c>
      <c r="H53" s="91">
        <f>VLOOKUP($A53,'Data Vlaue (Cr)'!$C:$FB,91)</f>
        <v>692</v>
      </c>
      <c r="I53" s="91">
        <f>VLOOKUP($A53,'Data Vlaue (Cr)'!$C:$FB,93)</f>
        <v>28</v>
      </c>
      <c r="J53" s="92">
        <f>VLOOKUP($A53,'Data Vlaue (Cr)'!$C:$FB,94)</f>
        <v>4.2500000000000003E-2</v>
      </c>
      <c r="K53" s="91">
        <f>VLOOKUP($A53,'Data Vlaue (Cr)'!$C:$FB,95)</f>
        <v>504</v>
      </c>
      <c r="L53" s="91">
        <f>VLOOKUP($A53,'Data Vlaue (Cr)'!$C:$FB,97)</f>
        <v>14</v>
      </c>
      <c r="M53" s="92">
        <f>VLOOKUP($A53,'Data Vlaue (Cr)'!$C:$FB,98)</f>
        <v>2.8899999999999999E-2</v>
      </c>
      <c r="N53" s="91">
        <f>VLOOKUP($A53,'Data Vlaue (Cr)'!$C:$FB,79)</f>
        <v>1829</v>
      </c>
      <c r="O53" s="92">
        <f>VLOOKUP($A53,'Data Vlaue (Cr)'!$C:$FB,82)</f>
        <v>-5.5999999999999999E-3</v>
      </c>
    </row>
    <row r="54" spans="1:15" x14ac:dyDescent="0.25">
      <c r="A54" s="97" t="str">
        <f>'Data Vlaue (Cr)'!C49</f>
        <v>CROMPTON</v>
      </c>
      <c r="B54" s="142">
        <f>VLOOKUP(A54,'Data Vlaue (Cr)'!C49:CW262,99,0)</f>
        <v>2330</v>
      </c>
      <c r="C54" s="90">
        <f>VLOOKUP(A54,'Data Vlaue (Cr)'!C49:CY262,101,0)</f>
        <v>17</v>
      </c>
      <c r="D54" s="139">
        <f>VLOOKUP(A54,'Data Vlaue (Cr)'!C49:CZ262,102,0)</f>
        <v>7.4000000000000003E-3</v>
      </c>
      <c r="E54" s="91">
        <f>VLOOKUP($A54,'Data Vlaue (Cr)'!$C:$FB,75)</f>
        <v>1421</v>
      </c>
      <c r="F54" s="91">
        <f>VLOOKUP($A54,'Data Vlaue (Cr)'!$C:$FB,77)</f>
        <v>-9</v>
      </c>
      <c r="G54" s="92">
        <f>VLOOKUP(A54,'Data Vlaue (Cr)'!C49:CB262,78,0)</f>
        <v>-6.0000000000000001E-3</v>
      </c>
      <c r="H54" s="91">
        <f>VLOOKUP($A54,'Data Vlaue (Cr)'!$C:$FB,91)</f>
        <v>611</v>
      </c>
      <c r="I54" s="91">
        <f>VLOOKUP($A54,'Data Vlaue (Cr)'!$C:$FB,93)</f>
        <v>32</v>
      </c>
      <c r="J54" s="92">
        <f>VLOOKUP($A54,'Data Vlaue (Cr)'!$C:$FB,94)</f>
        <v>5.4800000000000001E-2</v>
      </c>
      <c r="K54" s="91">
        <f>VLOOKUP($A54,'Data Vlaue (Cr)'!$C:$FB,95)</f>
        <v>298</v>
      </c>
      <c r="L54" s="91">
        <f>VLOOKUP($A54,'Data Vlaue (Cr)'!$C:$FB,97)</f>
        <v>-6</v>
      </c>
      <c r="M54" s="92">
        <f>VLOOKUP($A54,'Data Vlaue (Cr)'!$C:$FB,98)</f>
        <v>-1.9900000000000001E-2</v>
      </c>
      <c r="N54" s="91">
        <f>VLOOKUP($A54,'Data Vlaue (Cr)'!$C:$FB,79)</f>
        <v>1313</v>
      </c>
      <c r="O54" s="92">
        <f>VLOOKUP($A54,'Data Vlaue (Cr)'!$C:$FB,82)</f>
        <v>-9.9000000000000008E-3</v>
      </c>
    </row>
    <row r="55" spans="1:15" x14ac:dyDescent="0.25">
      <c r="A55" s="97" t="str">
        <f>'Data Vlaue (Cr)'!C50</f>
        <v>CUMMINSIND</v>
      </c>
      <c r="B55" s="142">
        <f>VLOOKUP(A55,'Data Vlaue (Cr)'!C50:CW263,99,0)</f>
        <v>2160</v>
      </c>
      <c r="C55" s="90">
        <f>VLOOKUP(A55,'Data Vlaue (Cr)'!C50:CY263,101,0)</f>
        <v>93</v>
      </c>
      <c r="D55" s="139">
        <f>VLOOKUP(A55,'Data Vlaue (Cr)'!C50:CZ263,102,0)</f>
        <v>4.4900000000000002E-2</v>
      </c>
      <c r="E55" s="91">
        <f>VLOOKUP($A55,'Data Vlaue (Cr)'!$C:$FB,75)</f>
        <v>1313</v>
      </c>
      <c r="F55" s="91">
        <f>VLOOKUP($A55,'Data Vlaue (Cr)'!$C:$FB,77)</f>
        <v>-3</v>
      </c>
      <c r="G55" s="92">
        <f>VLOOKUP(A55,'Data Vlaue (Cr)'!C50:CB263,78,0)</f>
        <v>-2.3999999999999998E-3</v>
      </c>
      <c r="H55" s="91">
        <f>VLOOKUP($A55,'Data Vlaue (Cr)'!$C:$FB,91)</f>
        <v>485</v>
      </c>
      <c r="I55" s="91">
        <f>VLOOKUP($A55,'Data Vlaue (Cr)'!$C:$FB,93)</f>
        <v>71</v>
      </c>
      <c r="J55" s="92">
        <f>VLOOKUP($A55,'Data Vlaue (Cr)'!$C:$FB,94)</f>
        <v>0.17180000000000001</v>
      </c>
      <c r="K55" s="91">
        <f>VLOOKUP($A55,'Data Vlaue (Cr)'!$C:$FB,95)</f>
        <v>362</v>
      </c>
      <c r="L55" s="91">
        <f>VLOOKUP($A55,'Data Vlaue (Cr)'!$C:$FB,97)</f>
        <v>25</v>
      </c>
      <c r="M55" s="92">
        <f>VLOOKUP($A55,'Data Vlaue (Cr)'!$C:$FB,98)</f>
        <v>7.4099999999999999E-2</v>
      </c>
      <c r="N55" s="91">
        <f>VLOOKUP($A55,'Data Vlaue (Cr)'!$C:$FB,79)</f>
        <v>1275</v>
      </c>
      <c r="O55" s="92">
        <f>VLOOKUP($A55,'Data Vlaue (Cr)'!$C:$FB,82)</f>
        <v>-6.7999999999999996E-3</v>
      </c>
    </row>
    <row r="56" spans="1:15" x14ac:dyDescent="0.25">
      <c r="A56" s="97" t="str">
        <f>'Data Vlaue (Cr)'!C51</f>
        <v>CYIENT</v>
      </c>
      <c r="B56" s="142">
        <f>VLOOKUP(A56,'Data Vlaue (Cr)'!C51:CW264,99,0)</f>
        <v>642</v>
      </c>
      <c r="C56" s="90">
        <f>VLOOKUP(A56,'Data Vlaue (Cr)'!C51:CY264,101,0)</f>
        <v>43</v>
      </c>
      <c r="D56" s="139">
        <f>VLOOKUP(A56,'Data Vlaue (Cr)'!C51:CZ264,102,0)</f>
        <v>7.2700000000000001E-2</v>
      </c>
      <c r="E56" s="91">
        <f>VLOOKUP($A56,'Data Vlaue (Cr)'!$C:$FB,75)</f>
        <v>358</v>
      </c>
      <c r="F56" s="91">
        <f>VLOOKUP($A56,'Data Vlaue (Cr)'!$C:$FB,77)</f>
        <v>-3</v>
      </c>
      <c r="G56" s="92">
        <f>VLOOKUP(A56,'Data Vlaue (Cr)'!C51:CB264,78,0)</f>
        <v>-9.4999999999999998E-3</v>
      </c>
      <c r="H56" s="91">
        <f>VLOOKUP($A56,'Data Vlaue (Cr)'!$C:$FB,91)</f>
        <v>169</v>
      </c>
      <c r="I56" s="91">
        <f>VLOOKUP($A56,'Data Vlaue (Cr)'!$C:$FB,93)</f>
        <v>26</v>
      </c>
      <c r="J56" s="92">
        <f>VLOOKUP($A56,'Data Vlaue (Cr)'!$C:$FB,94)</f>
        <v>0.18099999999999999</v>
      </c>
      <c r="K56" s="91">
        <f>VLOOKUP($A56,'Data Vlaue (Cr)'!$C:$FB,95)</f>
        <v>115</v>
      </c>
      <c r="L56" s="91">
        <f>VLOOKUP($A56,'Data Vlaue (Cr)'!$C:$FB,97)</f>
        <v>21</v>
      </c>
      <c r="M56" s="92">
        <f>VLOOKUP($A56,'Data Vlaue (Cr)'!$C:$FB,98)</f>
        <v>0.2248</v>
      </c>
      <c r="N56" s="91">
        <f>VLOOKUP($A56,'Data Vlaue (Cr)'!$C:$FB,79)</f>
        <v>358</v>
      </c>
      <c r="O56" s="92">
        <f>VLOOKUP($A56,'Data Vlaue (Cr)'!$C:$FB,82)</f>
        <v>-9.4999999999999998E-3</v>
      </c>
    </row>
    <row r="57" spans="1:15" x14ac:dyDescent="0.25">
      <c r="A57" s="97" t="str">
        <f>'Data Vlaue (Cr)'!C52</f>
        <v>DABUR</v>
      </c>
      <c r="B57" s="142">
        <f>VLOOKUP(A57,'Data Vlaue (Cr)'!C52:CW265,99,0)</f>
        <v>2133</v>
      </c>
      <c r="C57" s="90">
        <f>VLOOKUP(A57,'Data Vlaue (Cr)'!C52:CY265,101,0)</f>
        <v>73</v>
      </c>
      <c r="D57" s="139">
        <f>VLOOKUP(A57,'Data Vlaue (Cr)'!C52:CZ265,102,0)</f>
        <v>3.5499999999999997E-2</v>
      </c>
      <c r="E57" s="91">
        <f>VLOOKUP($A57,'Data Vlaue (Cr)'!$C:$FB,75)</f>
        <v>954</v>
      </c>
      <c r="F57" s="91">
        <f>VLOOKUP($A57,'Data Vlaue (Cr)'!$C:$FB,77)</f>
        <v>17</v>
      </c>
      <c r="G57" s="92">
        <f>VLOOKUP(A57,'Data Vlaue (Cr)'!C52:CB265,78,0)</f>
        <v>1.77E-2</v>
      </c>
      <c r="H57" s="91">
        <f>VLOOKUP($A57,'Data Vlaue (Cr)'!$C:$FB,91)</f>
        <v>765</v>
      </c>
      <c r="I57" s="91">
        <f>VLOOKUP($A57,'Data Vlaue (Cr)'!$C:$FB,93)</f>
        <v>32</v>
      </c>
      <c r="J57" s="92">
        <f>VLOOKUP($A57,'Data Vlaue (Cr)'!$C:$FB,94)</f>
        <v>4.3700000000000003E-2</v>
      </c>
      <c r="K57" s="91">
        <f>VLOOKUP($A57,'Data Vlaue (Cr)'!$C:$FB,95)</f>
        <v>414</v>
      </c>
      <c r="L57" s="91">
        <f>VLOOKUP($A57,'Data Vlaue (Cr)'!$C:$FB,97)</f>
        <v>24</v>
      </c>
      <c r="M57" s="92">
        <f>VLOOKUP($A57,'Data Vlaue (Cr)'!$C:$FB,98)</f>
        <v>6.2700000000000006E-2</v>
      </c>
      <c r="N57" s="91">
        <f>VLOOKUP($A57,'Data Vlaue (Cr)'!$C:$FB,79)</f>
        <v>894</v>
      </c>
      <c r="O57" s="92">
        <f>VLOOKUP($A57,'Data Vlaue (Cr)'!$C:$FB,82)</f>
        <v>1.2500000000000001E-2</v>
      </c>
    </row>
    <row r="58" spans="1:15" x14ac:dyDescent="0.25">
      <c r="A58" s="97" t="str">
        <f>'Data Vlaue (Cr)'!C53</f>
        <v>DALBHARAT</v>
      </c>
      <c r="B58" s="142">
        <f>VLOOKUP(A58,'Data Vlaue (Cr)'!C53:CW266,99,0)</f>
        <v>991</v>
      </c>
      <c r="C58" s="90">
        <f>VLOOKUP(A58,'Data Vlaue (Cr)'!C53:CY266,101,0)</f>
        <v>27</v>
      </c>
      <c r="D58" s="139">
        <f>VLOOKUP(A58,'Data Vlaue (Cr)'!C53:CZ266,102,0)</f>
        <v>2.8000000000000001E-2</v>
      </c>
      <c r="E58" s="91">
        <f>VLOOKUP($A58,'Data Vlaue (Cr)'!$C:$FB,75)</f>
        <v>507</v>
      </c>
      <c r="F58" s="91">
        <f>VLOOKUP($A58,'Data Vlaue (Cr)'!$C:$FB,77)</f>
        <v>19</v>
      </c>
      <c r="G58" s="92">
        <f>VLOOKUP(A58,'Data Vlaue (Cr)'!C53:CB266,78,0)</f>
        <v>3.9300000000000002E-2</v>
      </c>
      <c r="H58" s="91">
        <f>VLOOKUP($A58,'Data Vlaue (Cr)'!$C:$FB,91)</f>
        <v>276</v>
      </c>
      <c r="I58" s="91">
        <f>VLOOKUP($A58,'Data Vlaue (Cr)'!$C:$FB,93)</f>
        <v>8</v>
      </c>
      <c r="J58" s="92">
        <f>VLOOKUP($A58,'Data Vlaue (Cr)'!$C:$FB,94)</f>
        <v>3.0599999999999999E-2</v>
      </c>
      <c r="K58" s="91">
        <f>VLOOKUP($A58,'Data Vlaue (Cr)'!$C:$FB,95)</f>
        <v>209</v>
      </c>
      <c r="L58" s="91">
        <f>VLOOKUP($A58,'Data Vlaue (Cr)'!$C:$FB,97)</f>
        <v>0</v>
      </c>
      <c r="M58" s="92">
        <f>VLOOKUP($A58,'Data Vlaue (Cr)'!$C:$FB,98)</f>
        <v>-1.6000000000000001E-3</v>
      </c>
      <c r="N58" s="91">
        <f>VLOOKUP($A58,'Data Vlaue (Cr)'!$C:$FB,79)</f>
        <v>458</v>
      </c>
      <c r="O58" s="92">
        <f>VLOOKUP($A58,'Data Vlaue (Cr)'!$C:$FB,82)</f>
        <v>-5.3E-3</v>
      </c>
    </row>
    <row r="59" spans="1:15" x14ac:dyDescent="0.25">
      <c r="A59" s="97" t="str">
        <f>'Data Vlaue (Cr)'!C54</f>
        <v>DELHIVERY</v>
      </c>
      <c r="B59" s="142">
        <f>VLOOKUP(A59,'Data Vlaue (Cr)'!C54:CW267,99,0)</f>
        <v>1570</v>
      </c>
      <c r="C59" s="90">
        <f>VLOOKUP(A59,'Data Vlaue (Cr)'!C54:CY267,101,0)</f>
        <v>29</v>
      </c>
      <c r="D59" s="139">
        <f>VLOOKUP(A59,'Data Vlaue (Cr)'!C54:CZ267,102,0)</f>
        <v>1.9E-2</v>
      </c>
      <c r="E59" s="91">
        <f>VLOOKUP($A59,'Data Vlaue (Cr)'!$C:$FB,75)</f>
        <v>659</v>
      </c>
      <c r="F59" s="91">
        <f>VLOOKUP($A59,'Data Vlaue (Cr)'!$C:$FB,77)</f>
        <v>11</v>
      </c>
      <c r="G59" s="92">
        <f>VLOOKUP(A59,'Data Vlaue (Cr)'!C54:CB267,78,0)</f>
        <v>1.6400000000000001E-2</v>
      </c>
      <c r="H59" s="91">
        <f>VLOOKUP($A59,'Data Vlaue (Cr)'!$C:$FB,91)</f>
        <v>553</v>
      </c>
      <c r="I59" s="91">
        <f>VLOOKUP($A59,'Data Vlaue (Cr)'!$C:$FB,93)</f>
        <v>9</v>
      </c>
      <c r="J59" s="92">
        <f>VLOOKUP($A59,'Data Vlaue (Cr)'!$C:$FB,94)</f>
        <v>1.6799999999999999E-2</v>
      </c>
      <c r="K59" s="91">
        <f>VLOOKUP($A59,'Data Vlaue (Cr)'!$C:$FB,95)</f>
        <v>359</v>
      </c>
      <c r="L59" s="91">
        <f>VLOOKUP($A59,'Data Vlaue (Cr)'!$C:$FB,97)</f>
        <v>10</v>
      </c>
      <c r="M59" s="92">
        <f>VLOOKUP($A59,'Data Vlaue (Cr)'!$C:$FB,98)</f>
        <v>2.7300000000000001E-2</v>
      </c>
      <c r="N59" s="91">
        <f>VLOOKUP($A59,'Data Vlaue (Cr)'!$C:$FB,79)</f>
        <v>616</v>
      </c>
      <c r="O59" s="92">
        <f>VLOOKUP($A59,'Data Vlaue (Cr)'!$C:$FB,82)</f>
        <v>1.26E-2</v>
      </c>
    </row>
    <row r="60" spans="1:15" x14ac:dyDescent="0.25">
      <c r="A60" s="97" t="str">
        <f>'Data Vlaue (Cr)'!C55</f>
        <v>DIVISLAB</v>
      </c>
      <c r="B60" s="142">
        <f>VLOOKUP(A60,'Data Vlaue (Cr)'!C55:CW268,99,0)</f>
        <v>2934</v>
      </c>
      <c r="C60" s="90">
        <f>VLOOKUP(A60,'Data Vlaue (Cr)'!C55:CY268,101,0)</f>
        <v>40</v>
      </c>
      <c r="D60" s="139">
        <f>VLOOKUP(A60,'Data Vlaue (Cr)'!C55:CZ268,102,0)</f>
        <v>1.3899999999999999E-2</v>
      </c>
      <c r="E60" s="91">
        <f>VLOOKUP($A60,'Data Vlaue (Cr)'!$C:$FB,75)</f>
        <v>1910</v>
      </c>
      <c r="F60" s="91">
        <f>VLOOKUP($A60,'Data Vlaue (Cr)'!$C:$FB,77)</f>
        <v>14</v>
      </c>
      <c r="G60" s="92">
        <f>VLOOKUP(A60,'Data Vlaue (Cr)'!C55:CB268,78,0)</f>
        <v>7.4999999999999997E-3</v>
      </c>
      <c r="H60" s="91">
        <f>VLOOKUP($A60,'Data Vlaue (Cr)'!$C:$FB,91)</f>
        <v>601</v>
      </c>
      <c r="I60" s="91">
        <f>VLOOKUP($A60,'Data Vlaue (Cr)'!$C:$FB,93)</f>
        <v>23</v>
      </c>
      <c r="J60" s="92">
        <f>VLOOKUP($A60,'Data Vlaue (Cr)'!$C:$FB,94)</f>
        <v>0.04</v>
      </c>
      <c r="K60" s="91">
        <f>VLOOKUP($A60,'Data Vlaue (Cr)'!$C:$FB,95)</f>
        <v>423</v>
      </c>
      <c r="L60" s="91">
        <f>VLOOKUP($A60,'Data Vlaue (Cr)'!$C:$FB,97)</f>
        <v>3</v>
      </c>
      <c r="M60" s="92">
        <f>VLOOKUP($A60,'Data Vlaue (Cr)'!$C:$FB,98)</f>
        <v>6.8999999999999999E-3</v>
      </c>
      <c r="N60" s="91">
        <f>VLOOKUP($A60,'Data Vlaue (Cr)'!$C:$FB,79)</f>
        <v>1846</v>
      </c>
      <c r="O60" s="92">
        <f>VLOOKUP($A60,'Data Vlaue (Cr)'!$C:$FB,82)</f>
        <v>1.9E-3</v>
      </c>
    </row>
    <row r="61" spans="1:15" x14ac:dyDescent="0.25">
      <c r="A61" s="97" t="str">
        <f>'Data Vlaue (Cr)'!C56</f>
        <v>DIXON</v>
      </c>
      <c r="B61" s="142">
        <f>VLOOKUP(A61,'Data Vlaue (Cr)'!C56:CW269,99,0)</f>
        <v>10228</v>
      </c>
      <c r="C61" s="90">
        <f>VLOOKUP(A61,'Data Vlaue (Cr)'!C56:CY269,101,0)</f>
        <v>522</v>
      </c>
      <c r="D61" s="139">
        <f>VLOOKUP(A61,'Data Vlaue (Cr)'!C56:CZ269,102,0)</f>
        <v>5.3800000000000001E-2</v>
      </c>
      <c r="E61" s="91">
        <f>VLOOKUP($A61,'Data Vlaue (Cr)'!$C:$FB,75)</f>
        <v>2942</v>
      </c>
      <c r="F61" s="91">
        <f>VLOOKUP($A61,'Data Vlaue (Cr)'!$C:$FB,77)</f>
        <v>99</v>
      </c>
      <c r="G61" s="92">
        <f>VLOOKUP(A61,'Data Vlaue (Cr)'!C56:CB269,78,0)</f>
        <v>3.5000000000000003E-2</v>
      </c>
      <c r="H61" s="91">
        <f>VLOOKUP($A61,'Data Vlaue (Cr)'!$C:$FB,91)</f>
        <v>4792</v>
      </c>
      <c r="I61" s="91">
        <f>VLOOKUP($A61,'Data Vlaue (Cr)'!$C:$FB,93)</f>
        <v>420</v>
      </c>
      <c r="J61" s="92">
        <f>VLOOKUP($A61,'Data Vlaue (Cr)'!$C:$FB,94)</f>
        <v>9.5899999999999999E-2</v>
      </c>
      <c r="K61" s="91">
        <f>VLOOKUP($A61,'Data Vlaue (Cr)'!$C:$FB,95)</f>
        <v>2494</v>
      </c>
      <c r="L61" s="91">
        <f>VLOOKUP($A61,'Data Vlaue (Cr)'!$C:$FB,97)</f>
        <v>3</v>
      </c>
      <c r="M61" s="92">
        <f>VLOOKUP($A61,'Data Vlaue (Cr)'!$C:$FB,98)</f>
        <v>1.2999999999999999E-3</v>
      </c>
      <c r="N61" s="91">
        <f>VLOOKUP($A61,'Data Vlaue (Cr)'!$C:$FB,79)</f>
        <v>2582</v>
      </c>
      <c r="O61" s="92">
        <f>VLOOKUP($A61,'Data Vlaue (Cr)'!$C:$FB,82)</f>
        <v>2.8199999999999999E-2</v>
      </c>
    </row>
    <row r="62" spans="1:15" x14ac:dyDescent="0.25">
      <c r="A62" s="97" t="str">
        <f>'Data Vlaue (Cr)'!C57</f>
        <v>DLF</v>
      </c>
      <c r="B62" s="142">
        <f>VLOOKUP(A62,'Data Vlaue (Cr)'!C57:CW270,99,0)</f>
        <v>6030</v>
      </c>
      <c r="C62" s="90">
        <f>VLOOKUP(A62,'Data Vlaue (Cr)'!C57:CY270,101,0)</f>
        <v>85</v>
      </c>
      <c r="D62" s="139">
        <f>VLOOKUP(A62,'Data Vlaue (Cr)'!C57:CZ270,102,0)</f>
        <v>1.43E-2</v>
      </c>
      <c r="E62" s="91">
        <f>VLOOKUP($A62,'Data Vlaue (Cr)'!$C:$FB,75)</f>
        <v>3491</v>
      </c>
      <c r="F62" s="91">
        <f>VLOOKUP($A62,'Data Vlaue (Cr)'!$C:$FB,77)</f>
        <v>47</v>
      </c>
      <c r="G62" s="92">
        <f>VLOOKUP(A62,'Data Vlaue (Cr)'!C57:CB270,78,0)</f>
        <v>1.35E-2</v>
      </c>
      <c r="H62" s="91">
        <f>VLOOKUP($A62,'Data Vlaue (Cr)'!$C:$FB,91)</f>
        <v>1566</v>
      </c>
      <c r="I62" s="91">
        <f>VLOOKUP($A62,'Data Vlaue (Cr)'!$C:$FB,93)</f>
        <v>26</v>
      </c>
      <c r="J62" s="92">
        <f>VLOOKUP($A62,'Data Vlaue (Cr)'!$C:$FB,94)</f>
        <v>1.72E-2</v>
      </c>
      <c r="K62" s="91">
        <f>VLOOKUP($A62,'Data Vlaue (Cr)'!$C:$FB,95)</f>
        <v>974</v>
      </c>
      <c r="L62" s="91">
        <f>VLOOKUP($A62,'Data Vlaue (Cr)'!$C:$FB,97)</f>
        <v>12</v>
      </c>
      <c r="M62" s="92">
        <f>VLOOKUP($A62,'Data Vlaue (Cr)'!$C:$FB,98)</f>
        <v>1.2200000000000001E-2</v>
      </c>
      <c r="N62" s="91">
        <f>VLOOKUP($A62,'Data Vlaue (Cr)'!$C:$FB,79)</f>
        <v>3286</v>
      </c>
      <c r="O62" s="92">
        <f>VLOOKUP($A62,'Data Vlaue (Cr)'!$C:$FB,82)</f>
        <v>4.7999999999999996E-3</v>
      </c>
    </row>
    <row r="63" spans="1:15" x14ac:dyDescent="0.25">
      <c r="A63" s="97" t="str">
        <f>'Data Vlaue (Cr)'!C58</f>
        <v>DMART</v>
      </c>
      <c r="B63" s="142">
        <f>VLOOKUP(A63,'Data Vlaue (Cr)'!C58:CW271,99,0)</f>
        <v>3609</v>
      </c>
      <c r="C63" s="90">
        <f>VLOOKUP(A63,'Data Vlaue (Cr)'!C58:CY271,101,0)</f>
        <v>42</v>
      </c>
      <c r="D63" s="139">
        <f>VLOOKUP(A63,'Data Vlaue (Cr)'!C58:CZ271,102,0)</f>
        <v>1.1900000000000001E-2</v>
      </c>
      <c r="E63" s="91">
        <f>VLOOKUP($A63,'Data Vlaue (Cr)'!$C:$FB,75)</f>
        <v>2236</v>
      </c>
      <c r="F63" s="91">
        <f>VLOOKUP($A63,'Data Vlaue (Cr)'!$C:$FB,77)</f>
        <v>52</v>
      </c>
      <c r="G63" s="92">
        <f>VLOOKUP(A63,'Data Vlaue (Cr)'!C58:CB271,78,0)</f>
        <v>2.3900000000000001E-2</v>
      </c>
      <c r="H63" s="91">
        <f>VLOOKUP($A63,'Data Vlaue (Cr)'!$C:$FB,91)</f>
        <v>930</v>
      </c>
      <c r="I63" s="91">
        <f>VLOOKUP($A63,'Data Vlaue (Cr)'!$C:$FB,93)</f>
        <v>-5</v>
      </c>
      <c r="J63" s="92">
        <f>VLOOKUP($A63,'Data Vlaue (Cr)'!$C:$FB,94)</f>
        <v>-5.4999999999999997E-3</v>
      </c>
      <c r="K63" s="91">
        <f>VLOOKUP($A63,'Data Vlaue (Cr)'!$C:$FB,95)</f>
        <v>443</v>
      </c>
      <c r="L63" s="91">
        <f>VLOOKUP($A63,'Data Vlaue (Cr)'!$C:$FB,97)</f>
        <v>-5</v>
      </c>
      <c r="M63" s="92">
        <f>VLOOKUP($A63,'Data Vlaue (Cr)'!$C:$FB,98)</f>
        <v>-1.04E-2</v>
      </c>
      <c r="N63" s="91">
        <f>VLOOKUP($A63,'Data Vlaue (Cr)'!$C:$FB,79)</f>
        <v>2066</v>
      </c>
      <c r="O63" s="92">
        <f>VLOOKUP($A63,'Data Vlaue (Cr)'!$C:$FB,82)</f>
        <v>9.1000000000000004E-3</v>
      </c>
    </row>
    <row r="64" spans="1:15" x14ac:dyDescent="0.25">
      <c r="A64" s="97" t="str">
        <f>'Data Vlaue (Cr)'!C59</f>
        <v>DRREDDY</v>
      </c>
      <c r="B64" s="142">
        <f>VLOOKUP(A64,'Data Vlaue (Cr)'!C59:CW272,99,0)</f>
        <v>3023</v>
      </c>
      <c r="C64" s="90">
        <f>VLOOKUP(A64,'Data Vlaue (Cr)'!C59:CY272,101,0)</f>
        <v>-15</v>
      </c>
      <c r="D64" s="139">
        <f>VLOOKUP(A64,'Data Vlaue (Cr)'!C59:CZ272,102,0)</f>
        <v>-4.7999999999999996E-3</v>
      </c>
      <c r="E64" s="91">
        <f>VLOOKUP($A64,'Data Vlaue (Cr)'!$C:$FB,75)</f>
        <v>1735</v>
      </c>
      <c r="F64" s="91">
        <f>VLOOKUP($A64,'Data Vlaue (Cr)'!$C:$FB,77)</f>
        <v>16</v>
      </c>
      <c r="G64" s="92">
        <f>VLOOKUP(A64,'Data Vlaue (Cr)'!C59:CB272,78,0)</f>
        <v>9.5999999999999992E-3</v>
      </c>
      <c r="H64" s="91">
        <f>VLOOKUP($A64,'Data Vlaue (Cr)'!$C:$FB,91)</f>
        <v>865</v>
      </c>
      <c r="I64" s="91">
        <f>VLOOKUP($A64,'Data Vlaue (Cr)'!$C:$FB,93)</f>
        <v>-15</v>
      </c>
      <c r="J64" s="92">
        <f>VLOOKUP($A64,'Data Vlaue (Cr)'!$C:$FB,94)</f>
        <v>-1.6899999999999998E-2</v>
      </c>
      <c r="K64" s="91">
        <f>VLOOKUP($A64,'Data Vlaue (Cr)'!$C:$FB,95)</f>
        <v>423</v>
      </c>
      <c r="L64" s="91">
        <f>VLOOKUP($A64,'Data Vlaue (Cr)'!$C:$FB,97)</f>
        <v>-16</v>
      </c>
      <c r="M64" s="92">
        <f>VLOOKUP($A64,'Data Vlaue (Cr)'!$C:$FB,98)</f>
        <v>-3.7100000000000001E-2</v>
      </c>
      <c r="N64" s="91">
        <f>VLOOKUP($A64,'Data Vlaue (Cr)'!$C:$FB,79)</f>
        <v>1594</v>
      </c>
      <c r="O64" s="92">
        <f>VLOOKUP($A64,'Data Vlaue (Cr)'!$C:$FB,82)</f>
        <v>-1.6000000000000001E-3</v>
      </c>
    </row>
    <row r="65" spans="1:15" x14ac:dyDescent="0.25">
      <c r="A65" s="97" t="str">
        <f>'Data Vlaue (Cr)'!C60</f>
        <v>EICHERMOT</v>
      </c>
      <c r="B65" s="142">
        <f>VLOOKUP(A65,'Data Vlaue (Cr)'!C60:CW273,99,0)</f>
        <v>5695</v>
      </c>
      <c r="C65" s="90">
        <f>VLOOKUP(A65,'Data Vlaue (Cr)'!C60:CY273,101,0)</f>
        <v>10</v>
      </c>
      <c r="D65" s="139">
        <f>VLOOKUP(A65,'Data Vlaue (Cr)'!C60:CZ273,102,0)</f>
        <v>1.6999999999999999E-3</v>
      </c>
      <c r="E65" s="91">
        <f>VLOOKUP($A65,'Data Vlaue (Cr)'!$C:$FB,75)</f>
        <v>2274</v>
      </c>
      <c r="F65" s="91">
        <f>VLOOKUP($A65,'Data Vlaue (Cr)'!$C:$FB,77)</f>
        <v>33</v>
      </c>
      <c r="G65" s="92">
        <f>VLOOKUP(A65,'Data Vlaue (Cr)'!C60:CB273,78,0)</f>
        <v>1.49E-2</v>
      </c>
      <c r="H65" s="91">
        <f>VLOOKUP($A65,'Data Vlaue (Cr)'!$C:$FB,91)</f>
        <v>1963</v>
      </c>
      <c r="I65" s="91">
        <f>VLOOKUP($A65,'Data Vlaue (Cr)'!$C:$FB,93)</f>
        <v>-74</v>
      </c>
      <c r="J65" s="92">
        <f>VLOOKUP($A65,'Data Vlaue (Cr)'!$C:$FB,94)</f>
        <v>-3.61E-2</v>
      </c>
      <c r="K65" s="91">
        <f>VLOOKUP($A65,'Data Vlaue (Cr)'!$C:$FB,95)</f>
        <v>1458</v>
      </c>
      <c r="L65" s="91">
        <f>VLOOKUP($A65,'Data Vlaue (Cr)'!$C:$FB,97)</f>
        <v>50</v>
      </c>
      <c r="M65" s="92">
        <f>VLOOKUP($A65,'Data Vlaue (Cr)'!$C:$FB,98)</f>
        <v>3.56E-2</v>
      </c>
      <c r="N65" s="91">
        <f>VLOOKUP($A65,'Data Vlaue (Cr)'!$C:$FB,79)</f>
        <v>2077</v>
      </c>
      <c r="O65" s="92">
        <f>VLOOKUP($A65,'Data Vlaue (Cr)'!$C:$FB,82)</f>
        <v>-1.6799999999999999E-2</v>
      </c>
    </row>
    <row r="66" spans="1:15" x14ac:dyDescent="0.25">
      <c r="A66" s="97" t="str">
        <f>'Data Vlaue (Cr)'!C61</f>
        <v>ETERNAL</v>
      </c>
      <c r="B66" s="142">
        <f>VLOOKUP(A66,'Data Vlaue (Cr)'!C61:CW274,99,0)</f>
        <v>12933</v>
      </c>
      <c r="C66" s="90">
        <f>VLOOKUP(A66,'Data Vlaue (Cr)'!C61:CY274,101,0)</f>
        <v>79</v>
      </c>
      <c r="D66" s="139">
        <f>VLOOKUP(A66,'Data Vlaue (Cr)'!C61:CZ274,102,0)</f>
        <v>6.1000000000000004E-3</v>
      </c>
      <c r="E66" s="91">
        <f>VLOOKUP($A66,'Data Vlaue (Cr)'!$C:$FB,75)</f>
        <v>8699</v>
      </c>
      <c r="F66" s="91">
        <f>VLOOKUP($A66,'Data Vlaue (Cr)'!$C:$FB,77)</f>
        <v>-8</v>
      </c>
      <c r="G66" s="92">
        <f>VLOOKUP(A66,'Data Vlaue (Cr)'!C61:CB274,78,0)</f>
        <v>-8.9999999999999998E-4</v>
      </c>
      <c r="H66" s="91">
        <f>VLOOKUP($A66,'Data Vlaue (Cr)'!$C:$FB,91)</f>
        <v>2766</v>
      </c>
      <c r="I66" s="91">
        <f>VLOOKUP($A66,'Data Vlaue (Cr)'!$C:$FB,93)</f>
        <v>88</v>
      </c>
      <c r="J66" s="92">
        <f>VLOOKUP($A66,'Data Vlaue (Cr)'!$C:$FB,94)</f>
        <v>3.2800000000000003E-2</v>
      </c>
      <c r="K66" s="91">
        <f>VLOOKUP($A66,'Data Vlaue (Cr)'!$C:$FB,95)</f>
        <v>1468</v>
      </c>
      <c r="L66" s="91">
        <f>VLOOKUP($A66,'Data Vlaue (Cr)'!$C:$FB,97)</f>
        <v>-1</v>
      </c>
      <c r="M66" s="92">
        <f>VLOOKUP($A66,'Data Vlaue (Cr)'!$C:$FB,98)</f>
        <v>-5.0000000000000001E-4</v>
      </c>
      <c r="N66" s="91">
        <f>VLOOKUP($A66,'Data Vlaue (Cr)'!$C:$FB,79)</f>
        <v>8169</v>
      </c>
      <c r="O66" s="92">
        <f>VLOOKUP($A66,'Data Vlaue (Cr)'!$C:$FB,82)</f>
        <v>-8.5000000000000006E-3</v>
      </c>
    </row>
    <row r="67" spans="1:15" x14ac:dyDescent="0.25">
      <c r="A67" s="97" t="str">
        <f>'Data Vlaue (Cr)'!C62</f>
        <v>EXIDEIND</v>
      </c>
      <c r="B67" s="142">
        <f>VLOOKUP(A67,'Data Vlaue (Cr)'!C62:CW275,99,0)</f>
        <v>1832</v>
      </c>
      <c r="C67" s="90">
        <f>VLOOKUP(A67,'Data Vlaue (Cr)'!C62:CY275,101,0)</f>
        <v>38</v>
      </c>
      <c r="D67" s="139">
        <f>VLOOKUP(A67,'Data Vlaue (Cr)'!C62:CZ275,102,0)</f>
        <v>2.12E-2</v>
      </c>
      <c r="E67" s="91">
        <f>VLOOKUP($A67,'Data Vlaue (Cr)'!$C:$FB,75)</f>
        <v>1131</v>
      </c>
      <c r="F67" s="91">
        <f>VLOOKUP($A67,'Data Vlaue (Cr)'!$C:$FB,77)</f>
        <v>6</v>
      </c>
      <c r="G67" s="92">
        <f>VLOOKUP(A67,'Data Vlaue (Cr)'!C62:CB275,78,0)</f>
        <v>4.8999999999999998E-3</v>
      </c>
      <c r="H67" s="91">
        <f>VLOOKUP($A67,'Data Vlaue (Cr)'!$C:$FB,91)</f>
        <v>411</v>
      </c>
      <c r="I67" s="91">
        <f>VLOOKUP($A67,'Data Vlaue (Cr)'!$C:$FB,93)</f>
        <v>20</v>
      </c>
      <c r="J67" s="92">
        <f>VLOOKUP($A67,'Data Vlaue (Cr)'!$C:$FB,94)</f>
        <v>5.16E-2</v>
      </c>
      <c r="K67" s="91">
        <f>VLOOKUP($A67,'Data Vlaue (Cr)'!$C:$FB,95)</f>
        <v>290</v>
      </c>
      <c r="L67" s="91">
        <f>VLOOKUP($A67,'Data Vlaue (Cr)'!$C:$FB,97)</f>
        <v>12</v>
      </c>
      <c r="M67" s="92">
        <f>VLOOKUP($A67,'Data Vlaue (Cr)'!$C:$FB,98)</f>
        <v>4.4600000000000001E-2</v>
      </c>
      <c r="N67" s="91">
        <f>VLOOKUP($A67,'Data Vlaue (Cr)'!$C:$FB,79)</f>
        <v>1051</v>
      </c>
      <c r="O67" s="92">
        <f>VLOOKUP($A67,'Data Vlaue (Cr)'!$C:$FB,82)</f>
        <v>-1.6999999999999999E-3</v>
      </c>
    </row>
    <row r="68" spans="1:15" x14ac:dyDescent="0.25">
      <c r="A68" s="97" t="str">
        <f>'Data Vlaue (Cr)'!C63</f>
        <v>FEDERALBNK</v>
      </c>
      <c r="B68" s="142">
        <f>VLOOKUP(A68,'Data Vlaue (Cr)'!C63:CW276,99,0)</f>
        <v>4096</v>
      </c>
      <c r="C68" s="90">
        <f>VLOOKUP(A68,'Data Vlaue (Cr)'!C63:CY276,101,0)</f>
        <v>84</v>
      </c>
      <c r="D68" s="139">
        <f>VLOOKUP(A68,'Data Vlaue (Cr)'!C63:CZ276,102,0)</f>
        <v>2.0799999999999999E-2</v>
      </c>
      <c r="E68" s="91">
        <f>VLOOKUP($A68,'Data Vlaue (Cr)'!$C:$FB,75)</f>
        <v>1777</v>
      </c>
      <c r="F68" s="91">
        <f>VLOOKUP($A68,'Data Vlaue (Cr)'!$C:$FB,77)</f>
        <v>17</v>
      </c>
      <c r="G68" s="92">
        <f>VLOOKUP(A68,'Data Vlaue (Cr)'!C63:CB276,78,0)</f>
        <v>9.7999999999999997E-3</v>
      </c>
      <c r="H68" s="91">
        <f>VLOOKUP($A68,'Data Vlaue (Cr)'!$C:$FB,91)</f>
        <v>1168</v>
      </c>
      <c r="I68" s="91">
        <f>VLOOKUP($A68,'Data Vlaue (Cr)'!$C:$FB,93)</f>
        <v>41</v>
      </c>
      <c r="J68" s="92">
        <f>VLOOKUP($A68,'Data Vlaue (Cr)'!$C:$FB,94)</f>
        <v>3.6299999999999999E-2</v>
      </c>
      <c r="K68" s="91">
        <f>VLOOKUP($A68,'Data Vlaue (Cr)'!$C:$FB,95)</f>
        <v>1151</v>
      </c>
      <c r="L68" s="91">
        <f>VLOOKUP($A68,'Data Vlaue (Cr)'!$C:$FB,97)</f>
        <v>25</v>
      </c>
      <c r="M68" s="92">
        <f>VLOOKUP($A68,'Data Vlaue (Cr)'!$C:$FB,98)</f>
        <v>2.2499999999999999E-2</v>
      </c>
      <c r="N68" s="91">
        <f>VLOOKUP($A68,'Data Vlaue (Cr)'!$C:$FB,79)</f>
        <v>1552</v>
      </c>
      <c r="O68" s="92">
        <f>VLOOKUP($A68,'Data Vlaue (Cr)'!$C:$FB,82)</f>
        <v>-6.3E-3</v>
      </c>
    </row>
    <row r="69" spans="1:15" x14ac:dyDescent="0.25">
      <c r="A69" s="97" t="str">
        <f>'Data Vlaue (Cr)'!C64</f>
        <v>FINNIFTY</v>
      </c>
      <c r="B69" s="142">
        <f>VLOOKUP(A69,'Data Vlaue (Cr)'!C64:CW277,99,0)</f>
        <v>4192</v>
      </c>
      <c r="C69" s="90">
        <f>VLOOKUP(A69,'Data Vlaue (Cr)'!C64:CY277,101,0)</f>
        <v>437</v>
      </c>
      <c r="D69" s="139">
        <f>VLOOKUP(A69,'Data Vlaue (Cr)'!C64:CZ277,102,0)</f>
        <v>0.1163</v>
      </c>
      <c r="E69" s="91">
        <f>VLOOKUP($A69,'Data Vlaue (Cr)'!$C:$FB,75)</f>
        <v>119</v>
      </c>
      <c r="F69" s="91">
        <f>VLOOKUP($A69,'Data Vlaue (Cr)'!$C:$FB,77)</f>
        <v>16</v>
      </c>
      <c r="G69" s="92">
        <f>VLOOKUP(A69,'Data Vlaue (Cr)'!C64:CB277,78,0)</f>
        <v>0.158</v>
      </c>
      <c r="H69" s="91">
        <f>VLOOKUP($A69,'Data Vlaue (Cr)'!$C:$FB,91)</f>
        <v>2592</v>
      </c>
      <c r="I69" s="91">
        <f>VLOOKUP($A69,'Data Vlaue (Cr)'!$C:$FB,93)</f>
        <v>349</v>
      </c>
      <c r="J69" s="92">
        <f>VLOOKUP($A69,'Data Vlaue (Cr)'!$C:$FB,94)</f>
        <v>0.15579999999999999</v>
      </c>
      <c r="K69" s="91">
        <f>VLOOKUP($A69,'Data Vlaue (Cr)'!$C:$FB,95)</f>
        <v>1480</v>
      </c>
      <c r="L69" s="91">
        <f>VLOOKUP($A69,'Data Vlaue (Cr)'!$C:$FB,97)</f>
        <v>71</v>
      </c>
      <c r="M69" s="92">
        <f>VLOOKUP($A69,'Data Vlaue (Cr)'!$C:$FB,98)</f>
        <v>5.0299999999999997E-2</v>
      </c>
      <c r="N69" s="91">
        <f>VLOOKUP($A69,'Data Vlaue (Cr)'!$C:$FB,79)</f>
        <v>108</v>
      </c>
      <c r="O69" s="92">
        <f>VLOOKUP($A69,'Data Vlaue (Cr)'!$C:$FB,82)</f>
        <v>8.9599999999999999E-2</v>
      </c>
    </row>
    <row r="70" spans="1:15" x14ac:dyDescent="0.25">
      <c r="A70" s="97" t="str">
        <f>'Data Vlaue (Cr)'!C65</f>
        <v>FORTIS</v>
      </c>
      <c r="B70" s="142">
        <f>VLOOKUP(A70,'Data Vlaue (Cr)'!C65:CW278,99,0)</f>
        <v>2100</v>
      </c>
      <c r="C70" s="90">
        <f>VLOOKUP(A70,'Data Vlaue (Cr)'!C65:CY278,101,0)</f>
        <v>-12</v>
      </c>
      <c r="D70" s="139">
        <f>VLOOKUP(A70,'Data Vlaue (Cr)'!C65:CZ278,102,0)</f>
        <v>-5.4999999999999997E-3</v>
      </c>
      <c r="E70" s="91">
        <f>VLOOKUP($A70,'Data Vlaue (Cr)'!$C:$FB,75)</f>
        <v>1262</v>
      </c>
      <c r="F70" s="91">
        <f>VLOOKUP($A70,'Data Vlaue (Cr)'!$C:$FB,77)</f>
        <v>-1</v>
      </c>
      <c r="G70" s="92">
        <f>VLOOKUP(A70,'Data Vlaue (Cr)'!C65:CB278,78,0)</f>
        <v>-4.0000000000000002E-4</v>
      </c>
      <c r="H70" s="91">
        <f>VLOOKUP($A70,'Data Vlaue (Cr)'!$C:$FB,91)</f>
        <v>580</v>
      </c>
      <c r="I70" s="91">
        <f>VLOOKUP($A70,'Data Vlaue (Cr)'!$C:$FB,93)</f>
        <v>-17</v>
      </c>
      <c r="J70" s="92">
        <f>VLOOKUP($A70,'Data Vlaue (Cr)'!$C:$FB,94)</f>
        <v>-2.8799999999999999E-2</v>
      </c>
      <c r="K70" s="91">
        <f>VLOOKUP($A70,'Data Vlaue (Cr)'!$C:$FB,95)</f>
        <v>258</v>
      </c>
      <c r="L70" s="91">
        <f>VLOOKUP($A70,'Data Vlaue (Cr)'!$C:$FB,97)</f>
        <v>6</v>
      </c>
      <c r="M70" s="92">
        <f>VLOOKUP($A70,'Data Vlaue (Cr)'!$C:$FB,98)</f>
        <v>2.41E-2</v>
      </c>
      <c r="N70" s="91">
        <f>VLOOKUP($A70,'Data Vlaue (Cr)'!$C:$FB,79)</f>
        <v>1187</v>
      </c>
      <c r="O70" s="92">
        <f>VLOOKUP($A70,'Data Vlaue (Cr)'!$C:$FB,82)</f>
        <v>-4.3E-3</v>
      </c>
    </row>
    <row r="71" spans="1:15" x14ac:dyDescent="0.25">
      <c r="A71" s="97" t="str">
        <f>'Data Vlaue (Cr)'!C66</f>
        <v>GAIL</v>
      </c>
      <c r="B71" s="142">
        <f>VLOOKUP(A71,'Data Vlaue (Cr)'!C66:CW279,99,0)</f>
        <v>3612</v>
      </c>
      <c r="C71" s="90">
        <f>VLOOKUP(A71,'Data Vlaue (Cr)'!C66:CY279,101,0)</f>
        <v>-33</v>
      </c>
      <c r="D71" s="139">
        <f>VLOOKUP(A71,'Data Vlaue (Cr)'!C66:CZ279,102,0)</f>
        <v>-9.1000000000000004E-3</v>
      </c>
      <c r="E71" s="91">
        <f>VLOOKUP($A71,'Data Vlaue (Cr)'!$C:$FB,75)</f>
        <v>1684</v>
      </c>
      <c r="F71" s="91">
        <f>VLOOKUP($A71,'Data Vlaue (Cr)'!$C:$FB,77)</f>
        <v>-12</v>
      </c>
      <c r="G71" s="92">
        <f>VLOOKUP(A71,'Data Vlaue (Cr)'!C66:CB279,78,0)</f>
        <v>-7.3000000000000001E-3</v>
      </c>
      <c r="H71" s="91">
        <f>VLOOKUP($A71,'Data Vlaue (Cr)'!$C:$FB,91)</f>
        <v>1158</v>
      </c>
      <c r="I71" s="91">
        <f>VLOOKUP($A71,'Data Vlaue (Cr)'!$C:$FB,93)</f>
        <v>-21</v>
      </c>
      <c r="J71" s="92">
        <f>VLOOKUP($A71,'Data Vlaue (Cr)'!$C:$FB,94)</f>
        <v>-1.8100000000000002E-2</v>
      </c>
      <c r="K71" s="91">
        <f>VLOOKUP($A71,'Data Vlaue (Cr)'!$C:$FB,95)</f>
        <v>769</v>
      </c>
      <c r="L71" s="91">
        <f>VLOOKUP($A71,'Data Vlaue (Cr)'!$C:$FB,97)</f>
        <v>1</v>
      </c>
      <c r="M71" s="92">
        <f>VLOOKUP($A71,'Data Vlaue (Cr)'!$C:$FB,98)</f>
        <v>8.0000000000000004E-4</v>
      </c>
      <c r="N71" s="91">
        <f>VLOOKUP($A71,'Data Vlaue (Cr)'!$C:$FB,79)</f>
        <v>1509</v>
      </c>
      <c r="O71" s="92">
        <f>VLOOKUP($A71,'Data Vlaue (Cr)'!$C:$FB,82)</f>
        <v>-9.7999999999999997E-3</v>
      </c>
    </row>
    <row r="72" spans="1:15" x14ac:dyDescent="0.25">
      <c r="A72" s="97" t="str">
        <f>'Data Vlaue (Cr)'!C67</f>
        <v>GLENMARK</v>
      </c>
      <c r="B72" s="142">
        <f>VLOOKUP(A72,'Data Vlaue (Cr)'!C67:CW280,99,0)</f>
        <v>4246</v>
      </c>
      <c r="C72" s="90">
        <f>VLOOKUP(A72,'Data Vlaue (Cr)'!C67:CY280,101,0)</f>
        <v>6</v>
      </c>
      <c r="D72" s="139">
        <f>VLOOKUP(A72,'Data Vlaue (Cr)'!C67:CZ280,102,0)</f>
        <v>1.4E-3</v>
      </c>
      <c r="E72" s="91">
        <f>VLOOKUP($A72,'Data Vlaue (Cr)'!$C:$FB,75)</f>
        <v>2841</v>
      </c>
      <c r="F72" s="91">
        <f>VLOOKUP($A72,'Data Vlaue (Cr)'!$C:$FB,77)</f>
        <v>17</v>
      </c>
      <c r="G72" s="92">
        <f>VLOOKUP(A72,'Data Vlaue (Cr)'!C67:CB280,78,0)</f>
        <v>6.1000000000000004E-3</v>
      </c>
      <c r="H72" s="91">
        <f>VLOOKUP($A72,'Data Vlaue (Cr)'!$C:$FB,91)</f>
        <v>818</v>
      </c>
      <c r="I72" s="91">
        <f>VLOOKUP($A72,'Data Vlaue (Cr)'!$C:$FB,93)</f>
        <v>2</v>
      </c>
      <c r="J72" s="92">
        <f>VLOOKUP($A72,'Data Vlaue (Cr)'!$C:$FB,94)</f>
        <v>2.3999999999999998E-3</v>
      </c>
      <c r="K72" s="91">
        <f>VLOOKUP($A72,'Data Vlaue (Cr)'!$C:$FB,95)</f>
        <v>587</v>
      </c>
      <c r="L72" s="91">
        <f>VLOOKUP($A72,'Data Vlaue (Cr)'!$C:$FB,97)</f>
        <v>-13</v>
      </c>
      <c r="M72" s="92">
        <f>VLOOKUP($A72,'Data Vlaue (Cr)'!$C:$FB,98)</f>
        <v>-2.2100000000000002E-2</v>
      </c>
      <c r="N72" s="91">
        <f>VLOOKUP($A72,'Data Vlaue (Cr)'!$C:$FB,79)</f>
        <v>2783</v>
      </c>
      <c r="O72" s="92">
        <f>VLOOKUP($A72,'Data Vlaue (Cr)'!$C:$FB,82)</f>
        <v>2.8999999999999998E-3</v>
      </c>
    </row>
    <row r="73" spans="1:15" x14ac:dyDescent="0.25">
      <c r="A73" s="97" t="str">
        <f>'Data Vlaue (Cr)'!C68</f>
        <v>GMRAIRPORT</v>
      </c>
      <c r="B73" s="142">
        <f>VLOOKUP(A73,'Data Vlaue (Cr)'!C68:CW281,99,0)</f>
        <v>4097</v>
      </c>
      <c r="C73" s="90">
        <f>VLOOKUP(A73,'Data Vlaue (Cr)'!C68:CY281,101,0)</f>
        <v>31</v>
      </c>
      <c r="D73" s="139">
        <f>VLOOKUP(A73,'Data Vlaue (Cr)'!C68:CZ281,102,0)</f>
        <v>7.6E-3</v>
      </c>
      <c r="E73" s="91">
        <f>VLOOKUP($A73,'Data Vlaue (Cr)'!$C:$FB,75)</f>
        <v>1753</v>
      </c>
      <c r="F73" s="91">
        <f>VLOOKUP($A73,'Data Vlaue (Cr)'!$C:$FB,77)</f>
        <v>-36</v>
      </c>
      <c r="G73" s="92">
        <f>VLOOKUP(A73,'Data Vlaue (Cr)'!C68:CB281,78,0)</f>
        <v>-1.9900000000000001E-2</v>
      </c>
      <c r="H73" s="91">
        <f>VLOOKUP($A73,'Data Vlaue (Cr)'!$C:$FB,91)</f>
        <v>1517</v>
      </c>
      <c r="I73" s="91">
        <f>VLOOKUP($A73,'Data Vlaue (Cr)'!$C:$FB,93)</f>
        <v>54</v>
      </c>
      <c r="J73" s="92">
        <f>VLOOKUP($A73,'Data Vlaue (Cr)'!$C:$FB,94)</f>
        <v>3.6700000000000003E-2</v>
      </c>
      <c r="K73" s="91">
        <f>VLOOKUP($A73,'Data Vlaue (Cr)'!$C:$FB,95)</f>
        <v>826</v>
      </c>
      <c r="L73" s="91">
        <f>VLOOKUP($A73,'Data Vlaue (Cr)'!$C:$FB,97)</f>
        <v>13</v>
      </c>
      <c r="M73" s="92">
        <f>VLOOKUP($A73,'Data Vlaue (Cr)'!$C:$FB,98)</f>
        <v>1.5599999999999999E-2</v>
      </c>
      <c r="N73" s="91">
        <f>VLOOKUP($A73,'Data Vlaue (Cr)'!$C:$FB,79)</f>
        <v>1566</v>
      </c>
      <c r="O73" s="92">
        <f>VLOOKUP($A73,'Data Vlaue (Cr)'!$C:$FB,82)</f>
        <v>-3.3599999999999998E-2</v>
      </c>
    </row>
    <row r="74" spans="1:15" x14ac:dyDescent="0.25">
      <c r="A74" s="97" t="str">
        <f>'Data Vlaue (Cr)'!C69</f>
        <v>GODREJCP</v>
      </c>
      <c r="B74" s="142">
        <f>VLOOKUP(A74,'Data Vlaue (Cr)'!C69:CW282,99,0)</f>
        <v>1678</v>
      </c>
      <c r="C74" s="90">
        <f>VLOOKUP(A74,'Data Vlaue (Cr)'!C69:CY282,101,0)</f>
        <v>-25</v>
      </c>
      <c r="D74" s="139">
        <f>VLOOKUP(A74,'Data Vlaue (Cr)'!C69:CZ282,102,0)</f>
        <v>-1.47E-2</v>
      </c>
      <c r="E74" s="91">
        <f>VLOOKUP($A74,'Data Vlaue (Cr)'!$C:$FB,75)</f>
        <v>1097</v>
      </c>
      <c r="F74" s="91">
        <f>VLOOKUP($A74,'Data Vlaue (Cr)'!$C:$FB,77)</f>
        <v>-8</v>
      </c>
      <c r="G74" s="92">
        <f>VLOOKUP(A74,'Data Vlaue (Cr)'!C69:CB282,78,0)</f>
        <v>-7.1999999999999998E-3</v>
      </c>
      <c r="H74" s="91">
        <f>VLOOKUP($A74,'Data Vlaue (Cr)'!$C:$FB,91)</f>
        <v>353</v>
      </c>
      <c r="I74" s="91">
        <f>VLOOKUP($A74,'Data Vlaue (Cr)'!$C:$FB,93)</f>
        <v>-4</v>
      </c>
      <c r="J74" s="92">
        <f>VLOOKUP($A74,'Data Vlaue (Cr)'!$C:$FB,94)</f>
        <v>-1.06E-2</v>
      </c>
      <c r="K74" s="91">
        <f>VLOOKUP($A74,'Data Vlaue (Cr)'!$C:$FB,95)</f>
        <v>228</v>
      </c>
      <c r="L74" s="91">
        <f>VLOOKUP($A74,'Data Vlaue (Cr)'!$C:$FB,97)</f>
        <v>-13</v>
      </c>
      <c r="M74" s="92">
        <f>VLOOKUP($A74,'Data Vlaue (Cr)'!$C:$FB,98)</f>
        <v>-5.5300000000000002E-2</v>
      </c>
      <c r="N74" s="91">
        <f>VLOOKUP($A74,'Data Vlaue (Cr)'!$C:$FB,79)</f>
        <v>1070</v>
      </c>
      <c r="O74" s="92">
        <f>VLOOKUP($A74,'Data Vlaue (Cr)'!$C:$FB,82)</f>
        <v>-1.14E-2</v>
      </c>
    </row>
    <row r="75" spans="1:15" x14ac:dyDescent="0.25">
      <c r="A75" s="97" t="str">
        <f>'Data Vlaue (Cr)'!C70</f>
        <v>GODREJPROP</v>
      </c>
      <c r="B75" s="142">
        <f>VLOOKUP(A75,'Data Vlaue (Cr)'!C70:CW283,99,0)</f>
        <v>2929</v>
      </c>
      <c r="C75" s="90">
        <f>VLOOKUP(A75,'Data Vlaue (Cr)'!C70:CY283,101,0)</f>
        <v>55</v>
      </c>
      <c r="D75" s="139">
        <f>VLOOKUP(A75,'Data Vlaue (Cr)'!C70:CZ283,102,0)</f>
        <v>1.9199999999999998E-2</v>
      </c>
      <c r="E75" s="91">
        <f>VLOOKUP($A75,'Data Vlaue (Cr)'!$C:$FB,75)</f>
        <v>1838</v>
      </c>
      <c r="F75" s="91">
        <f>VLOOKUP($A75,'Data Vlaue (Cr)'!$C:$FB,77)</f>
        <v>43</v>
      </c>
      <c r="G75" s="92">
        <f>VLOOKUP(A75,'Data Vlaue (Cr)'!C70:CB283,78,0)</f>
        <v>2.4E-2</v>
      </c>
      <c r="H75" s="91">
        <f>VLOOKUP($A75,'Data Vlaue (Cr)'!$C:$FB,91)</f>
        <v>683</v>
      </c>
      <c r="I75" s="91">
        <f>VLOOKUP($A75,'Data Vlaue (Cr)'!$C:$FB,93)</f>
        <v>11</v>
      </c>
      <c r="J75" s="92">
        <f>VLOOKUP($A75,'Data Vlaue (Cr)'!$C:$FB,94)</f>
        <v>1.61E-2</v>
      </c>
      <c r="K75" s="91">
        <f>VLOOKUP($A75,'Data Vlaue (Cr)'!$C:$FB,95)</f>
        <v>408</v>
      </c>
      <c r="L75" s="91">
        <f>VLOOKUP($A75,'Data Vlaue (Cr)'!$C:$FB,97)</f>
        <v>1</v>
      </c>
      <c r="M75" s="92">
        <f>VLOOKUP($A75,'Data Vlaue (Cr)'!$C:$FB,98)</f>
        <v>3.0000000000000001E-3</v>
      </c>
      <c r="N75" s="91">
        <f>VLOOKUP($A75,'Data Vlaue (Cr)'!$C:$FB,79)</f>
        <v>1679</v>
      </c>
      <c r="O75" s="92">
        <f>VLOOKUP($A75,'Data Vlaue (Cr)'!$C:$FB,82)</f>
        <v>-2.0500000000000001E-2</v>
      </c>
    </row>
    <row r="76" spans="1:15" x14ac:dyDescent="0.25">
      <c r="A76" s="97" t="str">
        <f>'Data Vlaue (Cr)'!C71</f>
        <v>GRASIM</v>
      </c>
      <c r="B76" s="142">
        <f>VLOOKUP(A76,'Data Vlaue (Cr)'!C71:CW284,99,0)</f>
        <v>5784</v>
      </c>
      <c r="C76" s="90">
        <f>VLOOKUP(A76,'Data Vlaue (Cr)'!C71:CY284,101,0)</f>
        <v>-4</v>
      </c>
      <c r="D76" s="139">
        <f>VLOOKUP(A76,'Data Vlaue (Cr)'!C71:CZ284,102,0)</f>
        <v>-6.9999999999999999E-4</v>
      </c>
      <c r="E76" s="91">
        <f>VLOOKUP($A76,'Data Vlaue (Cr)'!$C:$FB,75)</f>
        <v>4494</v>
      </c>
      <c r="F76" s="91">
        <f>VLOOKUP($A76,'Data Vlaue (Cr)'!$C:$FB,77)</f>
        <v>-2</v>
      </c>
      <c r="G76" s="92">
        <f>VLOOKUP(A76,'Data Vlaue (Cr)'!C71:CB284,78,0)</f>
        <v>-5.0000000000000001E-4</v>
      </c>
      <c r="H76" s="91">
        <f>VLOOKUP($A76,'Data Vlaue (Cr)'!$C:$FB,91)</f>
        <v>617</v>
      </c>
      <c r="I76" s="91">
        <f>VLOOKUP($A76,'Data Vlaue (Cr)'!$C:$FB,93)</f>
        <v>0</v>
      </c>
      <c r="J76" s="92">
        <f>VLOOKUP($A76,'Data Vlaue (Cr)'!$C:$FB,94)</f>
        <v>0</v>
      </c>
      <c r="K76" s="91">
        <f>VLOOKUP($A76,'Data Vlaue (Cr)'!$C:$FB,95)</f>
        <v>673</v>
      </c>
      <c r="L76" s="91">
        <f>VLOOKUP($A76,'Data Vlaue (Cr)'!$C:$FB,97)</f>
        <v>-2</v>
      </c>
      <c r="M76" s="92">
        <f>VLOOKUP($A76,'Data Vlaue (Cr)'!$C:$FB,98)</f>
        <v>-3.0999999999999999E-3</v>
      </c>
      <c r="N76" s="91">
        <f>VLOOKUP($A76,'Data Vlaue (Cr)'!$C:$FB,79)</f>
        <v>4160</v>
      </c>
      <c r="O76" s="92">
        <f>VLOOKUP($A76,'Data Vlaue (Cr)'!$C:$FB,82)</f>
        <v>-1.8100000000000002E-2</v>
      </c>
    </row>
    <row r="77" spans="1:15" x14ac:dyDescent="0.25">
      <c r="A77" s="97" t="str">
        <f>'Data Vlaue (Cr)'!C72</f>
        <v>HAL</v>
      </c>
      <c r="B77" s="142">
        <f>VLOOKUP(A77,'Data Vlaue (Cr)'!C72:CW285,99,0)</f>
        <v>10227</v>
      </c>
      <c r="C77" s="90">
        <f>VLOOKUP(A77,'Data Vlaue (Cr)'!C72:CY285,101,0)</f>
        <v>145</v>
      </c>
      <c r="D77" s="139">
        <f>VLOOKUP(A77,'Data Vlaue (Cr)'!C72:CZ285,102,0)</f>
        <v>1.44E-2</v>
      </c>
      <c r="E77" s="91">
        <f>VLOOKUP($A77,'Data Vlaue (Cr)'!$C:$FB,75)</f>
        <v>4436</v>
      </c>
      <c r="F77" s="91">
        <f>VLOOKUP($A77,'Data Vlaue (Cr)'!$C:$FB,77)</f>
        <v>33</v>
      </c>
      <c r="G77" s="92">
        <f>VLOOKUP(A77,'Data Vlaue (Cr)'!C72:CB285,78,0)</f>
        <v>7.4999999999999997E-3</v>
      </c>
      <c r="H77" s="91">
        <f>VLOOKUP($A77,'Data Vlaue (Cr)'!$C:$FB,91)</f>
        <v>3878</v>
      </c>
      <c r="I77" s="91">
        <f>VLOOKUP($A77,'Data Vlaue (Cr)'!$C:$FB,93)</f>
        <v>82</v>
      </c>
      <c r="J77" s="92">
        <f>VLOOKUP($A77,'Data Vlaue (Cr)'!$C:$FB,94)</f>
        <v>2.1600000000000001E-2</v>
      </c>
      <c r="K77" s="91">
        <f>VLOOKUP($A77,'Data Vlaue (Cr)'!$C:$FB,95)</f>
        <v>1914</v>
      </c>
      <c r="L77" s="91">
        <f>VLOOKUP($A77,'Data Vlaue (Cr)'!$C:$FB,97)</f>
        <v>30</v>
      </c>
      <c r="M77" s="92">
        <f>VLOOKUP($A77,'Data Vlaue (Cr)'!$C:$FB,98)</f>
        <v>1.61E-2</v>
      </c>
      <c r="N77" s="91">
        <f>VLOOKUP($A77,'Data Vlaue (Cr)'!$C:$FB,79)</f>
        <v>3923</v>
      </c>
      <c r="O77" s="92">
        <f>VLOOKUP($A77,'Data Vlaue (Cr)'!$C:$FB,82)</f>
        <v>-5.0000000000000001E-4</v>
      </c>
    </row>
    <row r="78" spans="1:15" x14ac:dyDescent="0.25">
      <c r="A78" s="97" t="str">
        <f>'Data Vlaue (Cr)'!C73</f>
        <v>HAVELLS</v>
      </c>
      <c r="B78" s="142">
        <f>VLOOKUP(A78,'Data Vlaue (Cr)'!C73:CW286,99,0)</f>
        <v>1855</v>
      </c>
      <c r="C78" s="90">
        <f>VLOOKUP(A78,'Data Vlaue (Cr)'!C73:CY286,101,0)</f>
        <v>41</v>
      </c>
      <c r="D78" s="139">
        <f>VLOOKUP(A78,'Data Vlaue (Cr)'!C73:CZ286,102,0)</f>
        <v>2.2499999999999999E-2</v>
      </c>
      <c r="E78" s="91">
        <f>VLOOKUP($A78,'Data Vlaue (Cr)'!$C:$FB,75)</f>
        <v>1194</v>
      </c>
      <c r="F78" s="91">
        <f>VLOOKUP($A78,'Data Vlaue (Cr)'!$C:$FB,77)</f>
        <v>6</v>
      </c>
      <c r="G78" s="92">
        <f>VLOOKUP(A78,'Data Vlaue (Cr)'!C73:CB286,78,0)</f>
        <v>5.1999999999999998E-3</v>
      </c>
      <c r="H78" s="91">
        <f>VLOOKUP($A78,'Data Vlaue (Cr)'!$C:$FB,91)</f>
        <v>375</v>
      </c>
      <c r="I78" s="91">
        <f>VLOOKUP($A78,'Data Vlaue (Cr)'!$C:$FB,93)</f>
        <v>23</v>
      </c>
      <c r="J78" s="92">
        <f>VLOOKUP($A78,'Data Vlaue (Cr)'!$C:$FB,94)</f>
        <v>6.5799999999999997E-2</v>
      </c>
      <c r="K78" s="91">
        <f>VLOOKUP($A78,'Data Vlaue (Cr)'!$C:$FB,95)</f>
        <v>286</v>
      </c>
      <c r="L78" s="91">
        <f>VLOOKUP($A78,'Data Vlaue (Cr)'!$C:$FB,97)</f>
        <v>11</v>
      </c>
      <c r="M78" s="92">
        <f>VLOOKUP($A78,'Data Vlaue (Cr)'!$C:$FB,98)</f>
        <v>4.1799999999999997E-2</v>
      </c>
      <c r="N78" s="91">
        <f>VLOOKUP($A78,'Data Vlaue (Cr)'!$C:$FB,79)</f>
        <v>1125</v>
      </c>
      <c r="O78" s="92">
        <f>VLOOKUP($A78,'Data Vlaue (Cr)'!$C:$FB,82)</f>
        <v>4.1000000000000003E-3</v>
      </c>
    </row>
    <row r="79" spans="1:15" x14ac:dyDescent="0.25">
      <c r="A79" s="97" t="str">
        <f>'Data Vlaue (Cr)'!C74</f>
        <v>HCLTECH</v>
      </c>
      <c r="B79" s="142">
        <f>VLOOKUP(A79,'Data Vlaue (Cr)'!C74:CW287,99,0)</f>
        <v>4756</v>
      </c>
      <c r="C79" s="90">
        <f>VLOOKUP(A79,'Data Vlaue (Cr)'!C74:CY287,101,0)</f>
        <v>-46</v>
      </c>
      <c r="D79" s="139">
        <f>VLOOKUP(A79,'Data Vlaue (Cr)'!C74:CZ287,102,0)</f>
        <v>-9.5999999999999992E-3</v>
      </c>
      <c r="E79" s="91">
        <f>VLOOKUP($A79,'Data Vlaue (Cr)'!$C:$FB,75)</f>
        <v>2831</v>
      </c>
      <c r="F79" s="91">
        <f>VLOOKUP($A79,'Data Vlaue (Cr)'!$C:$FB,77)</f>
        <v>-51</v>
      </c>
      <c r="G79" s="92">
        <f>VLOOKUP(A79,'Data Vlaue (Cr)'!C74:CB287,78,0)</f>
        <v>-1.78E-2</v>
      </c>
      <c r="H79" s="91">
        <f>VLOOKUP($A79,'Data Vlaue (Cr)'!$C:$FB,91)</f>
        <v>1225</v>
      </c>
      <c r="I79" s="91">
        <f>VLOOKUP($A79,'Data Vlaue (Cr)'!$C:$FB,93)</f>
        <v>14</v>
      </c>
      <c r="J79" s="92">
        <f>VLOOKUP($A79,'Data Vlaue (Cr)'!$C:$FB,94)</f>
        <v>1.17E-2</v>
      </c>
      <c r="K79" s="91">
        <f>VLOOKUP($A79,'Data Vlaue (Cr)'!$C:$FB,95)</f>
        <v>700</v>
      </c>
      <c r="L79" s="91">
        <f>VLOOKUP($A79,'Data Vlaue (Cr)'!$C:$FB,97)</f>
        <v>-9</v>
      </c>
      <c r="M79" s="92">
        <f>VLOOKUP($A79,'Data Vlaue (Cr)'!$C:$FB,98)</f>
        <v>-1.26E-2</v>
      </c>
      <c r="N79" s="91">
        <f>VLOOKUP($A79,'Data Vlaue (Cr)'!$C:$FB,79)</f>
        <v>2634</v>
      </c>
      <c r="O79" s="92">
        <f>VLOOKUP($A79,'Data Vlaue (Cr)'!$C:$FB,82)</f>
        <v>-2.4899999999999999E-2</v>
      </c>
    </row>
    <row r="80" spans="1:15" x14ac:dyDescent="0.25">
      <c r="A80" s="97" t="str">
        <f>'Data Vlaue (Cr)'!C75</f>
        <v>HDFCAMC</v>
      </c>
      <c r="B80" s="142">
        <f>VLOOKUP(A80,'Data Vlaue (Cr)'!C75:CW288,99,0)</f>
        <v>2283</v>
      </c>
      <c r="C80" s="90">
        <f>VLOOKUP(A80,'Data Vlaue (Cr)'!C75:CY288,101,0)</f>
        <v>177</v>
      </c>
      <c r="D80" s="139">
        <f>VLOOKUP(A80,'Data Vlaue (Cr)'!C75:CZ288,102,0)</f>
        <v>8.3900000000000002E-2</v>
      </c>
      <c r="E80" s="91">
        <f>VLOOKUP($A80,'Data Vlaue (Cr)'!$C:$FB,75)</f>
        <v>1268</v>
      </c>
      <c r="F80" s="91">
        <f>VLOOKUP($A80,'Data Vlaue (Cr)'!$C:$FB,77)</f>
        <v>44</v>
      </c>
      <c r="G80" s="92">
        <f>VLOOKUP(A80,'Data Vlaue (Cr)'!C75:CB288,78,0)</f>
        <v>3.5900000000000001E-2</v>
      </c>
      <c r="H80" s="91">
        <f>VLOOKUP($A80,'Data Vlaue (Cr)'!$C:$FB,91)</f>
        <v>570</v>
      </c>
      <c r="I80" s="91">
        <f>VLOOKUP($A80,'Data Vlaue (Cr)'!$C:$FB,93)</f>
        <v>59</v>
      </c>
      <c r="J80" s="92">
        <f>VLOOKUP($A80,'Data Vlaue (Cr)'!$C:$FB,94)</f>
        <v>0.1149</v>
      </c>
      <c r="K80" s="91">
        <f>VLOOKUP($A80,'Data Vlaue (Cr)'!$C:$FB,95)</f>
        <v>445</v>
      </c>
      <c r="L80" s="91">
        <f>VLOOKUP($A80,'Data Vlaue (Cr)'!$C:$FB,97)</f>
        <v>74</v>
      </c>
      <c r="M80" s="92">
        <f>VLOOKUP($A80,'Data Vlaue (Cr)'!$C:$FB,98)</f>
        <v>0.19980000000000001</v>
      </c>
      <c r="N80" s="91">
        <f>VLOOKUP($A80,'Data Vlaue (Cr)'!$C:$FB,79)</f>
        <v>1122</v>
      </c>
      <c r="O80" s="92">
        <f>VLOOKUP($A80,'Data Vlaue (Cr)'!$C:$FB,82)</f>
        <v>-1.6000000000000001E-3</v>
      </c>
    </row>
    <row r="81" spans="1:15" x14ac:dyDescent="0.25">
      <c r="A81" s="97" t="str">
        <f>'Data Vlaue (Cr)'!C76</f>
        <v>HDFCBANK</v>
      </c>
      <c r="B81" s="142">
        <f>VLOOKUP(A81,'Data Vlaue (Cr)'!C76:CW289,99,0)</f>
        <v>28918</v>
      </c>
      <c r="C81" s="90">
        <f>VLOOKUP(A81,'Data Vlaue (Cr)'!C76:CY289,101,0)</f>
        <v>1282</v>
      </c>
      <c r="D81" s="139">
        <f>VLOOKUP(A81,'Data Vlaue (Cr)'!C76:CZ289,102,0)</f>
        <v>4.6399999999999997E-2</v>
      </c>
      <c r="E81" s="91">
        <f>VLOOKUP($A81,'Data Vlaue (Cr)'!$C:$FB,75)</f>
        <v>21888</v>
      </c>
      <c r="F81" s="91">
        <f>VLOOKUP($A81,'Data Vlaue (Cr)'!$C:$FB,77)</f>
        <v>595</v>
      </c>
      <c r="G81" s="92">
        <f>VLOOKUP(A81,'Data Vlaue (Cr)'!C76:CB289,78,0)</f>
        <v>2.8000000000000001E-2</v>
      </c>
      <c r="H81" s="91">
        <f>VLOOKUP($A81,'Data Vlaue (Cr)'!$C:$FB,91)</f>
        <v>4286</v>
      </c>
      <c r="I81" s="91">
        <f>VLOOKUP($A81,'Data Vlaue (Cr)'!$C:$FB,93)</f>
        <v>648</v>
      </c>
      <c r="J81" s="92">
        <f>VLOOKUP($A81,'Data Vlaue (Cr)'!$C:$FB,94)</f>
        <v>0.1782</v>
      </c>
      <c r="K81" s="91">
        <f>VLOOKUP($A81,'Data Vlaue (Cr)'!$C:$FB,95)</f>
        <v>2745</v>
      </c>
      <c r="L81" s="91">
        <f>VLOOKUP($A81,'Data Vlaue (Cr)'!$C:$FB,97)</f>
        <v>39</v>
      </c>
      <c r="M81" s="92">
        <f>VLOOKUP($A81,'Data Vlaue (Cr)'!$C:$FB,98)</f>
        <v>1.44E-2</v>
      </c>
      <c r="N81" s="91">
        <f>VLOOKUP($A81,'Data Vlaue (Cr)'!$C:$FB,79)</f>
        <v>18271</v>
      </c>
      <c r="O81" s="92">
        <f>VLOOKUP($A81,'Data Vlaue (Cr)'!$C:$FB,82)</f>
        <v>-8.3999999999999995E-3</v>
      </c>
    </row>
    <row r="82" spans="1:15" x14ac:dyDescent="0.25">
      <c r="A82" s="97" t="str">
        <f>'Data Vlaue (Cr)'!C77</f>
        <v>HDFCLIFE</v>
      </c>
      <c r="B82" s="142">
        <f>VLOOKUP(A82,'Data Vlaue (Cr)'!C77:CW290,99,0)</f>
        <v>4507</v>
      </c>
      <c r="C82" s="90">
        <f>VLOOKUP(A82,'Data Vlaue (Cr)'!C77:CY290,101,0)</f>
        <v>-113</v>
      </c>
      <c r="D82" s="139">
        <f>VLOOKUP(A82,'Data Vlaue (Cr)'!C77:CZ290,102,0)</f>
        <v>-2.4400000000000002E-2</v>
      </c>
      <c r="E82" s="91">
        <f>VLOOKUP($A82,'Data Vlaue (Cr)'!$C:$FB,75)</f>
        <v>2373</v>
      </c>
      <c r="F82" s="91">
        <f>VLOOKUP($A82,'Data Vlaue (Cr)'!$C:$FB,77)</f>
        <v>56</v>
      </c>
      <c r="G82" s="92">
        <f>VLOOKUP(A82,'Data Vlaue (Cr)'!C77:CB290,78,0)</f>
        <v>2.4299999999999999E-2</v>
      </c>
      <c r="H82" s="91">
        <f>VLOOKUP($A82,'Data Vlaue (Cr)'!$C:$FB,91)</f>
        <v>1490</v>
      </c>
      <c r="I82" s="91">
        <f>VLOOKUP($A82,'Data Vlaue (Cr)'!$C:$FB,93)</f>
        <v>-139</v>
      </c>
      <c r="J82" s="92">
        <f>VLOOKUP($A82,'Data Vlaue (Cr)'!$C:$FB,94)</f>
        <v>-8.5400000000000004E-2</v>
      </c>
      <c r="K82" s="91">
        <f>VLOOKUP($A82,'Data Vlaue (Cr)'!$C:$FB,95)</f>
        <v>645</v>
      </c>
      <c r="L82" s="91">
        <f>VLOOKUP($A82,'Data Vlaue (Cr)'!$C:$FB,97)</f>
        <v>-30</v>
      </c>
      <c r="M82" s="92">
        <f>VLOOKUP($A82,'Data Vlaue (Cr)'!$C:$FB,98)</f>
        <v>-4.4699999999999997E-2</v>
      </c>
      <c r="N82" s="91">
        <f>VLOOKUP($A82,'Data Vlaue (Cr)'!$C:$FB,79)</f>
        <v>2180</v>
      </c>
      <c r="O82" s="92">
        <f>VLOOKUP($A82,'Data Vlaue (Cr)'!$C:$FB,82)</f>
        <v>1.6899999999999998E-2</v>
      </c>
    </row>
    <row r="83" spans="1:15" x14ac:dyDescent="0.25">
      <c r="A83" s="97" t="str">
        <f>'Data Vlaue (Cr)'!C78</f>
        <v>HEROMOTOCO</v>
      </c>
      <c r="B83" s="142">
        <f>VLOOKUP(A83,'Data Vlaue (Cr)'!C78:CW291,99,0)</f>
        <v>6869</v>
      </c>
      <c r="C83" s="90">
        <f>VLOOKUP(A83,'Data Vlaue (Cr)'!C78:CY291,101,0)</f>
        <v>477</v>
      </c>
      <c r="D83" s="139">
        <f>VLOOKUP(A83,'Data Vlaue (Cr)'!C78:CZ291,102,0)</f>
        <v>7.4700000000000003E-2</v>
      </c>
      <c r="E83" s="91">
        <f>VLOOKUP($A83,'Data Vlaue (Cr)'!$C:$FB,75)</f>
        <v>3554</v>
      </c>
      <c r="F83" s="91">
        <f>VLOOKUP($A83,'Data Vlaue (Cr)'!$C:$FB,77)</f>
        <v>54</v>
      </c>
      <c r="G83" s="92">
        <f>VLOOKUP(A83,'Data Vlaue (Cr)'!C78:CB291,78,0)</f>
        <v>1.54E-2</v>
      </c>
      <c r="H83" s="91">
        <f>VLOOKUP($A83,'Data Vlaue (Cr)'!$C:$FB,91)</f>
        <v>2143</v>
      </c>
      <c r="I83" s="91">
        <f>VLOOKUP($A83,'Data Vlaue (Cr)'!$C:$FB,93)</f>
        <v>438</v>
      </c>
      <c r="J83" s="92">
        <f>VLOOKUP($A83,'Data Vlaue (Cr)'!$C:$FB,94)</f>
        <v>0.25659999999999999</v>
      </c>
      <c r="K83" s="91">
        <f>VLOOKUP($A83,'Data Vlaue (Cr)'!$C:$FB,95)</f>
        <v>1171</v>
      </c>
      <c r="L83" s="91">
        <f>VLOOKUP($A83,'Data Vlaue (Cr)'!$C:$FB,97)</f>
        <v>-14</v>
      </c>
      <c r="M83" s="92">
        <f>VLOOKUP($A83,'Data Vlaue (Cr)'!$C:$FB,98)</f>
        <v>-1.1900000000000001E-2</v>
      </c>
      <c r="N83" s="91">
        <f>VLOOKUP($A83,'Data Vlaue (Cr)'!$C:$FB,79)</f>
        <v>3410</v>
      </c>
      <c r="O83" s="92">
        <f>VLOOKUP($A83,'Data Vlaue (Cr)'!$C:$FB,82)</f>
        <v>8.2000000000000007E-3</v>
      </c>
    </row>
    <row r="84" spans="1:15" x14ac:dyDescent="0.25">
      <c r="A84" s="97" t="str">
        <f>'Data Vlaue (Cr)'!C79</f>
        <v>HFCL</v>
      </c>
      <c r="B84" s="142">
        <f>VLOOKUP(A84,'Data Vlaue (Cr)'!C79:CW292,99,0)</f>
        <v>1377</v>
      </c>
      <c r="C84" s="90">
        <f>VLOOKUP(A84,'Data Vlaue (Cr)'!C79:CY292,101,0)</f>
        <v>-7</v>
      </c>
      <c r="D84" s="139">
        <f>VLOOKUP(A84,'Data Vlaue (Cr)'!C79:CZ292,102,0)</f>
        <v>-4.7000000000000002E-3</v>
      </c>
      <c r="E84" s="91">
        <f>VLOOKUP($A84,'Data Vlaue (Cr)'!$C:$FB,75)</f>
        <v>677</v>
      </c>
      <c r="F84" s="91">
        <f>VLOOKUP($A84,'Data Vlaue (Cr)'!$C:$FB,77)</f>
        <v>-1</v>
      </c>
      <c r="G84" s="92">
        <f>VLOOKUP(A84,'Data Vlaue (Cr)'!C79:CB292,78,0)</f>
        <v>-2E-3</v>
      </c>
      <c r="H84" s="91">
        <f>VLOOKUP($A84,'Data Vlaue (Cr)'!$C:$FB,91)</f>
        <v>495</v>
      </c>
      <c r="I84" s="91">
        <f>VLOOKUP($A84,'Data Vlaue (Cr)'!$C:$FB,93)</f>
        <v>-6</v>
      </c>
      <c r="J84" s="92">
        <f>VLOOKUP($A84,'Data Vlaue (Cr)'!$C:$FB,94)</f>
        <v>-1.12E-2</v>
      </c>
      <c r="K84" s="91">
        <f>VLOOKUP($A84,'Data Vlaue (Cr)'!$C:$FB,95)</f>
        <v>205</v>
      </c>
      <c r="L84" s="91">
        <f>VLOOKUP($A84,'Data Vlaue (Cr)'!$C:$FB,97)</f>
        <v>0</v>
      </c>
      <c r="M84" s="92">
        <f>VLOOKUP($A84,'Data Vlaue (Cr)'!$C:$FB,98)</f>
        <v>2E-3</v>
      </c>
      <c r="N84" s="91">
        <f>VLOOKUP($A84,'Data Vlaue (Cr)'!$C:$FB,79)</f>
        <v>677</v>
      </c>
      <c r="O84" s="92">
        <f>VLOOKUP($A84,'Data Vlaue (Cr)'!$C:$FB,82)</f>
        <v>-2E-3</v>
      </c>
    </row>
    <row r="85" spans="1:15" x14ac:dyDescent="0.25">
      <c r="A85" s="97" t="str">
        <f>'Data Vlaue (Cr)'!C80</f>
        <v>HINDALCO</v>
      </c>
      <c r="B85" s="142">
        <f>VLOOKUP(A85,'Data Vlaue (Cr)'!C80:CW293,99,0)</f>
        <v>8935</v>
      </c>
      <c r="C85" s="90">
        <f>VLOOKUP(A85,'Data Vlaue (Cr)'!C80:CY293,101,0)</f>
        <v>21</v>
      </c>
      <c r="D85" s="139">
        <f>VLOOKUP(A85,'Data Vlaue (Cr)'!C80:CZ293,102,0)</f>
        <v>2.3E-3</v>
      </c>
      <c r="E85" s="91">
        <f>VLOOKUP($A85,'Data Vlaue (Cr)'!$C:$FB,75)</f>
        <v>6635</v>
      </c>
      <c r="F85" s="91">
        <f>VLOOKUP($A85,'Data Vlaue (Cr)'!$C:$FB,77)</f>
        <v>7</v>
      </c>
      <c r="G85" s="92">
        <f>VLOOKUP(A85,'Data Vlaue (Cr)'!C80:CB293,78,0)</f>
        <v>1.1000000000000001E-3</v>
      </c>
      <c r="H85" s="91">
        <f>VLOOKUP($A85,'Data Vlaue (Cr)'!$C:$FB,91)</f>
        <v>1325</v>
      </c>
      <c r="I85" s="91">
        <f>VLOOKUP($A85,'Data Vlaue (Cr)'!$C:$FB,93)</f>
        <v>19</v>
      </c>
      <c r="J85" s="92">
        <f>VLOOKUP($A85,'Data Vlaue (Cr)'!$C:$FB,94)</f>
        <v>1.43E-2</v>
      </c>
      <c r="K85" s="91">
        <f>VLOOKUP($A85,'Data Vlaue (Cr)'!$C:$FB,95)</f>
        <v>975</v>
      </c>
      <c r="L85" s="91">
        <f>VLOOKUP($A85,'Data Vlaue (Cr)'!$C:$FB,97)</f>
        <v>-5</v>
      </c>
      <c r="M85" s="92">
        <f>VLOOKUP($A85,'Data Vlaue (Cr)'!$C:$FB,98)</f>
        <v>-5.1999999999999998E-3</v>
      </c>
      <c r="N85" s="91">
        <f>VLOOKUP($A85,'Data Vlaue (Cr)'!$C:$FB,79)</f>
        <v>6358</v>
      </c>
      <c r="O85" s="92">
        <f>VLOOKUP($A85,'Data Vlaue (Cr)'!$C:$FB,82)</f>
        <v>-1.3899999999999999E-2</v>
      </c>
    </row>
    <row r="86" spans="1:15" x14ac:dyDescent="0.25">
      <c r="A86" s="97" t="str">
        <f>'Data Vlaue (Cr)'!C81</f>
        <v>HINDPETRO</v>
      </c>
      <c r="B86" s="142">
        <f>VLOOKUP(A86,'Data Vlaue (Cr)'!C81:CW294,99,0)</f>
        <v>2901</v>
      </c>
      <c r="C86" s="90">
        <f>VLOOKUP(A86,'Data Vlaue (Cr)'!C81:CY294,101,0)</f>
        <v>14</v>
      </c>
      <c r="D86" s="139">
        <f>VLOOKUP(A86,'Data Vlaue (Cr)'!C81:CZ294,102,0)</f>
        <v>4.8999999999999998E-3</v>
      </c>
      <c r="E86" s="91">
        <f>VLOOKUP($A86,'Data Vlaue (Cr)'!$C:$FB,75)</f>
        <v>1786</v>
      </c>
      <c r="F86" s="91">
        <f>VLOOKUP($A86,'Data Vlaue (Cr)'!$C:$FB,77)</f>
        <v>-17</v>
      </c>
      <c r="G86" s="92">
        <f>VLOOKUP(A86,'Data Vlaue (Cr)'!C81:CB294,78,0)</f>
        <v>-9.1999999999999998E-3</v>
      </c>
      <c r="H86" s="91">
        <f>VLOOKUP($A86,'Data Vlaue (Cr)'!$C:$FB,91)</f>
        <v>708</v>
      </c>
      <c r="I86" s="91">
        <f>VLOOKUP($A86,'Data Vlaue (Cr)'!$C:$FB,93)</f>
        <v>16</v>
      </c>
      <c r="J86" s="92">
        <f>VLOOKUP($A86,'Data Vlaue (Cr)'!$C:$FB,94)</f>
        <v>2.2800000000000001E-2</v>
      </c>
      <c r="K86" s="91">
        <f>VLOOKUP($A86,'Data Vlaue (Cr)'!$C:$FB,95)</f>
        <v>408</v>
      </c>
      <c r="L86" s="91">
        <f>VLOOKUP($A86,'Data Vlaue (Cr)'!$C:$FB,97)</f>
        <v>15</v>
      </c>
      <c r="M86" s="92">
        <f>VLOOKUP($A86,'Data Vlaue (Cr)'!$C:$FB,98)</f>
        <v>3.85E-2</v>
      </c>
      <c r="N86" s="91">
        <f>VLOOKUP($A86,'Data Vlaue (Cr)'!$C:$FB,79)</f>
        <v>1714</v>
      </c>
      <c r="O86" s="92">
        <f>VLOOKUP($A86,'Data Vlaue (Cr)'!$C:$FB,82)</f>
        <v>-1.2500000000000001E-2</v>
      </c>
    </row>
    <row r="87" spans="1:15" x14ac:dyDescent="0.25">
      <c r="A87" s="97" t="str">
        <f>'Data Vlaue (Cr)'!C82</f>
        <v>HINDUNILVR</v>
      </c>
      <c r="B87" s="142">
        <f>VLOOKUP(A87,'Data Vlaue (Cr)'!C82:CW295,99,0)</f>
        <v>4780</v>
      </c>
      <c r="C87" s="90">
        <f>VLOOKUP(A87,'Data Vlaue (Cr)'!C82:CY295,101,0)</f>
        <v>145</v>
      </c>
      <c r="D87" s="139">
        <f>VLOOKUP(A87,'Data Vlaue (Cr)'!C82:CZ295,102,0)</f>
        <v>3.1300000000000001E-2</v>
      </c>
      <c r="E87" s="91">
        <f>VLOOKUP($A87,'Data Vlaue (Cr)'!$C:$FB,75)</f>
        <v>2495</v>
      </c>
      <c r="F87" s="91">
        <f>VLOOKUP($A87,'Data Vlaue (Cr)'!$C:$FB,77)</f>
        <v>68</v>
      </c>
      <c r="G87" s="92">
        <f>VLOOKUP(A87,'Data Vlaue (Cr)'!C82:CB295,78,0)</f>
        <v>2.8199999999999999E-2</v>
      </c>
      <c r="H87" s="91">
        <f>VLOOKUP($A87,'Data Vlaue (Cr)'!$C:$FB,91)</f>
        <v>1506</v>
      </c>
      <c r="I87" s="91">
        <f>VLOOKUP($A87,'Data Vlaue (Cr)'!$C:$FB,93)</f>
        <v>61</v>
      </c>
      <c r="J87" s="92">
        <f>VLOOKUP($A87,'Data Vlaue (Cr)'!$C:$FB,94)</f>
        <v>4.2500000000000003E-2</v>
      </c>
      <c r="K87" s="91">
        <f>VLOOKUP($A87,'Data Vlaue (Cr)'!$C:$FB,95)</f>
        <v>779</v>
      </c>
      <c r="L87" s="91">
        <f>VLOOKUP($A87,'Data Vlaue (Cr)'!$C:$FB,97)</f>
        <v>15</v>
      </c>
      <c r="M87" s="92">
        <f>VLOOKUP($A87,'Data Vlaue (Cr)'!$C:$FB,98)</f>
        <v>1.9800000000000002E-2</v>
      </c>
      <c r="N87" s="91">
        <f>VLOOKUP($A87,'Data Vlaue (Cr)'!$C:$FB,79)</f>
        <v>2094</v>
      </c>
      <c r="O87" s="92">
        <f>VLOOKUP($A87,'Data Vlaue (Cr)'!$C:$FB,82)</f>
        <v>2.6599999999999999E-2</v>
      </c>
    </row>
    <row r="88" spans="1:15" x14ac:dyDescent="0.25">
      <c r="A88" s="97" t="str">
        <f>'Data Vlaue (Cr)'!C83</f>
        <v>HINDZINC</v>
      </c>
      <c r="B88" s="142">
        <f>VLOOKUP(A88,'Data Vlaue (Cr)'!C83:CW296,99,0)</f>
        <v>7098</v>
      </c>
      <c r="C88" s="90">
        <f>VLOOKUP(A88,'Data Vlaue (Cr)'!C83:CY296,101,0)</f>
        <v>581</v>
      </c>
      <c r="D88" s="139">
        <f>VLOOKUP(A88,'Data Vlaue (Cr)'!C83:CZ296,102,0)</f>
        <v>8.9099999999999999E-2</v>
      </c>
      <c r="E88" s="91">
        <f>VLOOKUP($A88,'Data Vlaue (Cr)'!$C:$FB,75)</f>
        <v>2094</v>
      </c>
      <c r="F88" s="91">
        <f>VLOOKUP($A88,'Data Vlaue (Cr)'!$C:$FB,77)</f>
        <v>16</v>
      </c>
      <c r="G88" s="92">
        <f>VLOOKUP(A88,'Data Vlaue (Cr)'!C83:CB296,78,0)</f>
        <v>7.7999999999999996E-3</v>
      </c>
      <c r="H88" s="91">
        <f>VLOOKUP($A88,'Data Vlaue (Cr)'!$C:$FB,91)</f>
        <v>3006</v>
      </c>
      <c r="I88" s="91">
        <f>VLOOKUP($A88,'Data Vlaue (Cr)'!$C:$FB,93)</f>
        <v>432</v>
      </c>
      <c r="J88" s="92">
        <f>VLOOKUP($A88,'Data Vlaue (Cr)'!$C:$FB,94)</f>
        <v>0.16789999999999999</v>
      </c>
      <c r="K88" s="91">
        <f>VLOOKUP($A88,'Data Vlaue (Cr)'!$C:$FB,95)</f>
        <v>1998</v>
      </c>
      <c r="L88" s="91">
        <f>VLOOKUP($A88,'Data Vlaue (Cr)'!$C:$FB,97)</f>
        <v>132</v>
      </c>
      <c r="M88" s="92">
        <f>VLOOKUP($A88,'Data Vlaue (Cr)'!$C:$FB,98)</f>
        <v>7.0900000000000005E-2</v>
      </c>
      <c r="N88" s="91">
        <f>VLOOKUP($A88,'Data Vlaue (Cr)'!$C:$FB,79)</f>
        <v>1844</v>
      </c>
      <c r="O88" s="92">
        <f>VLOOKUP($A88,'Data Vlaue (Cr)'!$C:$FB,82)</f>
        <v>-1.35E-2</v>
      </c>
    </row>
    <row r="89" spans="1:15" x14ac:dyDescent="0.25">
      <c r="A89" s="97" t="str">
        <f>'Data Vlaue (Cr)'!C84</f>
        <v>HUDCO</v>
      </c>
      <c r="B89" s="142">
        <f>VLOOKUP(A89,'Data Vlaue (Cr)'!C84:CW297,99,0)</f>
        <v>1972</v>
      </c>
      <c r="C89" s="90">
        <f>VLOOKUP(A89,'Data Vlaue (Cr)'!C84:CY297,101,0)</f>
        <v>12</v>
      </c>
      <c r="D89" s="139">
        <f>VLOOKUP(A89,'Data Vlaue (Cr)'!C84:CZ297,102,0)</f>
        <v>5.8999999999999999E-3</v>
      </c>
      <c r="E89" s="91">
        <f>VLOOKUP($A89,'Data Vlaue (Cr)'!$C:$FB,75)</f>
        <v>727</v>
      </c>
      <c r="F89" s="91">
        <f>VLOOKUP($A89,'Data Vlaue (Cr)'!$C:$FB,77)</f>
        <v>-3</v>
      </c>
      <c r="G89" s="92">
        <f>VLOOKUP(A89,'Data Vlaue (Cr)'!C84:CB297,78,0)</f>
        <v>-4.7000000000000002E-3</v>
      </c>
      <c r="H89" s="91">
        <f>VLOOKUP($A89,'Data Vlaue (Cr)'!$C:$FB,91)</f>
        <v>866</v>
      </c>
      <c r="I89" s="91">
        <f>VLOOKUP($A89,'Data Vlaue (Cr)'!$C:$FB,93)</f>
        <v>18</v>
      </c>
      <c r="J89" s="92">
        <f>VLOOKUP($A89,'Data Vlaue (Cr)'!$C:$FB,94)</f>
        <v>2.1100000000000001E-2</v>
      </c>
      <c r="K89" s="91">
        <f>VLOOKUP($A89,'Data Vlaue (Cr)'!$C:$FB,95)</f>
        <v>379</v>
      </c>
      <c r="L89" s="91">
        <f>VLOOKUP($A89,'Data Vlaue (Cr)'!$C:$FB,97)</f>
        <v>-3</v>
      </c>
      <c r="M89" s="92">
        <f>VLOOKUP($A89,'Data Vlaue (Cr)'!$C:$FB,98)</f>
        <v>-7.1999999999999998E-3</v>
      </c>
      <c r="N89" s="91">
        <f>VLOOKUP($A89,'Data Vlaue (Cr)'!$C:$FB,79)</f>
        <v>660</v>
      </c>
      <c r="O89" s="92">
        <f>VLOOKUP($A89,'Data Vlaue (Cr)'!$C:$FB,82)</f>
        <v>-1.24E-2</v>
      </c>
    </row>
    <row r="90" spans="1:15" x14ac:dyDescent="0.25">
      <c r="A90" s="97" t="str">
        <f>'Data Vlaue (Cr)'!C85</f>
        <v>ICICIBANK</v>
      </c>
      <c r="B90" s="142">
        <f>VLOOKUP(A90,'Data Vlaue (Cr)'!C85:CW298,99,0)</f>
        <v>25371</v>
      </c>
      <c r="C90" s="90">
        <f>VLOOKUP(A90,'Data Vlaue (Cr)'!C85:CY298,101,0)</f>
        <v>1110</v>
      </c>
      <c r="D90" s="139">
        <f>VLOOKUP(A90,'Data Vlaue (Cr)'!C85:CZ298,102,0)</f>
        <v>4.58E-2</v>
      </c>
      <c r="E90" s="91">
        <f>VLOOKUP($A90,'Data Vlaue (Cr)'!$C:$FB,75)</f>
        <v>16318</v>
      </c>
      <c r="F90" s="91">
        <f>VLOOKUP($A90,'Data Vlaue (Cr)'!$C:$FB,77)</f>
        <v>279</v>
      </c>
      <c r="G90" s="92">
        <f>VLOOKUP(A90,'Data Vlaue (Cr)'!C85:CB298,78,0)</f>
        <v>1.7399999999999999E-2</v>
      </c>
      <c r="H90" s="91">
        <f>VLOOKUP($A90,'Data Vlaue (Cr)'!$C:$FB,91)</f>
        <v>5669</v>
      </c>
      <c r="I90" s="91">
        <f>VLOOKUP($A90,'Data Vlaue (Cr)'!$C:$FB,93)</f>
        <v>673</v>
      </c>
      <c r="J90" s="92">
        <f>VLOOKUP($A90,'Data Vlaue (Cr)'!$C:$FB,94)</f>
        <v>0.13469999999999999</v>
      </c>
      <c r="K90" s="91">
        <f>VLOOKUP($A90,'Data Vlaue (Cr)'!$C:$FB,95)</f>
        <v>3384</v>
      </c>
      <c r="L90" s="91">
        <f>VLOOKUP($A90,'Data Vlaue (Cr)'!$C:$FB,97)</f>
        <v>158</v>
      </c>
      <c r="M90" s="92">
        <f>VLOOKUP($A90,'Data Vlaue (Cr)'!$C:$FB,98)</f>
        <v>4.9099999999999998E-2</v>
      </c>
      <c r="N90" s="91">
        <f>VLOOKUP($A90,'Data Vlaue (Cr)'!$C:$FB,79)</f>
        <v>13699</v>
      </c>
      <c r="O90" s="92">
        <f>VLOOKUP($A90,'Data Vlaue (Cr)'!$C:$FB,82)</f>
        <v>-2.2100000000000002E-2</v>
      </c>
    </row>
    <row r="91" spans="1:15" x14ac:dyDescent="0.25">
      <c r="A91" s="97" t="str">
        <f>'Data Vlaue (Cr)'!C86</f>
        <v>ICICIGI</v>
      </c>
      <c r="B91" s="142">
        <f>VLOOKUP(A91,'Data Vlaue (Cr)'!C86:CW299,99,0)</f>
        <v>1704</v>
      </c>
      <c r="C91" s="90">
        <f>VLOOKUP(A91,'Data Vlaue (Cr)'!C86:CY299,101,0)</f>
        <v>15</v>
      </c>
      <c r="D91" s="139">
        <f>VLOOKUP(A91,'Data Vlaue (Cr)'!C86:CZ299,102,0)</f>
        <v>9.1000000000000004E-3</v>
      </c>
      <c r="E91" s="91">
        <f>VLOOKUP($A91,'Data Vlaue (Cr)'!$C:$FB,75)</f>
        <v>1113</v>
      </c>
      <c r="F91" s="91">
        <f>VLOOKUP($A91,'Data Vlaue (Cr)'!$C:$FB,77)</f>
        <v>-22</v>
      </c>
      <c r="G91" s="92">
        <f>VLOOKUP(A91,'Data Vlaue (Cr)'!C86:CB299,78,0)</f>
        <v>-1.9E-2</v>
      </c>
      <c r="H91" s="91">
        <f>VLOOKUP($A91,'Data Vlaue (Cr)'!$C:$FB,91)</f>
        <v>388</v>
      </c>
      <c r="I91" s="91">
        <f>VLOOKUP($A91,'Data Vlaue (Cr)'!$C:$FB,93)</f>
        <v>35</v>
      </c>
      <c r="J91" s="92">
        <f>VLOOKUP($A91,'Data Vlaue (Cr)'!$C:$FB,94)</f>
        <v>9.7699999999999995E-2</v>
      </c>
      <c r="K91" s="91">
        <f>VLOOKUP($A91,'Data Vlaue (Cr)'!$C:$FB,95)</f>
        <v>203</v>
      </c>
      <c r="L91" s="91">
        <f>VLOOKUP($A91,'Data Vlaue (Cr)'!$C:$FB,97)</f>
        <v>2</v>
      </c>
      <c r="M91" s="92">
        <f>VLOOKUP($A91,'Data Vlaue (Cr)'!$C:$FB,98)</f>
        <v>1.23E-2</v>
      </c>
      <c r="N91" s="91">
        <f>VLOOKUP($A91,'Data Vlaue (Cr)'!$C:$FB,79)</f>
        <v>1088</v>
      </c>
      <c r="O91" s="92">
        <f>VLOOKUP($A91,'Data Vlaue (Cr)'!$C:$FB,82)</f>
        <v>-2.5499999999999998E-2</v>
      </c>
    </row>
    <row r="92" spans="1:15" x14ac:dyDescent="0.25">
      <c r="A92" s="97" t="str">
        <f>'Data Vlaue (Cr)'!C87</f>
        <v>ICICIPRULI</v>
      </c>
      <c r="B92" s="142">
        <f>VLOOKUP(A92,'Data Vlaue (Cr)'!C87:CW300,99,0)</f>
        <v>1468</v>
      </c>
      <c r="C92" s="90">
        <f>VLOOKUP(A92,'Data Vlaue (Cr)'!C87:CY300,101,0)</f>
        <v>-2</v>
      </c>
      <c r="D92" s="139">
        <f>VLOOKUP(A92,'Data Vlaue (Cr)'!C87:CZ300,102,0)</f>
        <v>-1.6000000000000001E-3</v>
      </c>
      <c r="E92" s="91">
        <f>VLOOKUP($A92,'Data Vlaue (Cr)'!$C:$FB,75)</f>
        <v>1037</v>
      </c>
      <c r="F92" s="91">
        <f>VLOOKUP($A92,'Data Vlaue (Cr)'!$C:$FB,77)</f>
        <v>-1</v>
      </c>
      <c r="G92" s="92">
        <f>VLOOKUP(A92,'Data Vlaue (Cr)'!C87:CB300,78,0)</f>
        <v>-1.4E-3</v>
      </c>
      <c r="H92" s="91">
        <f>VLOOKUP($A92,'Data Vlaue (Cr)'!$C:$FB,91)</f>
        <v>296</v>
      </c>
      <c r="I92" s="91">
        <f>VLOOKUP($A92,'Data Vlaue (Cr)'!$C:$FB,93)</f>
        <v>6</v>
      </c>
      <c r="J92" s="92">
        <f>VLOOKUP($A92,'Data Vlaue (Cr)'!$C:$FB,94)</f>
        <v>2.1399999999999999E-2</v>
      </c>
      <c r="K92" s="91">
        <f>VLOOKUP($A92,'Data Vlaue (Cr)'!$C:$FB,95)</f>
        <v>135</v>
      </c>
      <c r="L92" s="91">
        <f>VLOOKUP($A92,'Data Vlaue (Cr)'!$C:$FB,97)</f>
        <v>-7</v>
      </c>
      <c r="M92" s="92">
        <f>VLOOKUP($A92,'Data Vlaue (Cr)'!$C:$FB,98)</f>
        <v>-4.9799999999999997E-2</v>
      </c>
      <c r="N92" s="91">
        <f>VLOOKUP($A92,'Data Vlaue (Cr)'!$C:$FB,79)</f>
        <v>1008</v>
      </c>
      <c r="O92" s="92">
        <f>VLOOKUP($A92,'Data Vlaue (Cr)'!$C:$FB,82)</f>
        <v>-4.4000000000000003E-3</v>
      </c>
    </row>
    <row r="93" spans="1:15" x14ac:dyDescent="0.25">
      <c r="A93" s="97" t="str">
        <f>'Data Vlaue (Cr)'!C88</f>
        <v>IDEA</v>
      </c>
      <c r="B93" s="142">
        <f>VLOOKUP(A93,'Data Vlaue (Cr)'!C88:CW301,99,0)</f>
        <v>11877</v>
      </c>
      <c r="C93" s="90">
        <f>VLOOKUP(A93,'Data Vlaue (Cr)'!C88:CY301,101,0)</f>
        <v>-82</v>
      </c>
      <c r="D93" s="139">
        <f>VLOOKUP(A93,'Data Vlaue (Cr)'!C88:CZ301,102,0)</f>
        <v>-6.7999999999999996E-3</v>
      </c>
      <c r="E93" s="91">
        <f>VLOOKUP($A93,'Data Vlaue (Cr)'!$C:$FB,75)</f>
        <v>7756</v>
      </c>
      <c r="F93" s="91">
        <f>VLOOKUP($A93,'Data Vlaue (Cr)'!$C:$FB,77)</f>
        <v>20</v>
      </c>
      <c r="G93" s="92">
        <f>VLOOKUP(A93,'Data Vlaue (Cr)'!C88:CB301,78,0)</f>
        <v>2.5000000000000001E-3</v>
      </c>
      <c r="H93" s="91">
        <f>VLOOKUP($A93,'Data Vlaue (Cr)'!$C:$FB,91)</f>
        <v>2617</v>
      </c>
      <c r="I93" s="91">
        <f>VLOOKUP($A93,'Data Vlaue (Cr)'!$C:$FB,93)</f>
        <v>-93</v>
      </c>
      <c r="J93" s="92">
        <f>VLOOKUP($A93,'Data Vlaue (Cr)'!$C:$FB,94)</f>
        <v>-3.44E-2</v>
      </c>
      <c r="K93" s="91">
        <f>VLOOKUP($A93,'Data Vlaue (Cr)'!$C:$FB,95)</f>
        <v>1504</v>
      </c>
      <c r="L93" s="91">
        <f>VLOOKUP($A93,'Data Vlaue (Cr)'!$C:$FB,97)</f>
        <v>-8</v>
      </c>
      <c r="M93" s="92">
        <f>VLOOKUP($A93,'Data Vlaue (Cr)'!$C:$FB,98)</f>
        <v>-5.1999999999999998E-3</v>
      </c>
      <c r="N93" s="91">
        <f>VLOOKUP($A93,'Data Vlaue (Cr)'!$C:$FB,79)</f>
        <v>6687</v>
      </c>
      <c r="O93" s="92">
        <f>VLOOKUP($A93,'Data Vlaue (Cr)'!$C:$FB,82)</f>
        <v>-3.2000000000000002E-3</v>
      </c>
    </row>
    <row r="94" spans="1:15" x14ac:dyDescent="0.25">
      <c r="A94" s="97" t="str">
        <f>'Data Vlaue (Cr)'!C89</f>
        <v>IDFCFIRSTB</v>
      </c>
      <c r="B94" s="142">
        <f>VLOOKUP(A94,'Data Vlaue (Cr)'!C89:CW302,99,0)</f>
        <v>4879</v>
      </c>
      <c r="C94" s="90">
        <f>VLOOKUP(A94,'Data Vlaue (Cr)'!C89:CY302,101,0)</f>
        <v>16</v>
      </c>
      <c r="D94" s="139">
        <f>VLOOKUP(A94,'Data Vlaue (Cr)'!C89:CZ302,102,0)</f>
        <v>3.3E-3</v>
      </c>
      <c r="E94" s="91">
        <f>VLOOKUP($A94,'Data Vlaue (Cr)'!$C:$FB,75)</f>
        <v>2961</v>
      </c>
      <c r="F94" s="91">
        <f>VLOOKUP($A94,'Data Vlaue (Cr)'!$C:$FB,77)</f>
        <v>2</v>
      </c>
      <c r="G94" s="92">
        <f>VLOOKUP(A94,'Data Vlaue (Cr)'!C89:CB302,78,0)</f>
        <v>5.0000000000000001E-4</v>
      </c>
      <c r="H94" s="91">
        <f>VLOOKUP($A94,'Data Vlaue (Cr)'!$C:$FB,91)</f>
        <v>1114</v>
      </c>
      <c r="I94" s="91">
        <f>VLOOKUP($A94,'Data Vlaue (Cr)'!$C:$FB,93)</f>
        <v>9</v>
      </c>
      <c r="J94" s="92">
        <f>VLOOKUP($A94,'Data Vlaue (Cr)'!$C:$FB,94)</f>
        <v>8.0000000000000002E-3</v>
      </c>
      <c r="K94" s="91">
        <f>VLOOKUP($A94,'Data Vlaue (Cr)'!$C:$FB,95)</f>
        <v>804</v>
      </c>
      <c r="L94" s="91">
        <f>VLOOKUP($A94,'Data Vlaue (Cr)'!$C:$FB,97)</f>
        <v>6</v>
      </c>
      <c r="M94" s="92">
        <f>VLOOKUP($A94,'Data Vlaue (Cr)'!$C:$FB,98)</f>
        <v>7.1999999999999998E-3</v>
      </c>
      <c r="N94" s="91">
        <f>VLOOKUP($A94,'Data Vlaue (Cr)'!$C:$FB,79)</f>
        <v>2538</v>
      </c>
      <c r="O94" s="92">
        <f>VLOOKUP($A94,'Data Vlaue (Cr)'!$C:$FB,82)</f>
        <v>-1.26E-2</v>
      </c>
    </row>
    <row r="95" spans="1:15" x14ac:dyDescent="0.25">
      <c r="A95" s="97" t="str">
        <f>'Data Vlaue (Cr)'!C90</f>
        <v>IEX</v>
      </c>
      <c r="B95" s="142">
        <f>VLOOKUP(A95,'Data Vlaue (Cr)'!C90:CW303,99,0)</f>
        <v>1929</v>
      </c>
      <c r="C95" s="90">
        <f>VLOOKUP(A95,'Data Vlaue (Cr)'!C90:CY303,101,0)</f>
        <v>8</v>
      </c>
      <c r="D95" s="139">
        <f>VLOOKUP(A95,'Data Vlaue (Cr)'!C90:CZ303,102,0)</f>
        <v>4.1000000000000003E-3</v>
      </c>
      <c r="E95" s="91">
        <f>VLOOKUP($A95,'Data Vlaue (Cr)'!$C:$FB,75)</f>
        <v>797</v>
      </c>
      <c r="F95" s="91">
        <f>VLOOKUP($A95,'Data Vlaue (Cr)'!$C:$FB,77)</f>
        <v>8</v>
      </c>
      <c r="G95" s="92">
        <f>VLOOKUP(A95,'Data Vlaue (Cr)'!C90:CB303,78,0)</f>
        <v>1.0699999999999999E-2</v>
      </c>
      <c r="H95" s="91">
        <f>VLOOKUP($A95,'Data Vlaue (Cr)'!$C:$FB,91)</f>
        <v>656</v>
      </c>
      <c r="I95" s="91">
        <f>VLOOKUP($A95,'Data Vlaue (Cr)'!$C:$FB,93)</f>
        <v>-2</v>
      </c>
      <c r="J95" s="92">
        <f>VLOOKUP($A95,'Data Vlaue (Cr)'!$C:$FB,94)</f>
        <v>-3.5000000000000001E-3</v>
      </c>
      <c r="K95" s="91">
        <f>VLOOKUP($A95,'Data Vlaue (Cr)'!$C:$FB,95)</f>
        <v>476</v>
      </c>
      <c r="L95" s="91">
        <f>VLOOKUP($A95,'Data Vlaue (Cr)'!$C:$FB,97)</f>
        <v>2</v>
      </c>
      <c r="M95" s="92">
        <f>VLOOKUP($A95,'Data Vlaue (Cr)'!$C:$FB,98)</f>
        <v>3.8E-3</v>
      </c>
      <c r="N95" s="91">
        <f>VLOOKUP($A95,'Data Vlaue (Cr)'!$C:$FB,79)</f>
        <v>713</v>
      </c>
      <c r="O95" s="92">
        <f>VLOOKUP($A95,'Data Vlaue (Cr)'!$C:$FB,82)</f>
        <v>6.4000000000000003E-3</v>
      </c>
    </row>
    <row r="96" spans="1:15" x14ac:dyDescent="0.25">
      <c r="A96" s="97" t="str">
        <f>'Data Vlaue (Cr)'!C91</f>
        <v>IIFL</v>
      </c>
      <c r="B96" s="142">
        <f>VLOOKUP(A96,'Data Vlaue (Cr)'!C91:CW304,99,0)</f>
        <v>1368</v>
      </c>
      <c r="C96" s="90">
        <f>VLOOKUP(A96,'Data Vlaue (Cr)'!C91:CY304,101,0)</f>
        <v>27</v>
      </c>
      <c r="D96" s="139">
        <f>VLOOKUP(A96,'Data Vlaue (Cr)'!C91:CZ304,102,0)</f>
        <v>1.9800000000000002E-2</v>
      </c>
      <c r="E96" s="91">
        <f>VLOOKUP($A96,'Data Vlaue (Cr)'!$C:$FB,75)</f>
        <v>682</v>
      </c>
      <c r="F96" s="91">
        <f>VLOOKUP($A96,'Data Vlaue (Cr)'!$C:$FB,77)</f>
        <v>1</v>
      </c>
      <c r="G96" s="92">
        <f>VLOOKUP(A96,'Data Vlaue (Cr)'!C91:CB304,78,0)</f>
        <v>1.5E-3</v>
      </c>
      <c r="H96" s="91">
        <f>VLOOKUP($A96,'Data Vlaue (Cr)'!$C:$FB,91)</f>
        <v>428</v>
      </c>
      <c r="I96" s="91">
        <f>VLOOKUP($A96,'Data Vlaue (Cr)'!$C:$FB,93)</f>
        <v>16</v>
      </c>
      <c r="J96" s="92">
        <f>VLOOKUP($A96,'Data Vlaue (Cr)'!$C:$FB,94)</f>
        <v>3.8800000000000001E-2</v>
      </c>
      <c r="K96" s="91">
        <f>VLOOKUP($A96,'Data Vlaue (Cr)'!$C:$FB,95)</f>
        <v>258</v>
      </c>
      <c r="L96" s="91">
        <f>VLOOKUP($A96,'Data Vlaue (Cr)'!$C:$FB,97)</f>
        <v>10</v>
      </c>
      <c r="M96" s="92">
        <f>VLOOKUP($A96,'Data Vlaue (Cr)'!$C:$FB,98)</f>
        <v>3.85E-2</v>
      </c>
      <c r="N96" s="91">
        <f>VLOOKUP($A96,'Data Vlaue (Cr)'!$C:$FB,79)</f>
        <v>658</v>
      </c>
      <c r="O96" s="92">
        <f>VLOOKUP($A96,'Data Vlaue (Cr)'!$C:$FB,82)</f>
        <v>1E-4</v>
      </c>
    </row>
    <row r="97" spans="1:15" x14ac:dyDescent="0.25">
      <c r="A97" s="97" t="str">
        <f>'Data Vlaue (Cr)'!C92</f>
        <v>INDHOTEL</v>
      </c>
      <c r="B97" s="142">
        <f>VLOOKUP(A97,'Data Vlaue (Cr)'!C92:CW305,99,0)</f>
        <v>3206</v>
      </c>
      <c r="C97" s="90">
        <f>VLOOKUP(A97,'Data Vlaue (Cr)'!C92:CY305,101,0)</f>
        <v>175</v>
      </c>
      <c r="D97" s="139">
        <f>VLOOKUP(A97,'Data Vlaue (Cr)'!C92:CZ305,102,0)</f>
        <v>5.7700000000000001E-2</v>
      </c>
      <c r="E97" s="91">
        <f>VLOOKUP($A97,'Data Vlaue (Cr)'!$C:$FB,75)</f>
        <v>1948</v>
      </c>
      <c r="F97" s="91">
        <f>VLOOKUP($A97,'Data Vlaue (Cr)'!$C:$FB,77)</f>
        <v>51</v>
      </c>
      <c r="G97" s="92">
        <f>VLOOKUP(A97,'Data Vlaue (Cr)'!C92:CB305,78,0)</f>
        <v>2.7099999999999999E-2</v>
      </c>
      <c r="H97" s="91">
        <f>VLOOKUP($A97,'Data Vlaue (Cr)'!$C:$FB,91)</f>
        <v>787</v>
      </c>
      <c r="I97" s="91">
        <f>VLOOKUP($A97,'Data Vlaue (Cr)'!$C:$FB,93)</f>
        <v>100</v>
      </c>
      <c r="J97" s="92">
        <f>VLOOKUP($A97,'Data Vlaue (Cr)'!$C:$FB,94)</f>
        <v>0.14549999999999999</v>
      </c>
      <c r="K97" s="91">
        <f>VLOOKUP($A97,'Data Vlaue (Cr)'!$C:$FB,95)</f>
        <v>470</v>
      </c>
      <c r="L97" s="91">
        <f>VLOOKUP($A97,'Data Vlaue (Cr)'!$C:$FB,97)</f>
        <v>24</v>
      </c>
      <c r="M97" s="92">
        <f>VLOOKUP($A97,'Data Vlaue (Cr)'!$C:$FB,98)</f>
        <v>5.28E-2</v>
      </c>
      <c r="N97" s="91">
        <f>VLOOKUP($A97,'Data Vlaue (Cr)'!$C:$FB,79)</f>
        <v>1815</v>
      </c>
      <c r="O97" s="92">
        <f>VLOOKUP($A97,'Data Vlaue (Cr)'!$C:$FB,82)</f>
        <v>1.6299999999999999E-2</v>
      </c>
    </row>
    <row r="98" spans="1:15" x14ac:dyDescent="0.25">
      <c r="A98" s="97" t="str">
        <f>'Data Vlaue (Cr)'!C93</f>
        <v>INDIANB</v>
      </c>
      <c r="B98" s="142">
        <f>VLOOKUP(A98,'Data Vlaue (Cr)'!C93:CW306,99,0)</f>
        <v>2279</v>
      </c>
      <c r="C98" s="90">
        <f>VLOOKUP(A98,'Data Vlaue (Cr)'!C93:CY306,101,0)</f>
        <v>5</v>
      </c>
      <c r="D98" s="139">
        <f>VLOOKUP(A98,'Data Vlaue (Cr)'!C93:CZ306,102,0)</f>
        <v>2.3999999999999998E-3</v>
      </c>
      <c r="E98" s="91">
        <f>VLOOKUP($A98,'Data Vlaue (Cr)'!$C:$FB,75)</f>
        <v>911</v>
      </c>
      <c r="F98" s="91">
        <f>VLOOKUP($A98,'Data Vlaue (Cr)'!$C:$FB,77)</f>
        <v>-15</v>
      </c>
      <c r="G98" s="92">
        <f>VLOOKUP(A98,'Data Vlaue (Cr)'!C93:CB306,78,0)</f>
        <v>-1.6E-2</v>
      </c>
      <c r="H98" s="91">
        <f>VLOOKUP($A98,'Data Vlaue (Cr)'!$C:$FB,91)</f>
        <v>974</v>
      </c>
      <c r="I98" s="91">
        <f>VLOOKUP($A98,'Data Vlaue (Cr)'!$C:$FB,93)</f>
        <v>18</v>
      </c>
      <c r="J98" s="92">
        <f>VLOOKUP($A98,'Data Vlaue (Cr)'!$C:$FB,94)</f>
        <v>1.9199999999999998E-2</v>
      </c>
      <c r="K98" s="91">
        <f>VLOOKUP($A98,'Data Vlaue (Cr)'!$C:$FB,95)</f>
        <v>394</v>
      </c>
      <c r="L98" s="91">
        <f>VLOOKUP($A98,'Data Vlaue (Cr)'!$C:$FB,97)</f>
        <v>2</v>
      </c>
      <c r="M98" s="92">
        <f>VLOOKUP($A98,'Data Vlaue (Cr)'!$C:$FB,98)</f>
        <v>4.8999999999999998E-3</v>
      </c>
      <c r="N98" s="91">
        <f>VLOOKUP($A98,'Data Vlaue (Cr)'!$C:$FB,79)</f>
        <v>860</v>
      </c>
      <c r="O98" s="92">
        <f>VLOOKUP($A98,'Data Vlaue (Cr)'!$C:$FB,82)</f>
        <v>-1.89E-2</v>
      </c>
    </row>
    <row r="99" spans="1:15" x14ac:dyDescent="0.25">
      <c r="A99" s="97" t="str">
        <f>'Data Vlaue (Cr)'!C94</f>
        <v>INDIAVIX</v>
      </c>
      <c r="B99" s="142">
        <f>VLOOKUP(A99,'Data Vlaue (Cr)'!C94:CW307,99,0)</f>
        <v>0</v>
      </c>
      <c r="C99" s="90">
        <f>VLOOKUP(A99,'Data Vlaue (Cr)'!C94:CY307,101,0)</f>
        <v>0</v>
      </c>
      <c r="D99" s="139">
        <f>VLOOKUP(A99,'Data Vlaue (Cr)'!C94:CZ307,102,0)</f>
        <v>0</v>
      </c>
      <c r="E99" s="91">
        <f>VLOOKUP($A99,'Data Vlaue (Cr)'!$C:$FB,75)</f>
        <v>0</v>
      </c>
      <c r="F99" s="91">
        <f>VLOOKUP($A99,'Data Vlaue (Cr)'!$C:$FB,77)</f>
        <v>0</v>
      </c>
      <c r="G99" s="92">
        <f>VLOOKUP(A99,'Data Vlaue (Cr)'!C94:CB307,78,0)</f>
        <v>0</v>
      </c>
      <c r="H99" s="91">
        <f>VLOOKUP($A99,'Data Vlaue (Cr)'!$C:$FB,91)</f>
        <v>0</v>
      </c>
      <c r="I99" s="91">
        <f>VLOOKUP($A99,'Data Vlaue (Cr)'!$C:$FB,93)</f>
        <v>0</v>
      </c>
      <c r="J99" s="92">
        <f>VLOOKUP($A99,'Data Vlaue (Cr)'!$C:$FB,94)</f>
        <v>0</v>
      </c>
      <c r="K99" s="91">
        <f>VLOOKUP($A99,'Data Vlaue (Cr)'!$C:$FB,95)</f>
        <v>0</v>
      </c>
      <c r="L99" s="91">
        <f>VLOOKUP($A99,'Data Vlaue (Cr)'!$C:$FB,97)</f>
        <v>0</v>
      </c>
      <c r="M99" s="92">
        <f>VLOOKUP($A99,'Data Vlaue (Cr)'!$C:$FB,98)</f>
        <v>0</v>
      </c>
      <c r="N99" s="91">
        <f>VLOOKUP($A99,'Data Vlaue (Cr)'!$C:$FB,79)</f>
        <v>0</v>
      </c>
      <c r="O99" s="92">
        <f>VLOOKUP($A99,'Data Vlaue (Cr)'!$C:$FB,82)</f>
        <v>0</v>
      </c>
    </row>
    <row r="100" spans="1:15" x14ac:dyDescent="0.25">
      <c r="A100" s="97" t="str">
        <f>'Data Vlaue (Cr)'!C95</f>
        <v>INDIGO</v>
      </c>
      <c r="B100" s="142">
        <f>VLOOKUP(A100,'Data Vlaue (Cr)'!C95:CW308,99,0)</f>
        <v>18764</v>
      </c>
      <c r="C100" s="90">
        <f>VLOOKUP(A100,'Data Vlaue (Cr)'!C95:CY308,101,0)</f>
        <v>-477</v>
      </c>
      <c r="D100" s="139">
        <f>VLOOKUP(A100,'Data Vlaue (Cr)'!C95:CZ308,102,0)</f>
        <v>-2.4799999999999999E-2</v>
      </c>
      <c r="E100" s="91">
        <f>VLOOKUP($A100,'Data Vlaue (Cr)'!$C:$FB,75)</f>
        <v>6122</v>
      </c>
      <c r="F100" s="91">
        <f>VLOOKUP($A100,'Data Vlaue (Cr)'!$C:$FB,77)</f>
        <v>-107</v>
      </c>
      <c r="G100" s="92">
        <f>VLOOKUP(A100,'Data Vlaue (Cr)'!C95:CB308,78,0)</f>
        <v>-1.7100000000000001E-2</v>
      </c>
      <c r="H100" s="91">
        <f>VLOOKUP($A100,'Data Vlaue (Cr)'!$C:$FB,91)</f>
        <v>8534</v>
      </c>
      <c r="I100" s="91">
        <f>VLOOKUP($A100,'Data Vlaue (Cr)'!$C:$FB,93)</f>
        <v>-227</v>
      </c>
      <c r="J100" s="92">
        <f>VLOOKUP($A100,'Data Vlaue (Cr)'!$C:$FB,94)</f>
        <v>-2.5899999999999999E-2</v>
      </c>
      <c r="K100" s="91">
        <f>VLOOKUP($A100,'Data Vlaue (Cr)'!$C:$FB,95)</f>
        <v>4109</v>
      </c>
      <c r="L100" s="91">
        <f>VLOOKUP($A100,'Data Vlaue (Cr)'!$C:$FB,97)</f>
        <v>-143</v>
      </c>
      <c r="M100" s="92">
        <f>VLOOKUP($A100,'Data Vlaue (Cr)'!$C:$FB,98)</f>
        <v>-3.3599999999999998E-2</v>
      </c>
      <c r="N100" s="91">
        <f>VLOOKUP($A100,'Data Vlaue (Cr)'!$C:$FB,79)</f>
        <v>5450</v>
      </c>
      <c r="O100" s="92">
        <f>VLOOKUP($A100,'Data Vlaue (Cr)'!$C:$FB,82)</f>
        <v>-2.1700000000000001E-2</v>
      </c>
    </row>
    <row r="101" spans="1:15" x14ac:dyDescent="0.25">
      <c r="A101" s="97" t="str">
        <f>'Data Vlaue (Cr)'!C96</f>
        <v>INDUSINDBK</v>
      </c>
      <c r="B101" s="142">
        <f>VLOOKUP(A101,'Data Vlaue (Cr)'!C96:CW309,99,0)</f>
        <v>6004</v>
      </c>
      <c r="C101" s="90">
        <f>VLOOKUP(A101,'Data Vlaue (Cr)'!C96:CY309,101,0)</f>
        <v>51</v>
      </c>
      <c r="D101" s="139">
        <f>VLOOKUP(A101,'Data Vlaue (Cr)'!C96:CZ309,102,0)</f>
        <v>8.6E-3</v>
      </c>
      <c r="E101" s="91">
        <f>VLOOKUP($A101,'Data Vlaue (Cr)'!$C:$FB,75)</f>
        <v>3989</v>
      </c>
      <c r="F101" s="91">
        <f>VLOOKUP($A101,'Data Vlaue (Cr)'!$C:$FB,77)</f>
        <v>-18</v>
      </c>
      <c r="G101" s="92">
        <f>VLOOKUP(A101,'Data Vlaue (Cr)'!C96:CB309,78,0)</f>
        <v>-4.5999999999999999E-3</v>
      </c>
      <c r="H101" s="91">
        <f>VLOOKUP($A101,'Data Vlaue (Cr)'!$C:$FB,91)</f>
        <v>1186</v>
      </c>
      <c r="I101" s="91">
        <f>VLOOKUP($A101,'Data Vlaue (Cr)'!$C:$FB,93)</f>
        <v>38</v>
      </c>
      <c r="J101" s="92">
        <f>VLOOKUP($A101,'Data Vlaue (Cr)'!$C:$FB,94)</f>
        <v>3.3099999999999997E-2</v>
      </c>
      <c r="K101" s="91">
        <f>VLOOKUP($A101,'Data Vlaue (Cr)'!$C:$FB,95)</f>
        <v>829</v>
      </c>
      <c r="L101" s="91">
        <f>VLOOKUP($A101,'Data Vlaue (Cr)'!$C:$FB,97)</f>
        <v>31</v>
      </c>
      <c r="M101" s="92">
        <f>VLOOKUP($A101,'Data Vlaue (Cr)'!$C:$FB,98)</f>
        <v>3.9300000000000002E-2</v>
      </c>
      <c r="N101" s="91">
        <f>VLOOKUP($A101,'Data Vlaue (Cr)'!$C:$FB,79)</f>
        <v>3600</v>
      </c>
      <c r="O101" s="92">
        <f>VLOOKUP($A101,'Data Vlaue (Cr)'!$C:$FB,82)</f>
        <v>-2.3199999999999998E-2</v>
      </c>
    </row>
    <row r="102" spans="1:15" x14ac:dyDescent="0.25">
      <c r="A102" s="97" t="str">
        <f>'Data Vlaue (Cr)'!C97</f>
        <v>INDUSTOWER</v>
      </c>
      <c r="B102" s="142">
        <f>VLOOKUP(A102,'Data Vlaue (Cr)'!C97:CW310,99,0)</f>
        <v>5161</v>
      </c>
      <c r="C102" s="90">
        <f>VLOOKUP(A102,'Data Vlaue (Cr)'!C97:CY310,101,0)</f>
        <v>-41</v>
      </c>
      <c r="D102" s="139">
        <f>VLOOKUP(A102,'Data Vlaue (Cr)'!C97:CZ310,102,0)</f>
        <v>-8.0000000000000002E-3</v>
      </c>
      <c r="E102" s="91">
        <f>VLOOKUP($A102,'Data Vlaue (Cr)'!$C:$FB,75)</f>
        <v>3417</v>
      </c>
      <c r="F102" s="91">
        <f>VLOOKUP($A102,'Data Vlaue (Cr)'!$C:$FB,77)</f>
        <v>-38</v>
      </c>
      <c r="G102" s="92">
        <f>VLOOKUP(A102,'Data Vlaue (Cr)'!C97:CB310,78,0)</f>
        <v>-1.09E-2</v>
      </c>
      <c r="H102" s="91">
        <f>VLOOKUP($A102,'Data Vlaue (Cr)'!$C:$FB,91)</f>
        <v>1099</v>
      </c>
      <c r="I102" s="91">
        <f>VLOOKUP($A102,'Data Vlaue (Cr)'!$C:$FB,93)</f>
        <v>-10</v>
      </c>
      <c r="J102" s="92">
        <f>VLOOKUP($A102,'Data Vlaue (Cr)'!$C:$FB,94)</f>
        <v>-8.9999999999999993E-3</v>
      </c>
      <c r="K102" s="91">
        <f>VLOOKUP($A102,'Data Vlaue (Cr)'!$C:$FB,95)</f>
        <v>645</v>
      </c>
      <c r="L102" s="91">
        <f>VLOOKUP($A102,'Data Vlaue (Cr)'!$C:$FB,97)</f>
        <v>6</v>
      </c>
      <c r="M102" s="92">
        <f>VLOOKUP($A102,'Data Vlaue (Cr)'!$C:$FB,98)</f>
        <v>9.7999999999999997E-3</v>
      </c>
      <c r="N102" s="91">
        <f>VLOOKUP($A102,'Data Vlaue (Cr)'!$C:$FB,79)</f>
        <v>3299</v>
      </c>
      <c r="O102" s="92">
        <f>VLOOKUP($A102,'Data Vlaue (Cr)'!$C:$FB,82)</f>
        <v>-1.41E-2</v>
      </c>
    </row>
    <row r="103" spans="1:15" x14ac:dyDescent="0.25">
      <c r="A103" s="97" t="str">
        <f>'Data Vlaue (Cr)'!C98</f>
        <v>INFY</v>
      </c>
      <c r="B103" s="142">
        <f>VLOOKUP(A103,'Data Vlaue (Cr)'!C98:CW311,99,0)</f>
        <v>18712</v>
      </c>
      <c r="C103" s="90">
        <f>VLOOKUP(A103,'Data Vlaue (Cr)'!C98:CY311,101,0)</f>
        <v>427</v>
      </c>
      <c r="D103" s="139">
        <f>VLOOKUP(A103,'Data Vlaue (Cr)'!C98:CZ311,102,0)</f>
        <v>2.3400000000000001E-2</v>
      </c>
      <c r="E103" s="91">
        <f>VLOOKUP($A103,'Data Vlaue (Cr)'!$C:$FB,75)</f>
        <v>11355</v>
      </c>
      <c r="F103" s="91">
        <f>VLOOKUP($A103,'Data Vlaue (Cr)'!$C:$FB,77)</f>
        <v>169</v>
      </c>
      <c r="G103" s="92">
        <f>VLOOKUP(A103,'Data Vlaue (Cr)'!C98:CB311,78,0)</f>
        <v>1.5100000000000001E-2</v>
      </c>
      <c r="H103" s="91">
        <f>VLOOKUP($A103,'Data Vlaue (Cr)'!$C:$FB,91)</f>
        <v>4468</v>
      </c>
      <c r="I103" s="91">
        <f>VLOOKUP($A103,'Data Vlaue (Cr)'!$C:$FB,93)</f>
        <v>142</v>
      </c>
      <c r="J103" s="92">
        <f>VLOOKUP($A103,'Data Vlaue (Cr)'!$C:$FB,94)</f>
        <v>3.2899999999999999E-2</v>
      </c>
      <c r="K103" s="91">
        <f>VLOOKUP($A103,'Data Vlaue (Cr)'!$C:$FB,95)</f>
        <v>2889</v>
      </c>
      <c r="L103" s="91">
        <f>VLOOKUP($A103,'Data Vlaue (Cr)'!$C:$FB,97)</f>
        <v>116</v>
      </c>
      <c r="M103" s="92">
        <f>VLOOKUP($A103,'Data Vlaue (Cr)'!$C:$FB,98)</f>
        <v>4.1700000000000001E-2</v>
      </c>
      <c r="N103" s="91">
        <f>VLOOKUP($A103,'Data Vlaue (Cr)'!$C:$FB,79)</f>
        <v>9588</v>
      </c>
      <c r="O103" s="92">
        <f>VLOOKUP($A103,'Data Vlaue (Cr)'!$C:$FB,82)</f>
        <v>-2.2100000000000002E-2</v>
      </c>
    </row>
    <row r="104" spans="1:15" x14ac:dyDescent="0.25">
      <c r="A104" s="97" t="str">
        <f>'Data Vlaue (Cr)'!C99</f>
        <v>INOXWIND</v>
      </c>
      <c r="B104" s="142">
        <f>VLOOKUP(A104,'Data Vlaue (Cr)'!C99:CW312,99,0)</f>
        <v>1991</v>
      </c>
      <c r="C104" s="90">
        <f>VLOOKUP(A104,'Data Vlaue (Cr)'!C99:CY312,101,0)</f>
        <v>-17</v>
      </c>
      <c r="D104" s="139">
        <f>VLOOKUP(A104,'Data Vlaue (Cr)'!C99:CZ312,102,0)</f>
        <v>-8.5000000000000006E-3</v>
      </c>
      <c r="E104" s="91">
        <f>VLOOKUP($A104,'Data Vlaue (Cr)'!$C:$FB,75)</f>
        <v>1116</v>
      </c>
      <c r="F104" s="91">
        <f>VLOOKUP($A104,'Data Vlaue (Cr)'!$C:$FB,77)</f>
        <v>-7</v>
      </c>
      <c r="G104" s="92">
        <f>VLOOKUP(A104,'Data Vlaue (Cr)'!C99:CB312,78,0)</f>
        <v>-6.0000000000000001E-3</v>
      </c>
      <c r="H104" s="91">
        <f>VLOOKUP($A104,'Data Vlaue (Cr)'!$C:$FB,91)</f>
        <v>588</v>
      </c>
      <c r="I104" s="91">
        <f>VLOOKUP($A104,'Data Vlaue (Cr)'!$C:$FB,93)</f>
        <v>-2</v>
      </c>
      <c r="J104" s="92">
        <f>VLOOKUP($A104,'Data Vlaue (Cr)'!$C:$FB,94)</f>
        <v>-2.8E-3</v>
      </c>
      <c r="K104" s="91">
        <f>VLOOKUP($A104,'Data Vlaue (Cr)'!$C:$FB,95)</f>
        <v>287</v>
      </c>
      <c r="L104" s="91">
        <f>VLOOKUP($A104,'Data Vlaue (Cr)'!$C:$FB,97)</f>
        <v>-9</v>
      </c>
      <c r="M104" s="92">
        <f>VLOOKUP($A104,'Data Vlaue (Cr)'!$C:$FB,98)</f>
        <v>-2.9700000000000001E-2</v>
      </c>
      <c r="N104" s="91">
        <f>VLOOKUP($A104,'Data Vlaue (Cr)'!$C:$FB,79)</f>
        <v>1034</v>
      </c>
      <c r="O104" s="92">
        <f>VLOOKUP($A104,'Data Vlaue (Cr)'!$C:$FB,82)</f>
        <v>-9.1999999999999998E-3</v>
      </c>
    </row>
    <row r="105" spans="1:15" x14ac:dyDescent="0.25">
      <c r="A105" s="97" t="str">
        <f>'Data Vlaue (Cr)'!C100</f>
        <v>IOC</v>
      </c>
      <c r="B105" s="142">
        <f>VLOOKUP(A105,'Data Vlaue (Cr)'!C100:CW313,99,0)</f>
        <v>3403</v>
      </c>
      <c r="C105" s="90">
        <f>VLOOKUP(A105,'Data Vlaue (Cr)'!C100:CY313,101,0)</f>
        <v>41</v>
      </c>
      <c r="D105" s="139">
        <f>VLOOKUP(A105,'Data Vlaue (Cr)'!C100:CZ313,102,0)</f>
        <v>1.2200000000000001E-2</v>
      </c>
      <c r="E105" s="91">
        <f>VLOOKUP($A105,'Data Vlaue (Cr)'!$C:$FB,75)</f>
        <v>1632</v>
      </c>
      <c r="F105" s="91">
        <f>VLOOKUP($A105,'Data Vlaue (Cr)'!$C:$FB,77)</f>
        <v>21</v>
      </c>
      <c r="G105" s="92">
        <f>VLOOKUP(A105,'Data Vlaue (Cr)'!C100:CB313,78,0)</f>
        <v>1.3299999999999999E-2</v>
      </c>
      <c r="H105" s="91">
        <f>VLOOKUP($A105,'Data Vlaue (Cr)'!$C:$FB,91)</f>
        <v>1066</v>
      </c>
      <c r="I105" s="91">
        <f>VLOOKUP($A105,'Data Vlaue (Cr)'!$C:$FB,93)</f>
        <v>-41</v>
      </c>
      <c r="J105" s="92">
        <f>VLOOKUP($A105,'Data Vlaue (Cr)'!$C:$FB,94)</f>
        <v>-3.7400000000000003E-2</v>
      </c>
      <c r="K105" s="91">
        <f>VLOOKUP($A105,'Data Vlaue (Cr)'!$C:$FB,95)</f>
        <v>705</v>
      </c>
      <c r="L105" s="91">
        <f>VLOOKUP($A105,'Data Vlaue (Cr)'!$C:$FB,97)</f>
        <v>61</v>
      </c>
      <c r="M105" s="92">
        <f>VLOOKUP($A105,'Data Vlaue (Cr)'!$C:$FB,98)</f>
        <v>9.4500000000000001E-2</v>
      </c>
      <c r="N105" s="91">
        <f>VLOOKUP($A105,'Data Vlaue (Cr)'!$C:$FB,79)</f>
        <v>1534</v>
      </c>
      <c r="O105" s="92">
        <f>VLOOKUP($A105,'Data Vlaue (Cr)'!$C:$FB,82)</f>
        <v>9.9000000000000008E-3</v>
      </c>
    </row>
    <row r="106" spans="1:15" x14ac:dyDescent="0.25">
      <c r="A106" s="97" t="str">
        <f>'Data Vlaue (Cr)'!C101</f>
        <v>IRCTC</v>
      </c>
      <c r="B106" s="142">
        <f>VLOOKUP(A106,'Data Vlaue (Cr)'!C101:CW314,99,0)</f>
        <v>2561</v>
      </c>
      <c r="C106" s="90">
        <f>VLOOKUP(A106,'Data Vlaue (Cr)'!C101:CY314,101,0)</f>
        <v>47</v>
      </c>
      <c r="D106" s="139">
        <f>VLOOKUP(A106,'Data Vlaue (Cr)'!C101:CZ314,102,0)</f>
        <v>1.8599999999999998E-2</v>
      </c>
      <c r="E106" s="91">
        <f>VLOOKUP($A106,'Data Vlaue (Cr)'!$C:$FB,75)</f>
        <v>1381</v>
      </c>
      <c r="F106" s="91">
        <f>VLOOKUP($A106,'Data Vlaue (Cr)'!$C:$FB,77)</f>
        <v>19</v>
      </c>
      <c r="G106" s="92">
        <f>VLOOKUP(A106,'Data Vlaue (Cr)'!C101:CB314,78,0)</f>
        <v>1.3599999999999999E-2</v>
      </c>
      <c r="H106" s="91">
        <f>VLOOKUP($A106,'Data Vlaue (Cr)'!$C:$FB,91)</f>
        <v>693</v>
      </c>
      <c r="I106" s="91">
        <f>VLOOKUP($A106,'Data Vlaue (Cr)'!$C:$FB,93)</f>
        <v>5</v>
      </c>
      <c r="J106" s="92">
        <f>VLOOKUP($A106,'Data Vlaue (Cr)'!$C:$FB,94)</f>
        <v>6.8999999999999999E-3</v>
      </c>
      <c r="K106" s="91">
        <f>VLOOKUP($A106,'Data Vlaue (Cr)'!$C:$FB,95)</f>
        <v>487</v>
      </c>
      <c r="L106" s="91">
        <f>VLOOKUP($A106,'Data Vlaue (Cr)'!$C:$FB,97)</f>
        <v>23</v>
      </c>
      <c r="M106" s="92">
        <f>VLOOKUP($A106,'Data Vlaue (Cr)'!$C:$FB,98)</f>
        <v>5.0599999999999999E-2</v>
      </c>
      <c r="N106" s="91">
        <f>VLOOKUP($A106,'Data Vlaue (Cr)'!$C:$FB,79)</f>
        <v>1219</v>
      </c>
      <c r="O106" s="92">
        <f>VLOOKUP($A106,'Data Vlaue (Cr)'!$C:$FB,82)</f>
        <v>6.4000000000000003E-3</v>
      </c>
    </row>
    <row r="107" spans="1:15" x14ac:dyDescent="0.25">
      <c r="A107" s="97" t="str">
        <f>'Data Vlaue (Cr)'!C102</f>
        <v>IREDA</v>
      </c>
      <c r="B107" s="142">
        <f>VLOOKUP(A107,'Data Vlaue (Cr)'!C102:CW315,99,0)</f>
        <v>1479</v>
      </c>
      <c r="C107" s="90">
        <f>VLOOKUP(A107,'Data Vlaue (Cr)'!C102:CY315,101,0)</f>
        <v>48</v>
      </c>
      <c r="D107" s="139">
        <f>VLOOKUP(A107,'Data Vlaue (Cr)'!C102:CZ315,102,0)</f>
        <v>3.3700000000000001E-2</v>
      </c>
      <c r="E107" s="91">
        <f>VLOOKUP($A107,'Data Vlaue (Cr)'!$C:$FB,75)</f>
        <v>721</v>
      </c>
      <c r="F107" s="91">
        <f>VLOOKUP($A107,'Data Vlaue (Cr)'!$C:$FB,77)</f>
        <v>29</v>
      </c>
      <c r="G107" s="92">
        <f>VLOOKUP(A107,'Data Vlaue (Cr)'!C102:CB315,78,0)</f>
        <v>4.1599999999999998E-2</v>
      </c>
      <c r="H107" s="91">
        <f>VLOOKUP($A107,'Data Vlaue (Cr)'!$C:$FB,91)</f>
        <v>505</v>
      </c>
      <c r="I107" s="91">
        <f>VLOOKUP($A107,'Data Vlaue (Cr)'!$C:$FB,93)</f>
        <v>9</v>
      </c>
      <c r="J107" s="92">
        <f>VLOOKUP($A107,'Data Vlaue (Cr)'!$C:$FB,94)</f>
        <v>1.7999999999999999E-2</v>
      </c>
      <c r="K107" s="91">
        <f>VLOOKUP($A107,'Data Vlaue (Cr)'!$C:$FB,95)</f>
        <v>253</v>
      </c>
      <c r="L107" s="91">
        <f>VLOOKUP($A107,'Data Vlaue (Cr)'!$C:$FB,97)</f>
        <v>11</v>
      </c>
      <c r="M107" s="92">
        <f>VLOOKUP($A107,'Data Vlaue (Cr)'!$C:$FB,98)</f>
        <v>4.3499999999999997E-2</v>
      </c>
      <c r="N107" s="91">
        <f>VLOOKUP($A107,'Data Vlaue (Cr)'!$C:$FB,79)</f>
        <v>546</v>
      </c>
      <c r="O107" s="92">
        <f>VLOOKUP($A107,'Data Vlaue (Cr)'!$C:$FB,82)</f>
        <v>1.9300000000000001E-2</v>
      </c>
    </row>
    <row r="108" spans="1:15" x14ac:dyDescent="0.25">
      <c r="A108" s="97" t="str">
        <f>'Data Vlaue (Cr)'!C103</f>
        <v>IRFC</v>
      </c>
      <c r="B108" s="142">
        <f>VLOOKUP(A108,'Data Vlaue (Cr)'!C103:CW316,99,0)</f>
        <v>1256</v>
      </c>
      <c r="C108" s="90">
        <f>VLOOKUP(A108,'Data Vlaue (Cr)'!C103:CY316,101,0)</f>
        <v>22</v>
      </c>
      <c r="D108" s="139">
        <f>VLOOKUP(A108,'Data Vlaue (Cr)'!C103:CZ316,102,0)</f>
        <v>1.7500000000000002E-2</v>
      </c>
      <c r="E108" s="91">
        <f>VLOOKUP($A108,'Data Vlaue (Cr)'!$C:$FB,75)</f>
        <v>534</v>
      </c>
      <c r="F108" s="91">
        <f>VLOOKUP($A108,'Data Vlaue (Cr)'!$C:$FB,77)</f>
        <v>13</v>
      </c>
      <c r="G108" s="92">
        <f>VLOOKUP(A108,'Data Vlaue (Cr)'!C103:CB316,78,0)</f>
        <v>2.5100000000000001E-2</v>
      </c>
      <c r="H108" s="91">
        <f>VLOOKUP($A108,'Data Vlaue (Cr)'!$C:$FB,91)</f>
        <v>489</v>
      </c>
      <c r="I108" s="91">
        <f>VLOOKUP($A108,'Data Vlaue (Cr)'!$C:$FB,93)</f>
        <v>3</v>
      </c>
      <c r="J108" s="92">
        <f>VLOOKUP($A108,'Data Vlaue (Cr)'!$C:$FB,94)</f>
        <v>6.0000000000000001E-3</v>
      </c>
      <c r="K108" s="91">
        <f>VLOOKUP($A108,'Data Vlaue (Cr)'!$C:$FB,95)</f>
        <v>233</v>
      </c>
      <c r="L108" s="91">
        <f>VLOOKUP($A108,'Data Vlaue (Cr)'!$C:$FB,97)</f>
        <v>6</v>
      </c>
      <c r="M108" s="92">
        <f>VLOOKUP($A108,'Data Vlaue (Cr)'!$C:$FB,98)</f>
        <v>2.4500000000000001E-2</v>
      </c>
      <c r="N108" s="91">
        <f>VLOOKUP($A108,'Data Vlaue (Cr)'!$C:$FB,79)</f>
        <v>461</v>
      </c>
      <c r="O108" s="92">
        <f>VLOOKUP($A108,'Data Vlaue (Cr)'!$C:$FB,82)</f>
        <v>9.4000000000000004E-3</v>
      </c>
    </row>
    <row r="109" spans="1:15" x14ac:dyDescent="0.25">
      <c r="A109" s="97" t="str">
        <f>'Data Vlaue (Cr)'!C104</f>
        <v>ITC</v>
      </c>
      <c r="B109" s="142">
        <f>VLOOKUP(A109,'Data Vlaue (Cr)'!C104:CW317,99,0)</f>
        <v>11077</v>
      </c>
      <c r="C109" s="90">
        <f>VLOOKUP(A109,'Data Vlaue (Cr)'!C104:CY317,101,0)</f>
        <v>177</v>
      </c>
      <c r="D109" s="139">
        <f>VLOOKUP(A109,'Data Vlaue (Cr)'!C104:CZ317,102,0)</f>
        <v>1.6199999999999999E-2</v>
      </c>
      <c r="E109" s="91">
        <f>VLOOKUP($A109,'Data Vlaue (Cr)'!$C:$FB,75)</f>
        <v>6976</v>
      </c>
      <c r="F109" s="91">
        <f>VLOOKUP($A109,'Data Vlaue (Cr)'!$C:$FB,77)</f>
        <v>60</v>
      </c>
      <c r="G109" s="92">
        <f>VLOOKUP(A109,'Data Vlaue (Cr)'!C104:CB317,78,0)</f>
        <v>8.6999999999999994E-3</v>
      </c>
      <c r="H109" s="91">
        <f>VLOOKUP($A109,'Data Vlaue (Cr)'!$C:$FB,91)</f>
        <v>2534</v>
      </c>
      <c r="I109" s="91">
        <f>VLOOKUP($A109,'Data Vlaue (Cr)'!$C:$FB,93)</f>
        <v>103</v>
      </c>
      <c r="J109" s="92">
        <f>VLOOKUP($A109,'Data Vlaue (Cr)'!$C:$FB,94)</f>
        <v>4.2200000000000001E-2</v>
      </c>
      <c r="K109" s="91">
        <f>VLOOKUP($A109,'Data Vlaue (Cr)'!$C:$FB,95)</f>
        <v>1567</v>
      </c>
      <c r="L109" s="91">
        <f>VLOOKUP($A109,'Data Vlaue (Cr)'!$C:$FB,97)</f>
        <v>14</v>
      </c>
      <c r="M109" s="92">
        <f>VLOOKUP($A109,'Data Vlaue (Cr)'!$C:$FB,98)</f>
        <v>9.1000000000000004E-3</v>
      </c>
      <c r="N109" s="91">
        <f>VLOOKUP($A109,'Data Vlaue (Cr)'!$C:$FB,79)</f>
        <v>6223</v>
      </c>
      <c r="O109" s="92">
        <f>VLOOKUP($A109,'Data Vlaue (Cr)'!$C:$FB,82)</f>
        <v>-1.14E-2</v>
      </c>
    </row>
    <row r="110" spans="1:15" x14ac:dyDescent="0.25">
      <c r="A110" s="97" t="str">
        <f>'Data Vlaue (Cr)'!C105</f>
        <v>JINDALSTEL</v>
      </c>
      <c r="B110" s="142">
        <f>VLOOKUP(A110,'Data Vlaue (Cr)'!C105:CW318,99,0)</f>
        <v>2209</v>
      </c>
      <c r="C110" s="90">
        <f>VLOOKUP(A110,'Data Vlaue (Cr)'!C105:CY318,101,0)</f>
        <v>50</v>
      </c>
      <c r="D110" s="139">
        <f>VLOOKUP(A110,'Data Vlaue (Cr)'!C105:CZ318,102,0)</f>
        <v>2.3099999999999999E-2</v>
      </c>
      <c r="E110" s="91">
        <f>VLOOKUP($A110,'Data Vlaue (Cr)'!$C:$FB,75)</f>
        <v>1263</v>
      </c>
      <c r="F110" s="91">
        <f>VLOOKUP($A110,'Data Vlaue (Cr)'!$C:$FB,77)</f>
        <v>30</v>
      </c>
      <c r="G110" s="92">
        <f>VLOOKUP(A110,'Data Vlaue (Cr)'!C105:CB318,78,0)</f>
        <v>2.41E-2</v>
      </c>
      <c r="H110" s="91">
        <f>VLOOKUP($A110,'Data Vlaue (Cr)'!$C:$FB,91)</f>
        <v>592</v>
      </c>
      <c r="I110" s="91">
        <f>VLOOKUP($A110,'Data Vlaue (Cr)'!$C:$FB,93)</f>
        <v>19</v>
      </c>
      <c r="J110" s="92">
        <f>VLOOKUP($A110,'Data Vlaue (Cr)'!$C:$FB,94)</f>
        <v>3.3799999999999997E-2</v>
      </c>
      <c r="K110" s="91">
        <f>VLOOKUP($A110,'Data Vlaue (Cr)'!$C:$FB,95)</f>
        <v>354</v>
      </c>
      <c r="L110" s="91">
        <f>VLOOKUP($A110,'Data Vlaue (Cr)'!$C:$FB,97)</f>
        <v>1</v>
      </c>
      <c r="M110" s="92">
        <f>VLOOKUP($A110,'Data Vlaue (Cr)'!$C:$FB,98)</f>
        <v>2.5000000000000001E-3</v>
      </c>
      <c r="N110" s="91">
        <f>VLOOKUP($A110,'Data Vlaue (Cr)'!$C:$FB,79)</f>
        <v>1228</v>
      </c>
      <c r="O110" s="92">
        <f>VLOOKUP($A110,'Data Vlaue (Cr)'!$C:$FB,82)</f>
        <v>1.8200000000000001E-2</v>
      </c>
    </row>
    <row r="111" spans="1:15" x14ac:dyDescent="0.25">
      <c r="A111" s="97" t="str">
        <f>'Data Vlaue (Cr)'!C106</f>
        <v>JIOFIN</v>
      </c>
      <c r="B111" s="142">
        <f>VLOOKUP(A111,'Data Vlaue (Cr)'!C106:CW319,99,0)</f>
        <v>8066</v>
      </c>
      <c r="C111" s="90">
        <f>VLOOKUP(A111,'Data Vlaue (Cr)'!C106:CY319,101,0)</f>
        <v>94</v>
      </c>
      <c r="D111" s="139">
        <f>VLOOKUP(A111,'Data Vlaue (Cr)'!C106:CZ319,102,0)</f>
        <v>1.17E-2</v>
      </c>
      <c r="E111" s="91">
        <f>VLOOKUP($A111,'Data Vlaue (Cr)'!$C:$FB,75)</f>
        <v>4679</v>
      </c>
      <c r="F111" s="91">
        <f>VLOOKUP($A111,'Data Vlaue (Cr)'!$C:$FB,77)</f>
        <v>32</v>
      </c>
      <c r="G111" s="92">
        <f>VLOOKUP(A111,'Data Vlaue (Cr)'!C106:CB319,78,0)</f>
        <v>6.7999999999999996E-3</v>
      </c>
      <c r="H111" s="91">
        <f>VLOOKUP($A111,'Data Vlaue (Cr)'!$C:$FB,91)</f>
        <v>2016</v>
      </c>
      <c r="I111" s="91">
        <f>VLOOKUP($A111,'Data Vlaue (Cr)'!$C:$FB,93)</f>
        <v>61</v>
      </c>
      <c r="J111" s="92">
        <f>VLOOKUP($A111,'Data Vlaue (Cr)'!$C:$FB,94)</f>
        <v>3.15E-2</v>
      </c>
      <c r="K111" s="91">
        <f>VLOOKUP($A111,'Data Vlaue (Cr)'!$C:$FB,95)</f>
        <v>1371</v>
      </c>
      <c r="L111" s="91">
        <f>VLOOKUP($A111,'Data Vlaue (Cr)'!$C:$FB,97)</f>
        <v>0</v>
      </c>
      <c r="M111" s="92">
        <f>VLOOKUP($A111,'Data Vlaue (Cr)'!$C:$FB,98)</f>
        <v>2.0000000000000001E-4</v>
      </c>
      <c r="N111" s="91">
        <f>VLOOKUP($A111,'Data Vlaue (Cr)'!$C:$FB,79)</f>
        <v>3982</v>
      </c>
      <c r="O111" s="92">
        <f>VLOOKUP($A111,'Data Vlaue (Cr)'!$C:$FB,82)</f>
        <v>-8.0000000000000004E-4</v>
      </c>
    </row>
    <row r="112" spans="1:15" x14ac:dyDescent="0.25">
      <c r="A112" s="97" t="str">
        <f>'Data Vlaue (Cr)'!C107</f>
        <v>JSWENERGY</v>
      </c>
      <c r="B112" s="142">
        <f>VLOOKUP(A112,'Data Vlaue (Cr)'!C107:CW320,99,0)</f>
        <v>3483</v>
      </c>
      <c r="C112" s="90">
        <f>VLOOKUP(A112,'Data Vlaue (Cr)'!C107:CY320,101,0)</f>
        <v>-36</v>
      </c>
      <c r="D112" s="139">
        <f>VLOOKUP(A112,'Data Vlaue (Cr)'!C107:CZ320,102,0)</f>
        <v>-1.01E-2</v>
      </c>
      <c r="E112" s="91">
        <f>VLOOKUP($A112,'Data Vlaue (Cr)'!$C:$FB,75)</f>
        <v>2226</v>
      </c>
      <c r="F112" s="91">
        <f>VLOOKUP($A112,'Data Vlaue (Cr)'!$C:$FB,77)</f>
        <v>-33</v>
      </c>
      <c r="G112" s="92">
        <f>VLOOKUP(A112,'Data Vlaue (Cr)'!C107:CB320,78,0)</f>
        <v>-1.4800000000000001E-2</v>
      </c>
      <c r="H112" s="91">
        <f>VLOOKUP($A112,'Data Vlaue (Cr)'!$C:$FB,91)</f>
        <v>748</v>
      </c>
      <c r="I112" s="91">
        <f>VLOOKUP($A112,'Data Vlaue (Cr)'!$C:$FB,93)</f>
        <v>-1</v>
      </c>
      <c r="J112" s="92">
        <f>VLOOKUP($A112,'Data Vlaue (Cr)'!$C:$FB,94)</f>
        <v>-1.5E-3</v>
      </c>
      <c r="K112" s="91">
        <f>VLOOKUP($A112,'Data Vlaue (Cr)'!$C:$FB,95)</f>
        <v>510</v>
      </c>
      <c r="L112" s="91">
        <f>VLOOKUP($A112,'Data Vlaue (Cr)'!$C:$FB,97)</f>
        <v>-1</v>
      </c>
      <c r="M112" s="92">
        <f>VLOOKUP($A112,'Data Vlaue (Cr)'!$C:$FB,98)</f>
        <v>-1.8E-3</v>
      </c>
      <c r="N112" s="91">
        <f>VLOOKUP($A112,'Data Vlaue (Cr)'!$C:$FB,79)</f>
        <v>2122</v>
      </c>
      <c r="O112" s="92">
        <f>VLOOKUP($A112,'Data Vlaue (Cr)'!$C:$FB,82)</f>
        <v>-2.01E-2</v>
      </c>
    </row>
    <row r="113" spans="1:15" x14ac:dyDescent="0.25">
      <c r="A113" s="97" t="str">
        <f>'Data Vlaue (Cr)'!C108</f>
        <v>JSWSTEEL</v>
      </c>
      <c r="B113" s="142">
        <f>VLOOKUP(A113,'Data Vlaue (Cr)'!C108:CW321,99,0)</f>
        <v>8695</v>
      </c>
      <c r="C113" s="90">
        <f>VLOOKUP(A113,'Data Vlaue (Cr)'!C108:CY321,101,0)</f>
        <v>52</v>
      </c>
      <c r="D113" s="139">
        <f>VLOOKUP(A113,'Data Vlaue (Cr)'!C108:CZ321,102,0)</f>
        <v>6.0000000000000001E-3</v>
      </c>
      <c r="E113" s="91">
        <f>VLOOKUP($A113,'Data Vlaue (Cr)'!$C:$FB,75)</f>
        <v>5360</v>
      </c>
      <c r="F113" s="91">
        <f>VLOOKUP($A113,'Data Vlaue (Cr)'!$C:$FB,77)</f>
        <v>21</v>
      </c>
      <c r="G113" s="92">
        <f>VLOOKUP(A113,'Data Vlaue (Cr)'!C108:CB321,78,0)</f>
        <v>3.8999999999999998E-3</v>
      </c>
      <c r="H113" s="91">
        <f>VLOOKUP($A113,'Data Vlaue (Cr)'!$C:$FB,91)</f>
        <v>2213</v>
      </c>
      <c r="I113" s="91">
        <f>VLOOKUP($A113,'Data Vlaue (Cr)'!$C:$FB,93)</f>
        <v>54</v>
      </c>
      <c r="J113" s="92">
        <f>VLOOKUP($A113,'Data Vlaue (Cr)'!$C:$FB,94)</f>
        <v>2.4799999999999999E-2</v>
      </c>
      <c r="K113" s="91">
        <f>VLOOKUP($A113,'Data Vlaue (Cr)'!$C:$FB,95)</f>
        <v>1121</v>
      </c>
      <c r="L113" s="91">
        <f>VLOOKUP($A113,'Data Vlaue (Cr)'!$C:$FB,97)</f>
        <v>-23</v>
      </c>
      <c r="M113" s="92">
        <f>VLOOKUP($A113,'Data Vlaue (Cr)'!$C:$FB,98)</f>
        <v>-1.9800000000000002E-2</v>
      </c>
      <c r="N113" s="91">
        <f>VLOOKUP($A113,'Data Vlaue (Cr)'!$C:$FB,79)</f>
        <v>5088</v>
      </c>
      <c r="O113" s="92">
        <f>VLOOKUP($A113,'Data Vlaue (Cr)'!$C:$FB,82)</f>
        <v>-2.3999999999999998E-3</v>
      </c>
    </row>
    <row r="114" spans="1:15" x14ac:dyDescent="0.25">
      <c r="A114" s="97" t="str">
        <f>'Data Vlaue (Cr)'!C109</f>
        <v>JUBLFOOD</v>
      </c>
      <c r="B114" s="142">
        <f>VLOOKUP(A114,'Data Vlaue (Cr)'!C109:CW322,99,0)</f>
        <v>2491</v>
      </c>
      <c r="C114" s="90">
        <f>VLOOKUP(A114,'Data Vlaue (Cr)'!C109:CY322,101,0)</f>
        <v>132</v>
      </c>
      <c r="D114" s="139">
        <f>VLOOKUP(A114,'Data Vlaue (Cr)'!C109:CZ322,102,0)</f>
        <v>5.5899999999999998E-2</v>
      </c>
      <c r="E114" s="91">
        <f>VLOOKUP($A114,'Data Vlaue (Cr)'!$C:$FB,75)</f>
        <v>1233</v>
      </c>
      <c r="F114" s="91">
        <f>VLOOKUP($A114,'Data Vlaue (Cr)'!$C:$FB,77)</f>
        <v>23</v>
      </c>
      <c r="G114" s="92">
        <f>VLOOKUP(A114,'Data Vlaue (Cr)'!C109:CB322,78,0)</f>
        <v>1.9E-2</v>
      </c>
      <c r="H114" s="91">
        <f>VLOOKUP($A114,'Data Vlaue (Cr)'!$C:$FB,91)</f>
        <v>806</v>
      </c>
      <c r="I114" s="91">
        <f>VLOOKUP($A114,'Data Vlaue (Cr)'!$C:$FB,93)</f>
        <v>90</v>
      </c>
      <c r="J114" s="92">
        <f>VLOOKUP($A114,'Data Vlaue (Cr)'!$C:$FB,94)</f>
        <v>0.12640000000000001</v>
      </c>
      <c r="K114" s="91">
        <f>VLOOKUP($A114,'Data Vlaue (Cr)'!$C:$FB,95)</f>
        <v>452</v>
      </c>
      <c r="L114" s="91">
        <f>VLOOKUP($A114,'Data Vlaue (Cr)'!$C:$FB,97)</f>
        <v>19</v>
      </c>
      <c r="M114" s="92">
        <f>VLOOKUP($A114,'Data Vlaue (Cr)'!$C:$FB,98)</f>
        <v>4.2700000000000002E-2</v>
      </c>
      <c r="N114" s="91">
        <f>VLOOKUP($A114,'Data Vlaue (Cr)'!$C:$FB,79)</f>
        <v>1095</v>
      </c>
      <c r="O114" s="92">
        <f>VLOOKUP($A114,'Data Vlaue (Cr)'!$C:$FB,82)</f>
        <v>-6.0000000000000001E-3</v>
      </c>
    </row>
    <row r="115" spans="1:15" x14ac:dyDescent="0.25">
      <c r="A115" s="97" t="str">
        <f>'Data Vlaue (Cr)'!C110</f>
        <v>KALYANKJIL</v>
      </c>
      <c r="B115" s="142">
        <f>VLOOKUP(A115,'Data Vlaue (Cr)'!C110:CW323,99,0)</f>
        <v>2461</v>
      </c>
      <c r="C115" s="90">
        <f>VLOOKUP(A115,'Data Vlaue (Cr)'!C110:CY323,101,0)</f>
        <v>55</v>
      </c>
      <c r="D115" s="139">
        <f>VLOOKUP(A115,'Data Vlaue (Cr)'!C110:CZ323,102,0)</f>
        <v>2.2800000000000001E-2</v>
      </c>
      <c r="E115" s="91">
        <f>VLOOKUP($A115,'Data Vlaue (Cr)'!$C:$FB,75)</f>
        <v>1615</v>
      </c>
      <c r="F115" s="91">
        <f>VLOOKUP($A115,'Data Vlaue (Cr)'!$C:$FB,77)</f>
        <v>35</v>
      </c>
      <c r="G115" s="92">
        <f>VLOOKUP(A115,'Data Vlaue (Cr)'!C110:CB323,78,0)</f>
        <v>2.2200000000000001E-2</v>
      </c>
      <c r="H115" s="91">
        <f>VLOOKUP($A115,'Data Vlaue (Cr)'!$C:$FB,91)</f>
        <v>545</v>
      </c>
      <c r="I115" s="91">
        <f>VLOOKUP($A115,'Data Vlaue (Cr)'!$C:$FB,93)</f>
        <v>25</v>
      </c>
      <c r="J115" s="92">
        <f>VLOOKUP($A115,'Data Vlaue (Cr)'!$C:$FB,94)</f>
        <v>4.7600000000000003E-2</v>
      </c>
      <c r="K115" s="91">
        <f>VLOOKUP($A115,'Data Vlaue (Cr)'!$C:$FB,95)</f>
        <v>300</v>
      </c>
      <c r="L115" s="91">
        <f>VLOOKUP($A115,'Data Vlaue (Cr)'!$C:$FB,97)</f>
        <v>-5</v>
      </c>
      <c r="M115" s="92">
        <f>VLOOKUP($A115,'Data Vlaue (Cr)'!$C:$FB,98)</f>
        <v>-1.66E-2</v>
      </c>
      <c r="N115" s="91">
        <f>VLOOKUP($A115,'Data Vlaue (Cr)'!$C:$FB,79)</f>
        <v>1548</v>
      </c>
      <c r="O115" s="92">
        <f>VLOOKUP($A115,'Data Vlaue (Cr)'!$C:$FB,82)</f>
        <v>1.55E-2</v>
      </c>
    </row>
    <row r="116" spans="1:15" x14ac:dyDescent="0.25">
      <c r="A116" s="97" t="str">
        <f>'Data Vlaue (Cr)'!C111</f>
        <v>KAYNES</v>
      </c>
      <c r="B116" s="142">
        <f>VLOOKUP(A116,'Data Vlaue (Cr)'!C111:CW324,99,0)</f>
        <v>6354</v>
      </c>
      <c r="C116" s="90">
        <f>VLOOKUP(A116,'Data Vlaue (Cr)'!C111:CY324,101,0)</f>
        <v>107</v>
      </c>
      <c r="D116" s="139">
        <f>VLOOKUP(A116,'Data Vlaue (Cr)'!C111:CZ324,102,0)</f>
        <v>1.72E-2</v>
      </c>
      <c r="E116" s="91">
        <f>VLOOKUP($A116,'Data Vlaue (Cr)'!$C:$FB,75)</f>
        <v>1565</v>
      </c>
      <c r="F116" s="91">
        <f>VLOOKUP($A116,'Data Vlaue (Cr)'!$C:$FB,77)</f>
        <v>33</v>
      </c>
      <c r="G116" s="92">
        <f>VLOOKUP(A116,'Data Vlaue (Cr)'!C111:CB324,78,0)</f>
        <v>2.18E-2</v>
      </c>
      <c r="H116" s="91">
        <f>VLOOKUP($A116,'Data Vlaue (Cr)'!$C:$FB,91)</f>
        <v>3423</v>
      </c>
      <c r="I116" s="91">
        <f>VLOOKUP($A116,'Data Vlaue (Cr)'!$C:$FB,93)</f>
        <v>56</v>
      </c>
      <c r="J116" s="92">
        <f>VLOOKUP($A116,'Data Vlaue (Cr)'!$C:$FB,94)</f>
        <v>1.66E-2</v>
      </c>
      <c r="K116" s="91">
        <f>VLOOKUP($A116,'Data Vlaue (Cr)'!$C:$FB,95)</f>
        <v>1366</v>
      </c>
      <c r="L116" s="91">
        <f>VLOOKUP($A116,'Data Vlaue (Cr)'!$C:$FB,97)</f>
        <v>18</v>
      </c>
      <c r="M116" s="92">
        <f>VLOOKUP($A116,'Data Vlaue (Cr)'!$C:$FB,98)</f>
        <v>1.35E-2</v>
      </c>
      <c r="N116" s="91">
        <f>VLOOKUP($A116,'Data Vlaue (Cr)'!$C:$FB,79)</f>
        <v>1341</v>
      </c>
      <c r="O116" s="92">
        <f>VLOOKUP($A116,'Data Vlaue (Cr)'!$C:$FB,82)</f>
        <v>1.4500000000000001E-2</v>
      </c>
    </row>
    <row r="117" spans="1:15" x14ac:dyDescent="0.25">
      <c r="A117" s="97" t="str">
        <f>'Data Vlaue (Cr)'!C112</f>
        <v>KEI</v>
      </c>
      <c r="B117" s="142">
        <f>VLOOKUP(A117,'Data Vlaue (Cr)'!C112:CW325,99,0)</f>
        <v>948</v>
      </c>
      <c r="C117" s="90">
        <f>VLOOKUP(A117,'Data Vlaue (Cr)'!C112:CY325,101,0)</f>
        <v>83</v>
      </c>
      <c r="D117" s="139">
        <f>VLOOKUP(A117,'Data Vlaue (Cr)'!C112:CZ325,102,0)</f>
        <v>9.6600000000000005E-2</v>
      </c>
      <c r="E117" s="91">
        <f>VLOOKUP($A117,'Data Vlaue (Cr)'!$C:$FB,75)</f>
        <v>477</v>
      </c>
      <c r="F117" s="91">
        <f>VLOOKUP($A117,'Data Vlaue (Cr)'!$C:$FB,77)</f>
        <v>29</v>
      </c>
      <c r="G117" s="92">
        <f>VLOOKUP(A117,'Data Vlaue (Cr)'!C112:CB325,78,0)</f>
        <v>6.3899999999999998E-2</v>
      </c>
      <c r="H117" s="91">
        <f>VLOOKUP($A117,'Data Vlaue (Cr)'!$C:$FB,91)</f>
        <v>282</v>
      </c>
      <c r="I117" s="91">
        <f>VLOOKUP($A117,'Data Vlaue (Cr)'!$C:$FB,93)</f>
        <v>24</v>
      </c>
      <c r="J117" s="92">
        <f>VLOOKUP($A117,'Data Vlaue (Cr)'!$C:$FB,94)</f>
        <v>9.3100000000000002E-2</v>
      </c>
      <c r="K117" s="91">
        <f>VLOOKUP($A117,'Data Vlaue (Cr)'!$C:$FB,95)</f>
        <v>190</v>
      </c>
      <c r="L117" s="91">
        <f>VLOOKUP($A117,'Data Vlaue (Cr)'!$C:$FB,97)</f>
        <v>31</v>
      </c>
      <c r="M117" s="92">
        <f>VLOOKUP($A117,'Data Vlaue (Cr)'!$C:$FB,98)</f>
        <v>0.19439999999999999</v>
      </c>
      <c r="N117" s="91">
        <f>VLOOKUP($A117,'Data Vlaue (Cr)'!$C:$FB,79)</f>
        <v>435</v>
      </c>
      <c r="O117" s="92">
        <f>VLOOKUP($A117,'Data Vlaue (Cr)'!$C:$FB,82)</f>
        <v>4.8500000000000001E-2</v>
      </c>
    </row>
    <row r="118" spans="1:15" x14ac:dyDescent="0.25">
      <c r="A118" s="97" t="str">
        <f>'Data Vlaue (Cr)'!C113</f>
        <v>KFINTECH</v>
      </c>
      <c r="B118" s="142">
        <f>VLOOKUP(A118,'Data Vlaue (Cr)'!C113:CW326,99,0)</f>
        <v>887</v>
      </c>
      <c r="C118" s="90">
        <f>VLOOKUP(A118,'Data Vlaue (Cr)'!C113:CY326,101,0)</f>
        <v>2</v>
      </c>
      <c r="D118" s="139">
        <f>VLOOKUP(A118,'Data Vlaue (Cr)'!C113:CZ326,102,0)</f>
        <v>1.8E-3</v>
      </c>
      <c r="E118" s="91">
        <f>VLOOKUP($A118,'Data Vlaue (Cr)'!$C:$FB,75)</f>
        <v>380</v>
      </c>
      <c r="F118" s="91">
        <f>VLOOKUP($A118,'Data Vlaue (Cr)'!$C:$FB,77)</f>
        <v>10</v>
      </c>
      <c r="G118" s="92">
        <f>VLOOKUP(A118,'Data Vlaue (Cr)'!C113:CB326,78,0)</f>
        <v>2.8299999999999999E-2</v>
      </c>
      <c r="H118" s="91">
        <f>VLOOKUP($A118,'Data Vlaue (Cr)'!$C:$FB,91)</f>
        <v>309</v>
      </c>
      <c r="I118" s="91">
        <f>VLOOKUP($A118,'Data Vlaue (Cr)'!$C:$FB,93)</f>
        <v>-6</v>
      </c>
      <c r="J118" s="92">
        <f>VLOOKUP($A118,'Data Vlaue (Cr)'!$C:$FB,94)</f>
        <v>-2.0400000000000001E-2</v>
      </c>
      <c r="K118" s="91">
        <f>VLOOKUP($A118,'Data Vlaue (Cr)'!$C:$FB,95)</f>
        <v>198</v>
      </c>
      <c r="L118" s="91">
        <f>VLOOKUP($A118,'Data Vlaue (Cr)'!$C:$FB,97)</f>
        <v>-2</v>
      </c>
      <c r="M118" s="92">
        <f>VLOOKUP($A118,'Data Vlaue (Cr)'!$C:$FB,98)</f>
        <v>-1.1900000000000001E-2</v>
      </c>
      <c r="N118" s="91">
        <f>VLOOKUP($A118,'Data Vlaue (Cr)'!$C:$FB,79)</f>
        <v>343</v>
      </c>
      <c r="O118" s="92">
        <f>VLOOKUP($A118,'Data Vlaue (Cr)'!$C:$FB,82)</f>
        <v>1.5800000000000002E-2</v>
      </c>
    </row>
    <row r="119" spans="1:15" x14ac:dyDescent="0.25">
      <c r="A119" s="97" t="str">
        <f>'Data Vlaue (Cr)'!C114</f>
        <v>KOTAKBANK</v>
      </c>
      <c r="B119" s="142">
        <f>VLOOKUP(A119,'Data Vlaue (Cr)'!C114:CW327,99,0)</f>
        <v>12412</v>
      </c>
      <c r="C119" s="90">
        <f>VLOOKUP(A119,'Data Vlaue (Cr)'!C114:CY327,101,0)</f>
        <v>-17</v>
      </c>
      <c r="D119" s="139">
        <f>VLOOKUP(A119,'Data Vlaue (Cr)'!C114:CZ327,102,0)</f>
        <v>-1.4E-3</v>
      </c>
      <c r="E119" s="91">
        <f>VLOOKUP($A119,'Data Vlaue (Cr)'!$C:$FB,75)</f>
        <v>8800</v>
      </c>
      <c r="F119" s="91">
        <f>VLOOKUP($A119,'Data Vlaue (Cr)'!$C:$FB,77)</f>
        <v>20</v>
      </c>
      <c r="G119" s="92">
        <f>VLOOKUP(A119,'Data Vlaue (Cr)'!C114:CB327,78,0)</f>
        <v>2.3E-3</v>
      </c>
      <c r="H119" s="91">
        <f>VLOOKUP($A119,'Data Vlaue (Cr)'!$C:$FB,91)</f>
        <v>1956</v>
      </c>
      <c r="I119" s="91">
        <f>VLOOKUP($A119,'Data Vlaue (Cr)'!$C:$FB,93)</f>
        <v>20</v>
      </c>
      <c r="J119" s="92">
        <f>VLOOKUP($A119,'Data Vlaue (Cr)'!$C:$FB,94)</f>
        <v>1.01E-2</v>
      </c>
      <c r="K119" s="91">
        <f>VLOOKUP($A119,'Data Vlaue (Cr)'!$C:$FB,95)</f>
        <v>1655</v>
      </c>
      <c r="L119" s="91">
        <f>VLOOKUP($A119,'Data Vlaue (Cr)'!$C:$FB,97)</f>
        <v>-57</v>
      </c>
      <c r="M119" s="92">
        <f>VLOOKUP($A119,'Data Vlaue (Cr)'!$C:$FB,98)</f>
        <v>-3.32E-2</v>
      </c>
      <c r="N119" s="91">
        <f>VLOOKUP($A119,'Data Vlaue (Cr)'!$C:$FB,79)</f>
        <v>7566</v>
      </c>
      <c r="O119" s="92">
        <f>VLOOKUP($A119,'Data Vlaue (Cr)'!$C:$FB,82)</f>
        <v>-3.78E-2</v>
      </c>
    </row>
    <row r="120" spans="1:15" x14ac:dyDescent="0.25">
      <c r="A120" s="97" t="str">
        <f>'Data Vlaue (Cr)'!C115</f>
        <v>KPITTECH</v>
      </c>
      <c r="B120" s="142">
        <f>VLOOKUP(A120,'Data Vlaue (Cr)'!C115:CW328,99,0)</f>
        <v>950</v>
      </c>
      <c r="C120" s="90">
        <f>VLOOKUP(A120,'Data Vlaue (Cr)'!C115:CY328,101,0)</f>
        <v>25</v>
      </c>
      <c r="D120" s="139">
        <f>VLOOKUP(A120,'Data Vlaue (Cr)'!C115:CZ328,102,0)</f>
        <v>2.7099999999999999E-2</v>
      </c>
      <c r="E120" s="91">
        <f>VLOOKUP($A120,'Data Vlaue (Cr)'!$C:$FB,75)</f>
        <v>451</v>
      </c>
      <c r="F120" s="91">
        <f>VLOOKUP($A120,'Data Vlaue (Cr)'!$C:$FB,77)</f>
        <v>9</v>
      </c>
      <c r="G120" s="92">
        <f>VLOOKUP(A120,'Data Vlaue (Cr)'!C115:CB328,78,0)</f>
        <v>2.01E-2</v>
      </c>
      <c r="H120" s="91">
        <f>VLOOKUP($A120,'Data Vlaue (Cr)'!$C:$FB,91)</f>
        <v>314</v>
      </c>
      <c r="I120" s="91">
        <f>VLOOKUP($A120,'Data Vlaue (Cr)'!$C:$FB,93)</f>
        <v>8</v>
      </c>
      <c r="J120" s="92">
        <f>VLOOKUP($A120,'Data Vlaue (Cr)'!$C:$FB,94)</f>
        <v>2.64E-2</v>
      </c>
      <c r="K120" s="91">
        <f>VLOOKUP($A120,'Data Vlaue (Cr)'!$C:$FB,95)</f>
        <v>185</v>
      </c>
      <c r="L120" s="91">
        <f>VLOOKUP($A120,'Data Vlaue (Cr)'!$C:$FB,97)</f>
        <v>8</v>
      </c>
      <c r="M120" s="92">
        <f>VLOOKUP($A120,'Data Vlaue (Cr)'!$C:$FB,98)</f>
        <v>4.6199999999999998E-2</v>
      </c>
      <c r="N120" s="91">
        <f>VLOOKUP($A120,'Data Vlaue (Cr)'!$C:$FB,79)</f>
        <v>411</v>
      </c>
      <c r="O120" s="92">
        <f>VLOOKUP($A120,'Data Vlaue (Cr)'!$C:$FB,82)</f>
        <v>1.5900000000000001E-2</v>
      </c>
    </row>
    <row r="121" spans="1:15" x14ac:dyDescent="0.25">
      <c r="A121" s="97" t="str">
        <f>'Data Vlaue (Cr)'!C116</f>
        <v>LAURUSLABS</v>
      </c>
      <c r="B121" s="142">
        <f>VLOOKUP(A121,'Data Vlaue (Cr)'!C116:CW329,99,0)</f>
        <v>3032</v>
      </c>
      <c r="C121" s="90">
        <f>VLOOKUP(A121,'Data Vlaue (Cr)'!C116:CY329,101,0)</f>
        <v>-24</v>
      </c>
      <c r="D121" s="139">
        <f>VLOOKUP(A121,'Data Vlaue (Cr)'!C116:CZ329,102,0)</f>
        <v>-7.7999999999999996E-3</v>
      </c>
      <c r="E121" s="91">
        <f>VLOOKUP($A121,'Data Vlaue (Cr)'!$C:$FB,75)</f>
        <v>1647</v>
      </c>
      <c r="F121" s="91">
        <f>VLOOKUP($A121,'Data Vlaue (Cr)'!$C:$FB,77)</f>
        <v>-13</v>
      </c>
      <c r="G121" s="92">
        <f>VLOOKUP(A121,'Data Vlaue (Cr)'!C116:CB329,78,0)</f>
        <v>-7.6E-3</v>
      </c>
      <c r="H121" s="91">
        <f>VLOOKUP($A121,'Data Vlaue (Cr)'!$C:$FB,91)</f>
        <v>894</v>
      </c>
      <c r="I121" s="91">
        <f>VLOOKUP($A121,'Data Vlaue (Cr)'!$C:$FB,93)</f>
        <v>-15</v>
      </c>
      <c r="J121" s="92">
        <f>VLOOKUP($A121,'Data Vlaue (Cr)'!$C:$FB,94)</f>
        <v>-1.6799999999999999E-2</v>
      </c>
      <c r="K121" s="91">
        <f>VLOOKUP($A121,'Data Vlaue (Cr)'!$C:$FB,95)</f>
        <v>491</v>
      </c>
      <c r="L121" s="91">
        <f>VLOOKUP($A121,'Data Vlaue (Cr)'!$C:$FB,97)</f>
        <v>4</v>
      </c>
      <c r="M121" s="92">
        <f>VLOOKUP($A121,'Data Vlaue (Cr)'!$C:$FB,98)</f>
        <v>8.3000000000000001E-3</v>
      </c>
      <c r="N121" s="91">
        <f>VLOOKUP($A121,'Data Vlaue (Cr)'!$C:$FB,79)</f>
        <v>1500</v>
      </c>
      <c r="O121" s="92">
        <f>VLOOKUP($A121,'Data Vlaue (Cr)'!$C:$FB,82)</f>
        <v>-1.12E-2</v>
      </c>
    </row>
    <row r="122" spans="1:15" x14ac:dyDescent="0.25">
      <c r="A122" s="97" t="str">
        <f>'Data Vlaue (Cr)'!C117</f>
        <v>LICHSGFIN</v>
      </c>
      <c r="B122" s="142">
        <f>VLOOKUP(A122,'Data Vlaue (Cr)'!C117:CW330,99,0)</f>
        <v>2861</v>
      </c>
      <c r="C122" s="90">
        <f>VLOOKUP(A122,'Data Vlaue (Cr)'!C117:CY330,101,0)</f>
        <v>9</v>
      </c>
      <c r="D122" s="139">
        <f>VLOOKUP(A122,'Data Vlaue (Cr)'!C117:CZ330,102,0)</f>
        <v>3.2000000000000002E-3</v>
      </c>
      <c r="E122" s="91">
        <f>VLOOKUP($A122,'Data Vlaue (Cr)'!$C:$FB,75)</f>
        <v>1877</v>
      </c>
      <c r="F122" s="91">
        <f>VLOOKUP($A122,'Data Vlaue (Cr)'!$C:$FB,77)</f>
        <v>11</v>
      </c>
      <c r="G122" s="92">
        <f>VLOOKUP(A122,'Data Vlaue (Cr)'!C117:CB330,78,0)</f>
        <v>6.0000000000000001E-3</v>
      </c>
      <c r="H122" s="91">
        <f>VLOOKUP($A122,'Data Vlaue (Cr)'!$C:$FB,91)</f>
        <v>563</v>
      </c>
      <c r="I122" s="91">
        <f>VLOOKUP($A122,'Data Vlaue (Cr)'!$C:$FB,93)</f>
        <v>-4</v>
      </c>
      <c r="J122" s="92">
        <f>VLOOKUP($A122,'Data Vlaue (Cr)'!$C:$FB,94)</f>
        <v>-6.7999999999999996E-3</v>
      </c>
      <c r="K122" s="91">
        <f>VLOOKUP($A122,'Data Vlaue (Cr)'!$C:$FB,95)</f>
        <v>420</v>
      </c>
      <c r="L122" s="91">
        <f>VLOOKUP($A122,'Data Vlaue (Cr)'!$C:$FB,97)</f>
        <v>2</v>
      </c>
      <c r="M122" s="92">
        <f>VLOOKUP($A122,'Data Vlaue (Cr)'!$C:$FB,98)</f>
        <v>4.7999999999999996E-3</v>
      </c>
      <c r="N122" s="91">
        <f>VLOOKUP($A122,'Data Vlaue (Cr)'!$C:$FB,79)</f>
        <v>1721</v>
      </c>
      <c r="O122" s="92">
        <f>VLOOKUP($A122,'Data Vlaue (Cr)'!$C:$FB,82)</f>
        <v>1.9E-3</v>
      </c>
    </row>
    <row r="123" spans="1:15" x14ac:dyDescent="0.25">
      <c r="A123" s="97" t="str">
        <f>'Data Vlaue (Cr)'!C118</f>
        <v>LICI</v>
      </c>
      <c r="B123" s="142">
        <f>VLOOKUP(A123,'Data Vlaue (Cr)'!C118:CW331,99,0)</f>
        <v>2168</v>
      </c>
      <c r="C123" s="90">
        <f>VLOOKUP(A123,'Data Vlaue (Cr)'!C118:CY331,101,0)</f>
        <v>8</v>
      </c>
      <c r="D123" s="139">
        <f>VLOOKUP(A123,'Data Vlaue (Cr)'!C118:CZ331,102,0)</f>
        <v>3.8999999999999998E-3</v>
      </c>
      <c r="E123" s="91">
        <f>VLOOKUP($A123,'Data Vlaue (Cr)'!$C:$FB,75)</f>
        <v>979</v>
      </c>
      <c r="F123" s="91">
        <f>VLOOKUP($A123,'Data Vlaue (Cr)'!$C:$FB,77)</f>
        <v>1</v>
      </c>
      <c r="G123" s="92">
        <f>VLOOKUP(A123,'Data Vlaue (Cr)'!C118:CB331,78,0)</f>
        <v>6.9999999999999999E-4</v>
      </c>
      <c r="H123" s="91">
        <f>VLOOKUP($A123,'Data Vlaue (Cr)'!$C:$FB,91)</f>
        <v>806</v>
      </c>
      <c r="I123" s="91">
        <f>VLOOKUP($A123,'Data Vlaue (Cr)'!$C:$FB,93)</f>
        <v>21</v>
      </c>
      <c r="J123" s="92">
        <f>VLOOKUP($A123,'Data Vlaue (Cr)'!$C:$FB,94)</f>
        <v>2.6499999999999999E-2</v>
      </c>
      <c r="K123" s="91">
        <f>VLOOKUP($A123,'Data Vlaue (Cr)'!$C:$FB,95)</f>
        <v>384</v>
      </c>
      <c r="L123" s="91">
        <f>VLOOKUP($A123,'Data Vlaue (Cr)'!$C:$FB,97)</f>
        <v>-13</v>
      </c>
      <c r="M123" s="92">
        <f>VLOOKUP($A123,'Data Vlaue (Cr)'!$C:$FB,98)</f>
        <v>-3.3000000000000002E-2</v>
      </c>
      <c r="N123" s="91">
        <f>VLOOKUP($A123,'Data Vlaue (Cr)'!$C:$FB,79)</f>
        <v>834</v>
      </c>
      <c r="O123" s="92">
        <f>VLOOKUP($A123,'Data Vlaue (Cr)'!$C:$FB,82)</f>
        <v>-1.2999999999999999E-2</v>
      </c>
    </row>
    <row r="124" spans="1:15" x14ac:dyDescent="0.25">
      <c r="A124" s="97" t="str">
        <f>'Data Vlaue (Cr)'!C119</f>
        <v>LODHA</v>
      </c>
      <c r="B124" s="142">
        <f>VLOOKUP(A124,'Data Vlaue (Cr)'!C119:CW332,99,0)</f>
        <v>2260</v>
      </c>
      <c r="C124" s="90">
        <f>VLOOKUP(A124,'Data Vlaue (Cr)'!C119:CY332,101,0)</f>
        <v>139</v>
      </c>
      <c r="D124" s="139">
        <f>VLOOKUP(A124,'Data Vlaue (Cr)'!C119:CZ332,102,0)</f>
        <v>6.5500000000000003E-2</v>
      </c>
      <c r="E124" s="91">
        <f>VLOOKUP($A124,'Data Vlaue (Cr)'!$C:$FB,75)</f>
        <v>1403</v>
      </c>
      <c r="F124" s="91">
        <f>VLOOKUP($A124,'Data Vlaue (Cr)'!$C:$FB,77)</f>
        <v>30</v>
      </c>
      <c r="G124" s="92">
        <f>VLOOKUP(A124,'Data Vlaue (Cr)'!C119:CB332,78,0)</f>
        <v>2.2100000000000002E-2</v>
      </c>
      <c r="H124" s="91">
        <f>VLOOKUP($A124,'Data Vlaue (Cr)'!$C:$FB,91)</f>
        <v>611</v>
      </c>
      <c r="I124" s="91">
        <f>VLOOKUP($A124,'Data Vlaue (Cr)'!$C:$FB,93)</f>
        <v>91</v>
      </c>
      <c r="J124" s="92">
        <f>VLOOKUP($A124,'Data Vlaue (Cr)'!$C:$FB,94)</f>
        <v>0.17599999999999999</v>
      </c>
      <c r="K124" s="91">
        <f>VLOOKUP($A124,'Data Vlaue (Cr)'!$C:$FB,95)</f>
        <v>246</v>
      </c>
      <c r="L124" s="91">
        <f>VLOOKUP($A124,'Data Vlaue (Cr)'!$C:$FB,97)</f>
        <v>17</v>
      </c>
      <c r="M124" s="92">
        <f>VLOOKUP($A124,'Data Vlaue (Cr)'!$C:$FB,98)</f>
        <v>7.46E-2</v>
      </c>
      <c r="N124" s="91">
        <f>VLOOKUP($A124,'Data Vlaue (Cr)'!$C:$FB,79)</f>
        <v>1311</v>
      </c>
      <c r="O124" s="92">
        <f>VLOOKUP($A124,'Data Vlaue (Cr)'!$C:$FB,82)</f>
        <v>-8.9999999999999993E-3</v>
      </c>
    </row>
    <row r="125" spans="1:15" x14ac:dyDescent="0.25">
      <c r="A125" s="97" t="str">
        <f>'Data Vlaue (Cr)'!C120</f>
        <v>LT</v>
      </c>
      <c r="B125" s="142">
        <f>VLOOKUP(A125,'Data Vlaue (Cr)'!C120:CW333,99,0)</f>
        <v>9195</v>
      </c>
      <c r="C125" s="90">
        <f>VLOOKUP(A125,'Data Vlaue (Cr)'!C120:CY333,101,0)</f>
        <v>-87</v>
      </c>
      <c r="D125" s="139">
        <f>VLOOKUP(A125,'Data Vlaue (Cr)'!C120:CZ333,102,0)</f>
        <v>-9.4000000000000004E-3</v>
      </c>
      <c r="E125" s="91">
        <f>VLOOKUP($A125,'Data Vlaue (Cr)'!$C:$FB,75)</f>
        <v>5563</v>
      </c>
      <c r="F125" s="91">
        <f>VLOOKUP($A125,'Data Vlaue (Cr)'!$C:$FB,77)</f>
        <v>-14</v>
      </c>
      <c r="G125" s="92">
        <f>VLOOKUP(A125,'Data Vlaue (Cr)'!C120:CB333,78,0)</f>
        <v>-2.5000000000000001E-3</v>
      </c>
      <c r="H125" s="91">
        <f>VLOOKUP($A125,'Data Vlaue (Cr)'!$C:$FB,91)</f>
        <v>2314</v>
      </c>
      <c r="I125" s="91">
        <f>VLOOKUP($A125,'Data Vlaue (Cr)'!$C:$FB,93)</f>
        <v>-39</v>
      </c>
      <c r="J125" s="92">
        <f>VLOOKUP($A125,'Data Vlaue (Cr)'!$C:$FB,94)</f>
        <v>-1.6500000000000001E-2</v>
      </c>
      <c r="K125" s="91">
        <f>VLOOKUP($A125,'Data Vlaue (Cr)'!$C:$FB,95)</f>
        <v>1318</v>
      </c>
      <c r="L125" s="91">
        <f>VLOOKUP($A125,'Data Vlaue (Cr)'!$C:$FB,97)</f>
        <v>-35</v>
      </c>
      <c r="M125" s="92">
        <f>VLOOKUP($A125,'Data Vlaue (Cr)'!$C:$FB,98)</f>
        <v>-2.5600000000000001E-2</v>
      </c>
      <c r="N125" s="91">
        <f>VLOOKUP($A125,'Data Vlaue (Cr)'!$C:$FB,79)</f>
        <v>4770</v>
      </c>
      <c r="O125" s="92">
        <f>VLOOKUP($A125,'Data Vlaue (Cr)'!$C:$FB,82)</f>
        <v>-1.66E-2</v>
      </c>
    </row>
    <row r="126" spans="1:15" x14ac:dyDescent="0.25">
      <c r="A126" s="97" t="str">
        <f>'Data Vlaue (Cr)'!C121</f>
        <v>LTF</v>
      </c>
      <c r="B126" s="142">
        <f>VLOOKUP(A126,'Data Vlaue (Cr)'!C121:CW334,99,0)</f>
        <v>3095</v>
      </c>
      <c r="C126" s="90">
        <f>VLOOKUP(A126,'Data Vlaue (Cr)'!C121:CY334,101,0)</f>
        <v>56</v>
      </c>
      <c r="D126" s="139">
        <f>VLOOKUP(A126,'Data Vlaue (Cr)'!C121:CZ334,102,0)</f>
        <v>1.84E-2</v>
      </c>
      <c r="E126" s="91">
        <f>VLOOKUP($A126,'Data Vlaue (Cr)'!$C:$FB,75)</f>
        <v>1230</v>
      </c>
      <c r="F126" s="91">
        <f>VLOOKUP($A126,'Data Vlaue (Cr)'!$C:$FB,77)</f>
        <v>-7</v>
      </c>
      <c r="G126" s="92">
        <f>VLOOKUP(A126,'Data Vlaue (Cr)'!C121:CB334,78,0)</f>
        <v>-5.4999999999999997E-3</v>
      </c>
      <c r="H126" s="91">
        <f>VLOOKUP($A126,'Data Vlaue (Cr)'!$C:$FB,91)</f>
        <v>1135</v>
      </c>
      <c r="I126" s="91">
        <f>VLOOKUP($A126,'Data Vlaue (Cr)'!$C:$FB,93)</f>
        <v>37</v>
      </c>
      <c r="J126" s="92">
        <f>VLOOKUP($A126,'Data Vlaue (Cr)'!$C:$FB,94)</f>
        <v>3.3500000000000002E-2</v>
      </c>
      <c r="K126" s="91">
        <f>VLOOKUP($A126,'Data Vlaue (Cr)'!$C:$FB,95)</f>
        <v>729</v>
      </c>
      <c r="L126" s="91">
        <f>VLOOKUP($A126,'Data Vlaue (Cr)'!$C:$FB,97)</f>
        <v>26</v>
      </c>
      <c r="M126" s="92">
        <f>VLOOKUP($A126,'Data Vlaue (Cr)'!$C:$FB,98)</f>
        <v>3.6799999999999999E-2</v>
      </c>
      <c r="N126" s="91">
        <f>VLOOKUP($A126,'Data Vlaue (Cr)'!$C:$FB,79)</f>
        <v>1162</v>
      </c>
      <c r="O126" s="92">
        <f>VLOOKUP($A126,'Data Vlaue (Cr)'!$C:$FB,82)</f>
        <v>-1.29E-2</v>
      </c>
    </row>
    <row r="127" spans="1:15" x14ac:dyDescent="0.25">
      <c r="A127" s="97" t="str">
        <f>'Data Vlaue (Cr)'!C122</f>
        <v>LTIM</v>
      </c>
      <c r="B127" s="142">
        <f>VLOOKUP(A127,'Data Vlaue (Cr)'!C122:CW335,99,0)</f>
        <v>2483</v>
      </c>
      <c r="C127" s="90">
        <f>VLOOKUP(A127,'Data Vlaue (Cr)'!C122:CY335,101,0)</f>
        <v>66</v>
      </c>
      <c r="D127" s="139">
        <f>VLOOKUP(A127,'Data Vlaue (Cr)'!C122:CZ335,102,0)</f>
        <v>2.75E-2</v>
      </c>
      <c r="E127" s="91">
        <f>VLOOKUP($A127,'Data Vlaue (Cr)'!$C:$FB,75)</f>
        <v>1447</v>
      </c>
      <c r="F127" s="91">
        <f>VLOOKUP($A127,'Data Vlaue (Cr)'!$C:$FB,77)</f>
        <v>43</v>
      </c>
      <c r="G127" s="92">
        <f>VLOOKUP(A127,'Data Vlaue (Cr)'!C122:CB335,78,0)</f>
        <v>3.0800000000000001E-2</v>
      </c>
      <c r="H127" s="91">
        <f>VLOOKUP($A127,'Data Vlaue (Cr)'!$C:$FB,91)</f>
        <v>579</v>
      </c>
      <c r="I127" s="91">
        <f>VLOOKUP($A127,'Data Vlaue (Cr)'!$C:$FB,93)</f>
        <v>18</v>
      </c>
      <c r="J127" s="92">
        <f>VLOOKUP($A127,'Data Vlaue (Cr)'!$C:$FB,94)</f>
        <v>3.2199999999999999E-2</v>
      </c>
      <c r="K127" s="91">
        <f>VLOOKUP($A127,'Data Vlaue (Cr)'!$C:$FB,95)</f>
        <v>457</v>
      </c>
      <c r="L127" s="91">
        <f>VLOOKUP($A127,'Data Vlaue (Cr)'!$C:$FB,97)</f>
        <v>5</v>
      </c>
      <c r="M127" s="92">
        <f>VLOOKUP($A127,'Data Vlaue (Cr)'!$C:$FB,98)</f>
        <v>1.17E-2</v>
      </c>
      <c r="N127" s="91">
        <f>VLOOKUP($A127,'Data Vlaue (Cr)'!$C:$FB,79)</f>
        <v>1327</v>
      </c>
      <c r="O127" s="92">
        <f>VLOOKUP($A127,'Data Vlaue (Cr)'!$C:$FB,82)</f>
        <v>2.0500000000000001E-2</v>
      </c>
    </row>
    <row r="128" spans="1:15" x14ac:dyDescent="0.25">
      <c r="A128" s="97" t="str">
        <f>'Data Vlaue (Cr)'!C123</f>
        <v>LUPIN</v>
      </c>
      <c r="B128" s="142">
        <f>VLOOKUP(A128,'Data Vlaue (Cr)'!C123:CW336,99,0)</f>
        <v>2647</v>
      </c>
      <c r="C128" s="90">
        <f>VLOOKUP(A128,'Data Vlaue (Cr)'!C123:CY336,101,0)</f>
        <v>-21</v>
      </c>
      <c r="D128" s="139">
        <f>VLOOKUP(A128,'Data Vlaue (Cr)'!C123:CZ336,102,0)</f>
        <v>-7.7000000000000002E-3</v>
      </c>
      <c r="E128" s="91">
        <f>VLOOKUP($A128,'Data Vlaue (Cr)'!$C:$FB,75)</f>
        <v>1527</v>
      </c>
      <c r="F128" s="91">
        <f>VLOOKUP($A128,'Data Vlaue (Cr)'!$C:$FB,77)</f>
        <v>-38</v>
      </c>
      <c r="G128" s="92">
        <f>VLOOKUP(A128,'Data Vlaue (Cr)'!C123:CB336,78,0)</f>
        <v>-2.4199999999999999E-2</v>
      </c>
      <c r="H128" s="91">
        <f>VLOOKUP($A128,'Data Vlaue (Cr)'!$C:$FB,91)</f>
        <v>636</v>
      </c>
      <c r="I128" s="91">
        <f>VLOOKUP($A128,'Data Vlaue (Cr)'!$C:$FB,93)</f>
        <v>6</v>
      </c>
      <c r="J128" s="92">
        <f>VLOOKUP($A128,'Data Vlaue (Cr)'!$C:$FB,94)</f>
        <v>9.9000000000000008E-3</v>
      </c>
      <c r="K128" s="91">
        <f>VLOOKUP($A128,'Data Vlaue (Cr)'!$C:$FB,95)</f>
        <v>485</v>
      </c>
      <c r="L128" s="91">
        <f>VLOOKUP($A128,'Data Vlaue (Cr)'!$C:$FB,97)</f>
        <v>11</v>
      </c>
      <c r="M128" s="92">
        <f>VLOOKUP($A128,'Data Vlaue (Cr)'!$C:$FB,98)</f>
        <v>2.3300000000000001E-2</v>
      </c>
      <c r="N128" s="91">
        <f>VLOOKUP($A128,'Data Vlaue (Cr)'!$C:$FB,79)</f>
        <v>1460</v>
      </c>
      <c r="O128" s="92">
        <f>VLOOKUP($A128,'Data Vlaue (Cr)'!$C:$FB,82)</f>
        <v>-2.8899999999999999E-2</v>
      </c>
    </row>
    <row r="129" spans="1:15" x14ac:dyDescent="0.25">
      <c r="A129" s="97" t="str">
        <f>'Data Vlaue (Cr)'!C124</f>
        <v>M&amp;M</v>
      </c>
      <c r="B129" s="142">
        <f>VLOOKUP(A129,'Data Vlaue (Cr)'!C124:CW337,99,0)</f>
        <v>10390</v>
      </c>
      <c r="C129" s="90">
        <f>VLOOKUP(A129,'Data Vlaue (Cr)'!C124:CY337,101,0)</f>
        <v>-99</v>
      </c>
      <c r="D129" s="139">
        <f>VLOOKUP(A129,'Data Vlaue (Cr)'!C124:CZ337,102,0)</f>
        <v>-9.4000000000000004E-3</v>
      </c>
      <c r="E129" s="91">
        <f>VLOOKUP($A129,'Data Vlaue (Cr)'!$C:$FB,75)</f>
        <v>6676</v>
      </c>
      <c r="F129" s="91">
        <f>VLOOKUP($A129,'Data Vlaue (Cr)'!$C:$FB,77)</f>
        <v>-38</v>
      </c>
      <c r="G129" s="92">
        <f>VLOOKUP(A129,'Data Vlaue (Cr)'!C124:CB337,78,0)</f>
        <v>-5.7000000000000002E-3</v>
      </c>
      <c r="H129" s="91">
        <f>VLOOKUP($A129,'Data Vlaue (Cr)'!$C:$FB,91)</f>
        <v>2419</v>
      </c>
      <c r="I129" s="91">
        <f>VLOOKUP($A129,'Data Vlaue (Cr)'!$C:$FB,93)</f>
        <v>-18</v>
      </c>
      <c r="J129" s="92">
        <f>VLOOKUP($A129,'Data Vlaue (Cr)'!$C:$FB,94)</f>
        <v>-7.4999999999999997E-3</v>
      </c>
      <c r="K129" s="91">
        <f>VLOOKUP($A129,'Data Vlaue (Cr)'!$C:$FB,95)</f>
        <v>1294</v>
      </c>
      <c r="L129" s="91">
        <f>VLOOKUP($A129,'Data Vlaue (Cr)'!$C:$FB,97)</f>
        <v>-42</v>
      </c>
      <c r="M129" s="92">
        <f>VLOOKUP($A129,'Data Vlaue (Cr)'!$C:$FB,98)</f>
        <v>-3.15E-2</v>
      </c>
      <c r="N129" s="91">
        <f>VLOOKUP($A129,'Data Vlaue (Cr)'!$C:$FB,79)</f>
        <v>6009</v>
      </c>
      <c r="O129" s="92">
        <f>VLOOKUP($A129,'Data Vlaue (Cr)'!$C:$FB,82)</f>
        <v>-2.4299999999999999E-2</v>
      </c>
    </row>
    <row r="130" spans="1:15" x14ac:dyDescent="0.25">
      <c r="A130" s="97" t="str">
        <f>'Data Vlaue (Cr)'!C125</f>
        <v>MANAPPURAM</v>
      </c>
      <c r="B130" s="142">
        <f>VLOOKUP(A130,'Data Vlaue (Cr)'!C125:CW338,99,0)</f>
        <v>1977</v>
      </c>
      <c r="C130" s="90">
        <f>VLOOKUP(A130,'Data Vlaue (Cr)'!C125:CY338,101,0)</f>
        <v>-6</v>
      </c>
      <c r="D130" s="139">
        <f>VLOOKUP(A130,'Data Vlaue (Cr)'!C125:CZ338,102,0)</f>
        <v>-2.8999999999999998E-3</v>
      </c>
      <c r="E130" s="91">
        <f>VLOOKUP($A130,'Data Vlaue (Cr)'!$C:$FB,75)</f>
        <v>1133</v>
      </c>
      <c r="F130" s="91">
        <f>VLOOKUP($A130,'Data Vlaue (Cr)'!$C:$FB,77)</f>
        <v>-35</v>
      </c>
      <c r="G130" s="92">
        <f>VLOOKUP(A130,'Data Vlaue (Cr)'!C125:CB338,78,0)</f>
        <v>-3.0200000000000001E-2</v>
      </c>
      <c r="H130" s="91">
        <f>VLOOKUP($A130,'Data Vlaue (Cr)'!$C:$FB,91)</f>
        <v>508</v>
      </c>
      <c r="I130" s="91">
        <f>VLOOKUP($A130,'Data Vlaue (Cr)'!$C:$FB,93)</f>
        <v>23</v>
      </c>
      <c r="J130" s="92">
        <f>VLOOKUP($A130,'Data Vlaue (Cr)'!$C:$FB,94)</f>
        <v>4.6600000000000003E-2</v>
      </c>
      <c r="K130" s="91">
        <f>VLOOKUP($A130,'Data Vlaue (Cr)'!$C:$FB,95)</f>
        <v>336</v>
      </c>
      <c r="L130" s="91">
        <f>VLOOKUP($A130,'Data Vlaue (Cr)'!$C:$FB,97)</f>
        <v>7</v>
      </c>
      <c r="M130" s="92">
        <f>VLOOKUP($A130,'Data Vlaue (Cr)'!$C:$FB,98)</f>
        <v>2.1399999999999999E-2</v>
      </c>
      <c r="N130" s="91">
        <f>VLOOKUP($A130,'Data Vlaue (Cr)'!$C:$FB,79)</f>
        <v>1079</v>
      </c>
      <c r="O130" s="92">
        <f>VLOOKUP($A130,'Data Vlaue (Cr)'!$C:$FB,82)</f>
        <v>-4.1000000000000002E-2</v>
      </c>
    </row>
    <row r="131" spans="1:15" x14ac:dyDescent="0.25">
      <c r="A131" s="97" t="str">
        <f>'Data Vlaue (Cr)'!C126</f>
        <v>MANKIND</v>
      </c>
      <c r="B131" s="142">
        <f>VLOOKUP(A131,'Data Vlaue (Cr)'!C126:CW339,99,0)</f>
        <v>934</v>
      </c>
      <c r="C131" s="90">
        <f>VLOOKUP(A131,'Data Vlaue (Cr)'!C126:CY339,101,0)</f>
        <v>18</v>
      </c>
      <c r="D131" s="139">
        <f>VLOOKUP(A131,'Data Vlaue (Cr)'!C126:CZ339,102,0)</f>
        <v>1.9599999999999999E-2</v>
      </c>
      <c r="E131" s="91">
        <f>VLOOKUP($A131,'Data Vlaue (Cr)'!$C:$FB,75)</f>
        <v>564</v>
      </c>
      <c r="F131" s="91">
        <f>VLOOKUP($A131,'Data Vlaue (Cr)'!$C:$FB,77)</f>
        <v>7</v>
      </c>
      <c r="G131" s="92">
        <f>VLOOKUP(A131,'Data Vlaue (Cr)'!C126:CB339,78,0)</f>
        <v>1.3299999999999999E-2</v>
      </c>
      <c r="H131" s="91">
        <f>VLOOKUP($A131,'Data Vlaue (Cr)'!$C:$FB,91)</f>
        <v>250</v>
      </c>
      <c r="I131" s="91">
        <f>VLOOKUP($A131,'Data Vlaue (Cr)'!$C:$FB,93)</f>
        <v>8</v>
      </c>
      <c r="J131" s="92">
        <f>VLOOKUP($A131,'Data Vlaue (Cr)'!$C:$FB,94)</f>
        <v>3.4599999999999999E-2</v>
      </c>
      <c r="K131" s="91">
        <f>VLOOKUP($A131,'Data Vlaue (Cr)'!$C:$FB,95)</f>
        <v>120</v>
      </c>
      <c r="L131" s="91">
        <f>VLOOKUP($A131,'Data Vlaue (Cr)'!$C:$FB,97)</f>
        <v>2</v>
      </c>
      <c r="M131" s="92">
        <f>VLOOKUP($A131,'Data Vlaue (Cr)'!$C:$FB,98)</f>
        <v>1.8599999999999998E-2</v>
      </c>
      <c r="N131" s="91">
        <f>VLOOKUP($A131,'Data Vlaue (Cr)'!$C:$FB,79)</f>
        <v>519</v>
      </c>
      <c r="O131" s="92">
        <f>VLOOKUP($A131,'Data Vlaue (Cr)'!$C:$FB,82)</f>
        <v>4.1000000000000003E-3</v>
      </c>
    </row>
    <row r="132" spans="1:15" x14ac:dyDescent="0.25">
      <c r="A132" s="97" t="str">
        <f>'Data Vlaue (Cr)'!C127</f>
        <v>MARICO</v>
      </c>
      <c r="B132" s="142">
        <f>VLOOKUP(A132,'Data Vlaue (Cr)'!C127:CW340,99,0)</f>
        <v>3282</v>
      </c>
      <c r="C132" s="90">
        <f>VLOOKUP(A132,'Data Vlaue (Cr)'!C127:CY340,101,0)</f>
        <v>8</v>
      </c>
      <c r="D132" s="139">
        <f>VLOOKUP(A132,'Data Vlaue (Cr)'!C127:CZ340,102,0)</f>
        <v>2.5000000000000001E-3</v>
      </c>
      <c r="E132" s="91">
        <f>VLOOKUP($A132,'Data Vlaue (Cr)'!$C:$FB,75)</f>
        <v>2508</v>
      </c>
      <c r="F132" s="91">
        <f>VLOOKUP($A132,'Data Vlaue (Cr)'!$C:$FB,77)</f>
        <v>-9</v>
      </c>
      <c r="G132" s="92">
        <f>VLOOKUP(A132,'Data Vlaue (Cr)'!C127:CB340,78,0)</f>
        <v>-3.5000000000000001E-3</v>
      </c>
      <c r="H132" s="91">
        <f>VLOOKUP($A132,'Data Vlaue (Cr)'!$C:$FB,91)</f>
        <v>482</v>
      </c>
      <c r="I132" s="91">
        <f>VLOOKUP($A132,'Data Vlaue (Cr)'!$C:$FB,93)</f>
        <v>9</v>
      </c>
      <c r="J132" s="92">
        <f>VLOOKUP($A132,'Data Vlaue (Cr)'!$C:$FB,94)</f>
        <v>1.9099999999999999E-2</v>
      </c>
      <c r="K132" s="91">
        <f>VLOOKUP($A132,'Data Vlaue (Cr)'!$C:$FB,95)</f>
        <v>292</v>
      </c>
      <c r="L132" s="91">
        <f>VLOOKUP($A132,'Data Vlaue (Cr)'!$C:$FB,97)</f>
        <v>8</v>
      </c>
      <c r="M132" s="92">
        <f>VLOOKUP($A132,'Data Vlaue (Cr)'!$C:$FB,98)</f>
        <v>2.81E-2</v>
      </c>
      <c r="N132" s="91">
        <f>VLOOKUP($A132,'Data Vlaue (Cr)'!$C:$FB,79)</f>
        <v>2490</v>
      </c>
      <c r="O132" s="92">
        <f>VLOOKUP($A132,'Data Vlaue (Cr)'!$C:$FB,82)</f>
        <v>-3.8E-3</v>
      </c>
    </row>
    <row r="133" spans="1:15" x14ac:dyDescent="0.25">
      <c r="A133" s="97" t="str">
        <f>'Data Vlaue (Cr)'!C128</f>
        <v>MARUTI</v>
      </c>
      <c r="B133" s="142">
        <f>VLOOKUP(A133,'Data Vlaue (Cr)'!C128:CW341,99,0)</f>
        <v>9849</v>
      </c>
      <c r="C133" s="90">
        <f>VLOOKUP(A133,'Data Vlaue (Cr)'!C128:CY341,101,0)</f>
        <v>29</v>
      </c>
      <c r="D133" s="139">
        <f>VLOOKUP(A133,'Data Vlaue (Cr)'!C128:CZ341,102,0)</f>
        <v>2.8999999999999998E-3</v>
      </c>
      <c r="E133" s="91">
        <f>VLOOKUP($A133,'Data Vlaue (Cr)'!$C:$FB,75)</f>
        <v>4684</v>
      </c>
      <c r="F133" s="91">
        <f>VLOOKUP($A133,'Data Vlaue (Cr)'!$C:$FB,77)</f>
        <v>-11</v>
      </c>
      <c r="G133" s="92">
        <f>VLOOKUP(A133,'Data Vlaue (Cr)'!C128:CB341,78,0)</f>
        <v>-2.3E-3</v>
      </c>
      <c r="H133" s="91">
        <f>VLOOKUP($A133,'Data Vlaue (Cr)'!$C:$FB,91)</f>
        <v>2649</v>
      </c>
      <c r="I133" s="91">
        <f>VLOOKUP($A133,'Data Vlaue (Cr)'!$C:$FB,93)</f>
        <v>58</v>
      </c>
      <c r="J133" s="92">
        <f>VLOOKUP($A133,'Data Vlaue (Cr)'!$C:$FB,94)</f>
        <v>2.2200000000000001E-2</v>
      </c>
      <c r="K133" s="91">
        <f>VLOOKUP($A133,'Data Vlaue (Cr)'!$C:$FB,95)</f>
        <v>2517</v>
      </c>
      <c r="L133" s="91">
        <f>VLOOKUP($A133,'Data Vlaue (Cr)'!$C:$FB,97)</f>
        <v>-18</v>
      </c>
      <c r="M133" s="92">
        <f>VLOOKUP($A133,'Data Vlaue (Cr)'!$C:$FB,98)</f>
        <v>-7.1999999999999998E-3</v>
      </c>
      <c r="N133" s="91">
        <f>VLOOKUP($A133,'Data Vlaue (Cr)'!$C:$FB,79)</f>
        <v>4289</v>
      </c>
      <c r="O133" s="92">
        <f>VLOOKUP($A133,'Data Vlaue (Cr)'!$C:$FB,82)</f>
        <v>-1.5800000000000002E-2</v>
      </c>
    </row>
    <row r="134" spans="1:15" x14ac:dyDescent="0.25">
      <c r="A134" s="97" t="str">
        <f>'Data Vlaue (Cr)'!C129</f>
        <v>MAXHEALTH</v>
      </c>
      <c r="B134" s="142">
        <f>VLOOKUP(A134,'Data Vlaue (Cr)'!C129:CW342,99,0)</f>
        <v>3192</v>
      </c>
      <c r="C134" s="90">
        <f>VLOOKUP(A134,'Data Vlaue (Cr)'!C129:CY342,101,0)</f>
        <v>380</v>
      </c>
      <c r="D134" s="139">
        <f>VLOOKUP(A134,'Data Vlaue (Cr)'!C129:CZ342,102,0)</f>
        <v>0.1353</v>
      </c>
      <c r="E134" s="91">
        <f>VLOOKUP($A134,'Data Vlaue (Cr)'!$C:$FB,75)</f>
        <v>2039</v>
      </c>
      <c r="F134" s="91">
        <f>VLOOKUP($A134,'Data Vlaue (Cr)'!$C:$FB,77)</f>
        <v>93</v>
      </c>
      <c r="G134" s="92">
        <f>VLOOKUP(A134,'Data Vlaue (Cr)'!C129:CB342,78,0)</f>
        <v>4.7699999999999999E-2</v>
      </c>
      <c r="H134" s="91">
        <f>VLOOKUP($A134,'Data Vlaue (Cr)'!$C:$FB,91)</f>
        <v>755</v>
      </c>
      <c r="I134" s="91">
        <f>VLOOKUP($A134,'Data Vlaue (Cr)'!$C:$FB,93)</f>
        <v>182</v>
      </c>
      <c r="J134" s="92">
        <f>VLOOKUP($A134,'Data Vlaue (Cr)'!$C:$FB,94)</f>
        <v>0.3165</v>
      </c>
      <c r="K134" s="91">
        <f>VLOOKUP($A134,'Data Vlaue (Cr)'!$C:$FB,95)</f>
        <v>398</v>
      </c>
      <c r="L134" s="91">
        <f>VLOOKUP($A134,'Data Vlaue (Cr)'!$C:$FB,97)</f>
        <v>106</v>
      </c>
      <c r="M134" s="92">
        <f>VLOOKUP($A134,'Data Vlaue (Cr)'!$C:$FB,98)</f>
        <v>0.3639</v>
      </c>
      <c r="N134" s="91">
        <f>VLOOKUP($A134,'Data Vlaue (Cr)'!$C:$FB,79)</f>
        <v>1925</v>
      </c>
      <c r="O134" s="92">
        <f>VLOOKUP($A134,'Data Vlaue (Cr)'!$C:$FB,82)</f>
        <v>3.78E-2</v>
      </c>
    </row>
    <row r="135" spans="1:15" x14ac:dyDescent="0.25">
      <c r="A135" s="97" t="str">
        <f>'Data Vlaue (Cr)'!C130</f>
        <v>MAZDOCK</v>
      </c>
      <c r="B135" s="142">
        <f>VLOOKUP(A135,'Data Vlaue (Cr)'!C130:CW343,99,0)</f>
        <v>2500</v>
      </c>
      <c r="C135" s="90">
        <f>VLOOKUP(A135,'Data Vlaue (Cr)'!C130:CY343,101,0)</f>
        <v>19</v>
      </c>
      <c r="D135" s="139">
        <f>VLOOKUP(A135,'Data Vlaue (Cr)'!C130:CZ343,102,0)</f>
        <v>7.4999999999999997E-3</v>
      </c>
      <c r="E135" s="91">
        <f>VLOOKUP($A135,'Data Vlaue (Cr)'!$C:$FB,75)</f>
        <v>1083</v>
      </c>
      <c r="F135" s="91">
        <f>VLOOKUP($A135,'Data Vlaue (Cr)'!$C:$FB,77)</f>
        <v>-9</v>
      </c>
      <c r="G135" s="92">
        <f>VLOOKUP(A135,'Data Vlaue (Cr)'!C130:CB343,78,0)</f>
        <v>-8.0000000000000002E-3</v>
      </c>
      <c r="H135" s="91">
        <f>VLOOKUP($A135,'Data Vlaue (Cr)'!$C:$FB,91)</f>
        <v>994</v>
      </c>
      <c r="I135" s="91">
        <f>VLOOKUP($A135,'Data Vlaue (Cr)'!$C:$FB,93)</f>
        <v>33</v>
      </c>
      <c r="J135" s="92">
        <f>VLOOKUP($A135,'Data Vlaue (Cr)'!$C:$FB,94)</f>
        <v>3.4000000000000002E-2</v>
      </c>
      <c r="K135" s="91">
        <f>VLOOKUP($A135,'Data Vlaue (Cr)'!$C:$FB,95)</f>
        <v>423</v>
      </c>
      <c r="L135" s="91">
        <f>VLOOKUP($A135,'Data Vlaue (Cr)'!$C:$FB,97)</f>
        <v>-5</v>
      </c>
      <c r="M135" s="92">
        <f>VLOOKUP($A135,'Data Vlaue (Cr)'!$C:$FB,98)</f>
        <v>-1.26E-2</v>
      </c>
      <c r="N135" s="91">
        <f>VLOOKUP($A135,'Data Vlaue (Cr)'!$C:$FB,79)</f>
        <v>965</v>
      </c>
      <c r="O135" s="92">
        <f>VLOOKUP($A135,'Data Vlaue (Cr)'!$C:$FB,82)</f>
        <v>-1.5599999999999999E-2</v>
      </c>
    </row>
    <row r="136" spans="1:15" x14ac:dyDescent="0.25">
      <c r="A136" s="97" t="str">
        <f>'Data Vlaue (Cr)'!C131</f>
        <v>MCX</v>
      </c>
      <c r="B136" s="142">
        <f>VLOOKUP(A136,'Data Vlaue (Cr)'!C131:CW344,99,0)</f>
        <v>8079</v>
      </c>
      <c r="C136" s="90">
        <f>VLOOKUP(A136,'Data Vlaue (Cr)'!C131:CY344,101,0)</f>
        <v>357</v>
      </c>
      <c r="D136" s="139">
        <f>VLOOKUP(A136,'Data Vlaue (Cr)'!C131:CZ344,102,0)</f>
        <v>4.6199999999999998E-2</v>
      </c>
      <c r="E136" s="91">
        <f>VLOOKUP($A136,'Data Vlaue (Cr)'!$C:$FB,75)</f>
        <v>2908</v>
      </c>
      <c r="F136" s="91">
        <f>VLOOKUP($A136,'Data Vlaue (Cr)'!$C:$FB,77)</f>
        <v>125</v>
      </c>
      <c r="G136" s="92">
        <f>VLOOKUP(A136,'Data Vlaue (Cr)'!C131:CB344,78,0)</f>
        <v>4.4900000000000002E-2</v>
      </c>
      <c r="H136" s="91">
        <f>VLOOKUP($A136,'Data Vlaue (Cr)'!$C:$FB,91)</f>
        <v>3163</v>
      </c>
      <c r="I136" s="91">
        <f>VLOOKUP($A136,'Data Vlaue (Cr)'!$C:$FB,93)</f>
        <v>201</v>
      </c>
      <c r="J136" s="92">
        <f>VLOOKUP($A136,'Data Vlaue (Cr)'!$C:$FB,94)</f>
        <v>6.7799999999999999E-2</v>
      </c>
      <c r="K136" s="91">
        <f>VLOOKUP($A136,'Data Vlaue (Cr)'!$C:$FB,95)</f>
        <v>2009</v>
      </c>
      <c r="L136" s="91">
        <f>VLOOKUP($A136,'Data Vlaue (Cr)'!$C:$FB,97)</f>
        <v>31</v>
      </c>
      <c r="M136" s="92">
        <f>VLOOKUP($A136,'Data Vlaue (Cr)'!$C:$FB,98)</f>
        <v>1.5800000000000002E-2</v>
      </c>
      <c r="N136" s="91">
        <f>VLOOKUP($A136,'Data Vlaue (Cr)'!$C:$FB,79)</f>
        <v>2586</v>
      </c>
      <c r="O136" s="92">
        <f>VLOOKUP($A136,'Data Vlaue (Cr)'!$C:$FB,82)</f>
        <v>3.5900000000000001E-2</v>
      </c>
    </row>
    <row r="137" spans="1:15" x14ac:dyDescent="0.25">
      <c r="A137" s="97" t="str">
        <f>'Data Vlaue (Cr)'!C132</f>
        <v>MFSL</v>
      </c>
      <c r="B137" s="142">
        <f>VLOOKUP(A137,'Data Vlaue (Cr)'!C132:CW345,99,0)</f>
        <v>1803</v>
      </c>
      <c r="C137" s="90">
        <f>VLOOKUP(A137,'Data Vlaue (Cr)'!C132:CY345,101,0)</f>
        <v>10</v>
      </c>
      <c r="D137" s="139">
        <f>VLOOKUP(A137,'Data Vlaue (Cr)'!C132:CZ345,102,0)</f>
        <v>5.4999999999999997E-3</v>
      </c>
      <c r="E137" s="91">
        <f>VLOOKUP($A137,'Data Vlaue (Cr)'!$C:$FB,75)</f>
        <v>1326</v>
      </c>
      <c r="F137" s="91">
        <f>VLOOKUP($A137,'Data Vlaue (Cr)'!$C:$FB,77)</f>
        <v>14</v>
      </c>
      <c r="G137" s="92">
        <f>VLOOKUP(A137,'Data Vlaue (Cr)'!C132:CB345,78,0)</f>
        <v>1.0699999999999999E-2</v>
      </c>
      <c r="H137" s="91">
        <f>VLOOKUP($A137,'Data Vlaue (Cr)'!$C:$FB,91)</f>
        <v>311</v>
      </c>
      <c r="I137" s="91">
        <f>VLOOKUP($A137,'Data Vlaue (Cr)'!$C:$FB,93)</f>
        <v>0</v>
      </c>
      <c r="J137" s="92">
        <f>VLOOKUP($A137,'Data Vlaue (Cr)'!$C:$FB,94)</f>
        <v>1.5E-3</v>
      </c>
      <c r="K137" s="91">
        <f>VLOOKUP($A137,'Data Vlaue (Cr)'!$C:$FB,95)</f>
        <v>166</v>
      </c>
      <c r="L137" s="91">
        <f>VLOOKUP($A137,'Data Vlaue (Cr)'!$C:$FB,97)</f>
        <v>-5</v>
      </c>
      <c r="M137" s="92">
        <f>VLOOKUP($A137,'Data Vlaue (Cr)'!$C:$FB,98)</f>
        <v>-2.7E-2</v>
      </c>
      <c r="N137" s="91">
        <f>VLOOKUP($A137,'Data Vlaue (Cr)'!$C:$FB,79)</f>
        <v>1302</v>
      </c>
      <c r="O137" s="92">
        <f>VLOOKUP($A137,'Data Vlaue (Cr)'!$C:$FB,82)</f>
        <v>5.3E-3</v>
      </c>
    </row>
    <row r="138" spans="1:15" x14ac:dyDescent="0.25">
      <c r="A138" s="97" t="str">
        <f>'Data Vlaue (Cr)'!C133</f>
        <v>MIDCPNIFTY</v>
      </c>
      <c r="B138" s="142">
        <f>VLOOKUP(A138,'Data Vlaue (Cr)'!C133:CW346,99,0)</f>
        <v>30701</v>
      </c>
      <c r="C138" s="90">
        <f>VLOOKUP(A138,'Data Vlaue (Cr)'!C133:CY346,101,0)</f>
        <v>1365</v>
      </c>
      <c r="D138" s="139">
        <f>VLOOKUP(A138,'Data Vlaue (Cr)'!C133:CZ346,102,0)</f>
        <v>4.65E-2</v>
      </c>
      <c r="E138" s="91">
        <f>VLOOKUP($A138,'Data Vlaue (Cr)'!$C:$FB,75)</f>
        <v>3485</v>
      </c>
      <c r="F138" s="91">
        <f>VLOOKUP($A138,'Data Vlaue (Cr)'!$C:$FB,77)</f>
        <v>4</v>
      </c>
      <c r="G138" s="92">
        <f>VLOOKUP(A138,'Data Vlaue (Cr)'!C133:CB346,78,0)</f>
        <v>1E-3</v>
      </c>
      <c r="H138" s="91">
        <f>VLOOKUP($A138,'Data Vlaue (Cr)'!$C:$FB,91)</f>
        <v>14629</v>
      </c>
      <c r="I138" s="91">
        <f>VLOOKUP($A138,'Data Vlaue (Cr)'!$C:$FB,93)</f>
        <v>1116</v>
      </c>
      <c r="J138" s="92">
        <f>VLOOKUP($A138,'Data Vlaue (Cr)'!$C:$FB,94)</f>
        <v>8.2600000000000007E-2</v>
      </c>
      <c r="K138" s="91">
        <f>VLOOKUP($A138,'Data Vlaue (Cr)'!$C:$FB,95)</f>
        <v>12586</v>
      </c>
      <c r="L138" s="91">
        <f>VLOOKUP($A138,'Data Vlaue (Cr)'!$C:$FB,97)</f>
        <v>246</v>
      </c>
      <c r="M138" s="92">
        <f>VLOOKUP($A138,'Data Vlaue (Cr)'!$C:$FB,98)</f>
        <v>1.9900000000000001E-2</v>
      </c>
      <c r="N138" s="91">
        <f>VLOOKUP($A138,'Data Vlaue (Cr)'!$C:$FB,79)</f>
        <v>3298</v>
      </c>
      <c r="O138" s="92">
        <f>VLOOKUP($A138,'Data Vlaue (Cr)'!$C:$FB,82)</f>
        <v>-3.8999999999999998E-3</v>
      </c>
    </row>
    <row r="139" spans="1:15" x14ac:dyDescent="0.25">
      <c r="A139" s="97" t="str">
        <f>'Data Vlaue (Cr)'!C134</f>
        <v>MOTHERSON</v>
      </c>
      <c r="B139" s="142">
        <f>VLOOKUP(A139,'Data Vlaue (Cr)'!C134:CW347,99,0)</f>
        <v>3582</v>
      </c>
      <c r="C139" s="90">
        <f>VLOOKUP(A139,'Data Vlaue (Cr)'!C134:CY347,101,0)</f>
        <v>16</v>
      </c>
      <c r="D139" s="139">
        <f>VLOOKUP(A139,'Data Vlaue (Cr)'!C134:CZ347,102,0)</f>
        <v>4.4999999999999997E-3</v>
      </c>
      <c r="E139" s="91">
        <f>VLOOKUP($A139,'Data Vlaue (Cr)'!$C:$FB,75)</f>
        <v>2277</v>
      </c>
      <c r="F139" s="91">
        <f>VLOOKUP($A139,'Data Vlaue (Cr)'!$C:$FB,77)</f>
        <v>17</v>
      </c>
      <c r="G139" s="92">
        <f>VLOOKUP(A139,'Data Vlaue (Cr)'!C134:CB347,78,0)</f>
        <v>7.4000000000000003E-3</v>
      </c>
      <c r="H139" s="91">
        <f>VLOOKUP($A139,'Data Vlaue (Cr)'!$C:$FB,91)</f>
        <v>731</v>
      </c>
      <c r="I139" s="91">
        <f>VLOOKUP($A139,'Data Vlaue (Cr)'!$C:$FB,93)</f>
        <v>7</v>
      </c>
      <c r="J139" s="92">
        <f>VLOOKUP($A139,'Data Vlaue (Cr)'!$C:$FB,94)</f>
        <v>8.9999999999999993E-3</v>
      </c>
      <c r="K139" s="91">
        <f>VLOOKUP($A139,'Data Vlaue (Cr)'!$C:$FB,95)</f>
        <v>574</v>
      </c>
      <c r="L139" s="91">
        <f>VLOOKUP($A139,'Data Vlaue (Cr)'!$C:$FB,97)</f>
        <v>-7</v>
      </c>
      <c r="M139" s="92">
        <f>VLOOKUP($A139,'Data Vlaue (Cr)'!$C:$FB,98)</f>
        <v>-1.2500000000000001E-2</v>
      </c>
      <c r="N139" s="91">
        <f>VLOOKUP($A139,'Data Vlaue (Cr)'!$C:$FB,79)</f>
        <v>2188</v>
      </c>
      <c r="O139" s="92">
        <f>VLOOKUP($A139,'Data Vlaue (Cr)'!$C:$FB,82)</f>
        <v>2.3E-3</v>
      </c>
    </row>
    <row r="140" spans="1:15" x14ac:dyDescent="0.25">
      <c r="A140" s="97" t="str">
        <f>'Data Vlaue (Cr)'!C135</f>
        <v>MPHASIS</v>
      </c>
      <c r="B140" s="142">
        <f>VLOOKUP(A140,'Data Vlaue (Cr)'!C135:CW348,99,0)</f>
        <v>2531</v>
      </c>
      <c r="C140" s="90">
        <f>VLOOKUP(A140,'Data Vlaue (Cr)'!C135:CY348,101,0)</f>
        <v>27</v>
      </c>
      <c r="D140" s="139">
        <f>VLOOKUP(A140,'Data Vlaue (Cr)'!C135:CZ348,102,0)</f>
        <v>1.0699999999999999E-2</v>
      </c>
      <c r="E140" s="91">
        <f>VLOOKUP($A140,'Data Vlaue (Cr)'!$C:$FB,75)</f>
        <v>1839</v>
      </c>
      <c r="F140" s="91">
        <f>VLOOKUP($A140,'Data Vlaue (Cr)'!$C:$FB,77)</f>
        <v>11</v>
      </c>
      <c r="G140" s="92">
        <f>VLOOKUP(A140,'Data Vlaue (Cr)'!C135:CB348,78,0)</f>
        <v>6.0000000000000001E-3</v>
      </c>
      <c r="H140" s="91">
        <f>VLOOKUP($A140,'Data Vlaue (Cr)'!$C:$FB,91)</f>
        <v>392</v>
      </c>
      <c r="I140" s="91">
        <f>VLOOKUP($A140,'Data Vlaue (Cr)'!$C:$FB,93)</f>
        <v>9</v>
      </c>
      <c r="J140" s="92">
        <f>VLOOKUP($A140,'Data Vlaue (Cr)'!$C:$FB,94)</f>
        <v>2.24E-2</v>
      </c>
      <c r="K140" s="91">
        <f>VLOOKUP($A140,'Data Vlaue (Cr)'!$C:$FB,95)</f>
        <v>301</v>
      </c>
      <c r="L140" s="91">
        <f>VLOOKUP($A140,'Data Vlaue (Cr)'!$C:$FB,97)</f>
        <v>7</v>
      </c>
      <c r="M140" s="92">
        <f>VLOOKUP($A140,'Data Vlaue (Cr)'!$C:$FB,98)</f>
        <v>2.4500000000000001E-2</v>
      </c>
      <c r="N140" s="91">
        <f>VLOOKUP($A140,'Data Vlaue (Cr)'!$C:$FB,79)</f>
        <v>1798</v>
      </c>
      <c r="O140" s="92">
        <f>VLOOKUP($A140,'Data Vlaue (Cr)'!$C:$FB,82)</f>
        <v>-6.9999999999999999E-4</v>
      </c>
    </row>
    <row r="141" spans="1:15" x14ac:dyDescent="0.25">
      <c r="A141" s="97" t="str">
        <f>'Data Vlaue (Cr)'!C136</f>
        <v>MUTHOOTFIN</v>
      </c>
      <c r="B141" s="142">
        <f>VLOOKUP(A141,'Data Vlaue (Cr)'!C136:CW349,99,0)</f>
        <v>3183</v>
      </c>
      <c r="C141" s="90">
        <f>VLOOKUP(A141,'Data Vlaue (Cr)'!C136:CY349,101,0)</f>
        <v>125</v>
      </c>
      <c r="D141" s="139">
        <f>VLOOKUP(A141,'Data Vlaue (Cr)'!C136:CZ349,102,0)</f>
        <v>4.0800000000000003E-2</v>
      </c>
      <c r="E141" s="91">
        <f>VLOOKUP($A141,'Data Vlaue (Cr)'!$C:$FB,75)</f>
        <v>1192</v>
      </c>
      <c r="F141" s="91">
        <f>VLOOKUP($A141,'Data Vlaue (Cr)'!$C:$FB,77)</f>
        <v>91</v>
      </c>
      <c r="G141" s="92">
        <f>VLOOKUP(A141,'Data Vlaue (Cr)'!C136:CB349,78,0)</f>
        <v>8.2900000000000001E-2</v>
      </c>
      <c r="H141" s="91">
        <f>VLOOKUP($A141,'Data Vlaue (Cr)'!$C:$FB,91)</f>
        <v>1309</v>
      </c>
      <c r="I141" s="91">
        <f>VLOOKUP($A141,'Data Vlaue (Cr)'!$C:$FB,93)</f>
        <v>45</v>
      </c>
      <c r="J141" s="92">
        <f>VLOOKUP($A141,'Data Vlaue (Cr)'!$C:$FB,94)</f>
        <v>3.5400000000000001E-2</v>
      </c>
      <c r="K141" s="91">
        <f>VLOOKUP($A141,'Data Vlaue (Cr)'!$C:$FB,95)</f>
        <v>682</v>
      </c>
      <c r="L141" s="91">
        <f>VLOOKUP($A141,'Data Vlaue (Cr)'!$C:$FB,97)</f>
        <v>-11</v>
      </c>
      <c r="M141" s="92">
        <f>VLOOKUP($A141,'Data Vlaue (Cr)'!$C:$FB,98)</f>
        <v>-1.6299999999999999E-2</v>
      </c>
      <c r="N141" s="91">
        <f>VLOOKUP($A141,'Data Vlaue (Cr)'!$C:$FB,79)</f>
        <v>1052</v>
      </c>
      <c r="O141" s="92">
        <f>VLOOKUP($A141,'Data Vlaue (Cr)'!$C:$FB,82)</f>
        <v>4.6399999999999997E-2</v>
      </c>
    </row>
    <row r="142" spans="1:15" x14ac:dyDescent="0.25">
      <c r="A142" s="97" t="str">
        <f>'Data Vlaue (Cr)'!C137</f>
        <v>NATIONALUM</v>
      </c>
      <c r="B142" s="142">
        <f>VLOOKUP(A142,'Data Vlaue (Cr)'!C137:CW350,99,0)</f>
        <v>3386</v>
      </c>
      <c r="C142" s="90">
        <f>VLOOKUP(A142,'Data Vlaue (Cr)'!C137:CY350,101,0)</f>
        <v>41</v>
      </c>
      <c r="D142" s="139">
        <f>VLOOKUP(A142,'Data Vlaue (Cr)'!C137:CZ350,102,0)</f>
        <v>1.24E-2</v>
      </c>
      <c r="E142" s="91">
        <f>VLOOKUP($A142,'Data Vlaue (Cr)'!$C:$FB,75)</f>
        <v>1665</v>
      </c>
      <c r="F142" s="91">
        <f>VLOOKUP($A142,'Data Vlaue (Cr)'!$C:$FB,77)</f>
        <v>-49</v>
      </c>
      <c r="G142" s="92">
        <f>VLOOKUP(A142,'Data Vlaue (Cr)'!C137:CB350,78,0)</f>
        <v>-2.87E-2</v>
      </c>
      <c r="H142" s="91">
        <f>VLOOKUP($A142,'Data Vlaue (Cr)'!$C:$FB,91)</f>
        <v>931</v>
      </c>
      <c r="I142" s="91">
        <f>VLOOKUP($A142,'Data Vlaue (Cr)'!$C:$FB,93)</f>
        <v>61</v>
      </c>
      <c r="J142" s="92">
        <f>VLOOKUP($A142,'Data Vlaue (Cr)'!$C:$FB,94)</f>
        <v>6.9599999999999995E-2</v>
      </c>
      <c r="K142" s="91">
        <f>VLOOKUP($A142,'Data Vlaue (Cr)'!$C:$FB,95)</f>
        <v>790</v>
      </c>
      <c r="L142" s="91">
        <f>VLOOKUP($A142,'Data Vlaue (Cr)'!$C:$FB,97)</f>
        <v>30</v>
      </c>
      <c r="M142" s="92">
        <f>VLOOKUP($A142,'Data Vlaue (Cr)'!$C:$FB,98)</f>
        <v>3.9300000000000002E-2</v>
      </c>
      <c r="N142" s="91">
        <f>VLOOKUP($A142,'Data Vlaue (Cr)'!$C:$FB,79)</f>
        <v>1497</v>
      </c>
      <c r="O142" s="92">
        <f>VLOOKUP($A142,'Data Vlaue (Cr)'!$C:$FB,82)</f>
        <v>-3.7999999999999999E-2</v>
      </c>
    </row>
    <row r="143" spans="1:15" x14ac:dyDescent="0.25">
      <c r="A143" s="97" t="str">
        <f>'Data Vlaue (Cr)'!C138</f>
        <v>NAUKRI</v>
      </c>
      <c r="B143" s="142">
        <f>VLOOKUP(A143,'Data Vlaue (Cr)'!C138:CW351,99,0)</f>
        <v>1827</v>
      </c>
      <c r="C143" s="90">
        <f>VLOOKUP(A143,'Data Vlaue (Cr)'!C138:CY351,101,0)</f>
        <v>24</v>
      </c>
      <c r="D143" s="139">
        <f>VLOOKUP(A143,'Data Vlaue (Cr)'!C138:CZ351,102,0)</f>
        <v>1.2999999999999999E-2</v>
      </c>
      <c r="E143" s="91">
        <f>VLOOKUP($A143,'Data Vlaue (Cr)'!$C:$FB,75)</f>
        <v>1142</v>
      </c>
      <c r="F143" s="91">
        <f>VLOOKUP($A143,'Data Vlaue (Cr)'!$C:$FB,77)</f>
        <v>15</v>
      </c>
      <c r="G143" s="92">
        <f>VLOOKUP(A143,'Data Vlaue (Cr)'!C138:CB351,78,0)</f>
        <v>1.29E-2</v>
      </c>
      <c r="H143" s="91">
        <f>VLOOKUP($A143,'Data Vlaue (Cr)'!$C:$FB,91)</f>
        <v>373</v>
      </c>
      <c r="I143" s="91">
        <f>VLOOKUP($A143,'Data Vlaue (Cr)'!$C:$FB,93)</f>
        <v>8</v>
      </c>
      <c r="J143" s="92">
        <f>VLOOKUP($A143,'Data Vlaue (Cr)'!$C:$FB,94)</f>
        <v>2.2100000000000002E-2</v>
      </c>
      <c r="K143" s="91">
        <f>VLOOKUP($A143,'Data Vlaue (Cr)'!$C:$FB,95)</f>
        <v>312</v>
      </c>
      <c r="L143" s="91">
        <f>VLOOKUP($A143,'Data Vlaue (Cr)'!$C:$FB,97)</f>
        <v>1</v>
      </c>
      <c r="M143" s="92">
        <f>VLOOKUP($A143,'Data Vlaue (Cr)'!$C:$FB,98)</f>
        <v>3.0999999999999999E-3</v>
      </c>
      <c r="N143" s="91">
        <f>VLOOKUP($A143,'Data Vlaue (Cr)'!$C:$FB,79)</f>
        <v>1060</v>
      </c>
      <c r="O143" s="92">
        <f>VLOOKUP($A143,'Data Vlaue (Cr)'!$C:$FB,82)</f>
        <v>5.9999999999999995E-4</v>
      </c>
    </row>
    <row r="144" spans="1:15" x14ac:dyDescent="0.25">
      <c r="A144" s="97" t="str">
        <f>'Data Vlaue (Cr)'!C139</f>
        <v>NBCC</v>
      </c>
      <c r="B144" s="142">
        <f>VLOOKUP(A144,'Data Vlaue (Cr)'!C139:CW352,99,0)</f>
        <v>1855</v>
      </c>
      <c r="C144" s="90">
        <f>VLOOKUP(A144,'Data Vlaue (Cr)'!C139:CY352,101,0)</f>
        <v>142</v>
      </c>
      <c r="D144" s="139">
        <f>VLOOKUP(A144,'Data Vlaue (Cr)'!C139:CZ352,102,0)</f>
        <v>8.3099999999999993E-2</v>
      </c>
      <c r="E144" s="91">
        <f>VLOOKUP($A144,'Data Vlaue (Cr)'!$C:$FB,75)</f>
        <v>966</v>
      </c>
      <c r="F144" s="91">
        <f>VLOOKUP($A144,'Data Vlaue (Cr)'!$C:$FB,77)</f>
        <v>22</v>
      </c>
      <c r="G144" s="92">
        <f>VLOOKUP(A144,'Data Vlaue (Cr)'!C139:CB352,78,0)</f>
        <v>2.3699999999999999E-2</v>
      </c>
      <c r="H144" s="91">
        <f>VLOOKUP($A144,'Data Vlaue (Cr)'!$C:$FB,91)</f>
        <v>634</v>
      </c>
      <c r="I144" s="91">
        <f>VLOOKUP($A144,'Data Vlaue (Cr)'!$C:$FB,93)</f>
        <v>109</v>
      </c>
      <c r="J144" s="92">
        <f>VLOOKUP($A144,'Data Vlaue (Cr)'!$C:$FB,94)</f>
        <v>0.2082</v>
      </c>
      <c r="K144" s="91">
        <f>VLOOKUP($A144,'Data Vlaue (Cr)'!$C:$FB,95)</f>
        <v>256</v>
      </c>
      <c r="L144" s="91">
        <f>VLOOKUP($A144,'Data Vlaue (Cr)'!$C:$FB,97)</f>
        <v>11</v>
      </c>
      <c r="M144" s="92">
        <f>VLOOKUP($A144,'Data Vlaue (Cr)'!$C:$FB,98)</f>
        <v>4.3999999999999997E-2</v>
      </c>
      <c r="N144" s="91">
        <f>VLOOKUP($A144,'Data Vlaue (Cr)'!$C:$FB,79)</f>
        <v>905</v>
      </c>
      <c r="O144" s="92">
        <f>VLOOKUP($A144,'Data Vlaue (Cr)'!$C:$FB,82)</f>
        <v>1.4E-2</v>
      </c>
    </row>
    <row r="145" spans="1:15" x14ac:dyDescent="0.25">
      <c r="A145" s="97" t="str">
        <f>'Data Vlaue (Cr)'!C140</f>
        <v>NCC</v>
      </c>
      <c r="B145" s="142">
        <f>VLOOKUP(A145,'Data Vlaue (Cr)'!C140:CW353,99,0)</f>
        <v>873</v>
      </c>
      <c r="C145" s="90">
        <f>VLOOKUP(A145,'Data Vlaue (Cr)'!C140:CY353,101,0)</f>
        <v>-14</v>
      </c>
      <c r="D145" s="139">
        <f>VLOOKUP(A145,'Data Vlaue (Cr)'!C140:CZ353,102,0)</f>
        <v>-1.5800000000000002E-2</v>
      </c>
      <c r="E145" s="91">
        <f>VLOOKUP($A145,'Data Vlaue (Cr)'!$C:$FB,75)</f>
        <v>349</v>
      </c>
      <c r="F145" s="91">
        <f>VLOOKUP($A145,'Data Vlaue (Cr)'!$C:$FB,77)</f>
        <v>2</v>
      </c>
      <c r="G145" s="92">
        <f>VLOOKUP(A145,'Data Vlaue (Cr)'!C140:CB353,78,0)</f>
        <v>7.1000000000000004E-3</v>
      </c>
      <c r="H145" s="91">
        <f>VLOOKUP($A145,'Data Vlaue (Cr)'!$C:$FB,91)</f>
        <v>369</v>
      </c>
      <c r="I145" s="91">
        <f>VLOOKUP($A145,'Data Vlaue (Cr)'!$C:$FB,93)</f>
        <v>-12</v>
      </c>
      <c r="J145" s="92">
        <f>VLOOKUP($A145,'Data Vlaue (Cr)'!$C:$FB,94)</f>
        <v>-3.1099999999999999E-2</v>
      </c>
      <c r="K145" s="91">
        <f>VLOOKUP($A145,'Data Vlaue (Cr)'!$C:$FB,95)</f>
        <v>155</v>
      </c>
      <c r="L145" s="91">
        <f>VLOOKUP($A145,'Data Vlaue (Cr)'!$C:$FB,97)</f>
        <v>-5</v>
      </c>
      <c r="M145" s="92">
        <f>VLOOKUP($A145,'Data Vlaue (Cr)'!$C:$FB,98)</f>
        <v>-2.9000000000000001E-2</v>
      </c>
      <c r="N145" s="91">
        <f>VLOOKUP($A145,'Data Vlaue (Cr)'!$C:$FB,79)</f>
        <v>349</v>
      </c>
      <c r="O145" s="92">
        <f>VLOOKUP($A145,'Data Vlaue (Cr)'!$C:$FB,82)</f>
        <v>7.1000000000000004E-3</v>
      </c>
    </row>
    <row r="146" spans="1:15" x14ac:dyDescent="0.25">
      <c r="A146" s="97" t="str">
        <f>'Data Vlaue (Cr)'!C141</f>
        <v>NESTLEIND</v>
      </c>
      <c r="B146" s="142">
        <f>VLOOKUP(A146,'Data Vlaue (Cr)'!C141:CW354,99,0)</f>
        <v>3222</v>
      </c>
      <c r="C146" s="90">
        <f>VLOOKUP(A146,'Data Vlaue (Cr)'!C141:CY354,101,0)</f>
        <v>48</v>
      </c>
      <c r="D146" s="139">
        <f>VLOOKUP(A146,'Data Vlaue (Cr)'!C141:CZ354,102,0)</f>
        <v>1.5100000000000001E-2</v>
      </c>
      <c r="E146" s="91">
        <f>VLOOKUP($A146,'Data Vlaue (Cr)'!$C:$FB,75)</f>
        <v>2038</v>
      </c>
      <c r="F146" s="91">
        <f>VLOOKUP($A146,'Data Vlaue (Cr)'!$C:$FB,77)</f>
        <v>25</v>
      </c>
      <c r="G146" s="92">
        <f>VLOOKUP(A146,'Data Vlaue (Cr)'!C141:CB354,78,0)</f>
        <v>1.23E-2</v>
      </c>
      <c r="H146" s="91">
        <f>VLOOKUP($A146,'Data Vlaue (Cr)'!$C:$FB,91)</f>
        <v>900</v>
      </c>
      <c r="I146" s="91">
        <f>VLOOKUP($A146,'Data Vlaue (Cr)'!$C:$FB,93)</f>
        <v>25</v>
      </c>
      <c r="J146" s="92">
        <f>VLOOKUP($A146,'Data Vlaue (Cr)'!$C:$FB,94)</f>
        <v>2.8400000000000002E-2</v>
      </c>
      <c r="K146" s="91">
        <f>VLOOKUP($A146,'Data Vlaue (Cr)'!$C:$FB,95)</f>
        <v>283</v>
      </c>
      <c r="L146" s="91">
        <f>VLOOKUP($A146,'Data Vlaue (Cr)'!$C:$FB,97)</f>
        <v>-2</v>
      </c>
      <c r="M146" s="92">
        <f>VLOOKUP($A146,'Data Vlaue (Cr)'!$C:$FB,98)</f>
        <v>-5.4000000000000003E-3</v>
      </c>
      <c r="N146" s="91">
        <f>VLOOKUP($A146,'Data Vlaue (Cr)'!$C:$FB,79)</f>
        <v>1798</v>
      </c>
      <c r="O146" s="92">
        <f>VLOOKUP($A146,'Data Vlaue (Cr)'!$C:$FB,82)</f>
        <v>-4.1099999999999998E-2</v>
      </c>
    </row>
    <row r="147" spans="1:15" x14ac:dyDescent="0.25">
      <c r="A147" s="97" t="str">
        <f>'Data Vlaue (Cr)'!C142</f>
        <v>NHPC</v>
      </c>
      <c r="B147" s="142">
        <f>VLOOKUP(A147,'Data Vlaue (Cr)'!C142:CW355,99,0)</f>
        <v>1073</v>
      </c>
      <c r="C147" s="90">
        <f>VLOOKUP(A147,'Data Vlaue (Cr)'!C142:CY355,101,0)</f>
        <v>-2</v>
      </c>
      <c r="D147" s="139">
        <f>VLOOKUP(A147,'Data Vlaue (Cr)'!C142:CZ355,102,0)</f>
        <v>-1.9E-3</v>
      </c>
      <c r="E147" s="91">
        <f>VLOOKUP($A147,'Data Vlaue (Cr)'!$C:$FB,75)</f>
        <v>560</v>
      </c>
      <c r="F147" s="91">
        <f>VLOOKUP($A147,'Data Vlaue (Cr)'!$C:$FB,77)</f>
        <v>-1</v>
      </c>
      <c r="G147" s="92">
        <f>VLOOKUP(A147,'Data Vlaue (Cr)'!C142:CB355,78,0)</f>
        <v>-2.5999999999999999E-3</v>
      </c>
      <c r="H147" s="91">
        <f>VLOOKUP($A147,'Data Vlaue (Cr)'!$C:$FB,91)</f>
        <v>355</v>
      </c>
      <c r="I147" s="91">
        <f>VLOOKUP($A147,'Data Vlaue (Cr)'!$C:$FB,93)</f>
        <v>1</v>
      </c>
      <c r="J147" s="92">
        <f>VLOOKUP($A147,'Data Vlaue (Cr)'!$C:$FB,94)</f>
        <v>2.3E-3</v>
      </c>
      <c r="K147" s="91">
        <f>VLOOKUP($A147,'Data Vlaue (Cr)'!$C:$FB,95)</f>
        <v>158</v>
      </c>
      <c r="L147" s="91">
        <f>VLOOKUP($A147,'Data Vlaue (Cr)'!$C:$FB,97)</f>
        <v>-1</v>
      </c>
      <c r="M147" s="92">
        <f>VLOOKUP($A147,'Data Vlaue (Cr)'!$C:$FB,98)</f>
        <v>-8.8000000000000005E-3</v>
      </c>
      <c r="N147" s="91">
        <f>VLOOKUP($A147,'Data Vlaue (Cr)'!$C:$FB,79)</f>
        <v>503</v>
      </c>
      <c r="O147" s="92">
        <f>VLOOKUP($A147,'Data Vlaue (Cr)'!$C:$FB,82)</f>
        <v>-1.26E-2</v>
      </c>
    </row>
    <row r="148" spans="1:15" x14ac:dyDescent="0.25">
      <c r="A148" s="97" t="str">
        <f>'Data Vlaue (Cr)'!C143</f>
        <v>NIFTY</v>
      </c>
      <c r="B148" s="142">
        <f>VLOOKUP(A148,'Data Vlaue (Cr)'!C143:CW356,99,0)</f>
        <v>1173308</v>
      </c>
      <c r="C148" s="90">
        <f>VLOOKUP(A148,'Data Vlaue (Cr)'!C143:CY356,101,0)</f>
        <v>-498147</v>
      </c>
      <c r="D148" s="139">
        <f>VLOOKUP(A148,'Data Vlaue (Cr)'!C143:CZ356,102,0)</f>
        <v>-0.29799999999999999</v>
      </c>
      <c r="E148" s="91">
        <f>VLOOKUP($A148,'Data Vlaue (Cr)'!$C:$FB,75)</f>
        <v>48090</v>
      </c>
      <c r="F148" s="91">
        <f>VLOOKUP($A148,'Data Vlaue (Cr)'!$C:$FB,77)</f>
        <v>985</v>
      </c>
      <c r="G148" s="92">
        <f>VLOOKUP(A148,'Data Vlaue (Cr)'!C143:CB356,78,0)</f>
        <v>2.0899999999999998E-2</v>
      </c>
      <c r="H148" s="91">
        <f>VLOOKUP($A148,'Data Vlaue (Cr)'!$C:$FB,91)</f>
        <v>636345</v>
      </c>
      <c r="I148" s="91">
        <f>VLOOKUP($A148,'Data Vlaue (Cr)'!$C:$FB,93)</f>
        <v>190082</v>
      </c>
      <c r="J148" s="92">
        <f>VLOOKUP($A148,'Data Vlaue (Cr)'!$C:$FB,94)</f>
        <v>0.4259</v>
      </c>
      <c r="K148" s="91">
        <f>VLOOKUP($A148,'Data Vlaue (Cr)'!$C:$FB,95)</f>
        <v>488873</v>
      </c>
      <c r="L148" s="91">
        <f>VLOOKUP($A148,'Data Vlaue (Cr)'!$C:$FB,97)</f>
        <v>87045</v>
      </c>
      <c r="M148" s="92">
        <f>VLOOKUP($A148,'Data Vlaue (Cr)'!$C:$FB,98)</f>
        <v>0.21659999999999999</v>
      </c>
      <c r="N148" s="91">
        <f>VLOOKUP($A148,'Data Vlaue (Cr)'!$C:$FB,79)</f>
        <v>42511</v>
      </c>
      <c r="O148" s="92">
        <f>VLOOKUP($A148,'Data Vlaue (Cr)'!$C:$FB,82)</f>
        <v>1.6899999999999998E-2</v>
      </c>
    </row>
    <row r="149" spans="1:15" x14ac:dyDescent="0.25">
      <c r="A149" s="97" t="str">
        <f>'Data Vlaue (Cr)'!C144</f>
        <v>NIFTYNXT50</v>
      </c>
      <c r="B149" s="142">
        <f>VLOOKUP(A149,'Data Vlaue (Cr)'!C144:CW357,99,0)</f>
        <v>414</v>
      </c>
      <c r="C149" s="90">
        <f>VLOOKUP(A149,'Data Vlaue (Cr)'!C144:CY357,101,0)</f>
        <v>17</v>
      </c>
      <c r="D149" s="139">
        <f>VLOOKUP(A149,'Data Vlaue (Cr)'!C144:CZ357,102,0)</f>
        <v>4.1599999999999998E-2</v>
      </c>
      <c r="E149" s="91">
        <f>VLOOKUP($A149,'Data Vlaue (Cr)'!$C:$FB,75)</f>
        <v>202</v>
      </c>
      <c r="F149" s="91">
        <f>VLOOKUP($A149,'Data Vlaue (Cr)'!$C:$FB,77)</f>
        <v>1</v>
      </c>
      <c r="G149" s="92">
        <f>VLOOKUP(A149,'Data Vlaue (Cr)'!C144:CB357,78,0)</f>
        <v>5.8999999999999999E-3</v>
      </c>
      <c r="H149" s="91">
        <f>VLOOKUP($A149,'Data Vlaue (Cr)'!$C:$FB,91)</f>
        <v>110</v>
      </c>
      <c r="I149" s="91">
        <f>VLOOKUP($A149,'Data Vlaue (Cr)'!$C:$FB,93)</f>
        <v>10</v>
      </c>
      <c r="J149" s="92">
        <f>VLOOKUP($A149,'Data Vlaue (Cr)'!$C:$FB,94)</f>
        <v>9.4899999999999998E-2</v>
      </c>
      <c r="K149" s="91">
        <f>VLOOKUP($A149,'Data Vlaue (Cr)'!$C:$FB,95)</f>
        <v>102</v>
      </c>
      <c r="L149" s="91">
        <f>VLOOKUP($A149,'Data Vlaue (Cr)'!$C:$FB,97)</f>
        <v>6</v>
      </c>
      <c r="M149" s="92">
        <f>VLOOKUP($A149,'Data Vlaue (Cr)'!$C:$FB,98)</f>
        <v>6.0299999999999999E-2</v>
      </c>
      <c r="N149" s="91">
        <f>VLOOKUP($A149,'Data Vlaue (Cr)'!$C:$FB,79)</f>
        <v>179</v>
      </c>
      <c r="O149" s="92">
        <f>VLOOKUP($A149,'Data Vlaue (Cr)'!$C:$FB,82)</f>
        <v>0</v>
      </c>
    </row>
    <row r="150" spans="1:15" x14ac:dyDescent="0.25">
      <c r="A150" s="97" t="str">
        <f>'Data Vlaue (Cr)'!C145</f>
        <v>NMDC</v>
      </c>
      <c r="B150" s="142">
        <f>VLOOKUP(A150,'Data Vlaue (Cr)'!C145:CW358,99,0)</f>
        <v>4006</v>
      </c>
      <c r="C150" s="90">
        <f>VLOOKUP(A150,'Data Vlaue (Cr)'!C145:CY358,101,0)</f>
        <v>90</v>
      </c>
      <c r="D150" s="139">
        <f>VLOOKUP(A150,'Data Vlaue (Cr)'!C145:CZ358,102,0)</f>
        <v>2.29E-2</v>
      </c>
      <c r="E150" s="91">
        <f>VLOOKUP($A150,'Data Vlaue (Cr)'!$C:$FB,75)</f>
        <v>2622</v>
      </c>
      <c r="F150" s="91">
        <f>VLOOKUP($A150,'Data Vlaue (Cr)'!$C:$FB,77)</f>
        <v>40</v>
      </c>
      <c r="G150" s="92">
        <f>VLOOKUP(A150,'Data Vlaue (Cr)'!C145:CB358,78,0)</f>
        <v>1.54E-2</v>
      </c>
      <c r="H150" s="91">
        <f>VLOOKUP($A150,'Data Vlaue (Cr)'!$C:$FB,91)</f>
        <v>824</v>
      </c>
      <c r="I150" s="91">
        <f>VLOOKUP($A150,'Data Vlaue (Cr)'!$C:$FB,93)</f>
        <v>36</v>
      </c>
      <c r="J150" s="92">
        <f>VLOOKUP($A150,'Data Vlaue (Cr)'!$C:$FB,94)</f>
        <v>4.53E-2</v>
      </c>
      <c r="K150" s="91">
        <f>VLOOKUP($A150,'Data Vlaue (Cr)'!$C:$FB,95)</f>
        <v>560</v>
      </c>
      <c r="L150" s="91">
        <f>VLOOKUP($A150,'Data Vlaue (Cr)'!$C:$FB,97)</f>
        <v>14</v>
      </c>
      <c r="M150" s="92">
        <f>VLOOKUP($A150,'Data Vlaue (Cr)'!$C:$FB,98)</f>
        <v>2.5700000000000001E-2</v>
      </c>
      <c r="N150" s="91">
        <f>VLOOKUP($A150,'Data Vlaue (Cr)'!$C:$FB,79)</f>
        <v>2495</v>
      </c>
      <c r="O150" s="92">
        <f>VLOOKUP($A150,'Data Vlaue (Cr)'!$C:$FB,82)</f>
        <v>8.3000000000000001E-3</v>
      </c>
    </row>
    <row r="151" spans="1:15" x14ac:dyDescent="0.25">
      <c r="A151" s="97" t="str">
        <f>'Data Vlaue (Cr)'!C146</f>
        <v>NTPC</v>
      </c>
      <c r="B151" s="142">
        <f>VLOOKUP(A151,'Data Vlaue (Cr)'!C146:CW359,99,0)</f>
        <v>4774</v>
      </c>
      <c r="C151" s="90">
        <f>VLOOKUP(A151,'Data Vlaue (Cr)'!C146:CY359,101,0)</f>
        <v>-12</v>
      </c>
      <c r="D151" s="139">
        <f>VLOOKUP(A151,'Data Vlaue (Cr)'!C146:CZ359,102,0)</f>
        <v>-2.5000000000000001E-3</v>
      </c>
      <c r="E151" s="91">
        <f>VLOOKUP($A151,'Data Vlaue (Cr)'!$C:$FB,75)</f>
        <v>2942</v>
      </c>
      <c r="F151" s="91">
        <f>VLOOKUP($A151,'Data Vlaue (Cr)'!$C:$FB,77)</f>
        <v>-14</v>
      </c>
      <c r="G151" s="92">
        <f>VLOOKUP(A151,'Data Vlaue (Cr)'!C146:CB359,78,0)</f>
        <v>-4.7999999999999996E-3</v>
      </c>
      <c r="H151" s="91">
        <f>VLOOKUP($A151,'Data Vlaue (Cr)'!$C:$FB,91)</f>
        <v>1132</v>
      </c>
      <c r="I151" s="91">
        <f>VLOOKUP($A151,'Data Vlaue (Cr)'!$C:$FB,93)</f>
        <v>-11</v>
      </c>
      <c r="J151" s="92">
        <f>VLOOKUP($A151,'Data Vlaue (Cr)'!$C:$FB,94)</f>
        <v>-9.9000000000000008E-3</v>
      </c>
      <c r="K151" s="91">
        <f>VLOOKUP($A151,'Data Vlaue (Cr)'!$C:$FB,95)</f>
        <v>700</v>
      </c>
      <c r="L151" s="91">
        <f>VLOOKUP($A151,'Data Vlaue (Cr)'!$C:$FB,97)</f>
        <v>14</v>
      </c>
      <c r="M151" s="92">
        <f>VLOOKUP($A151,'Data Vlaue (Cr)'!$C:$FB,98)</f>
        <v>1.9900000000000001E-2</v>
      </c>
      <c r="N151" s="91">
        <f>VLOOKUP($A151,'Data Vlaue (Cr)'!$C:$FB,79)</f>
        <v>2684</v>
      </c>
      <c r="O151" s="92">
        <f>VLOOKUP($A151,'Data Vlaue (Cr)'!$C:$FB,82)</f>
        <v>-1.03E-2</v>
      </c>
    </row>
    <row r="152" spans="1:15" x14ac:dyDescent="0.25">
      <c r="A152" s="97" t="str">
        <f>'Data Vlaue (Cr)'!C147</f>
        <v>NUVAMA</v>
      </c>
      <c r="B152" s="142">
        <f>VLOOKUP(A152,'Data Vlaue (Cr)'!C147:CW360,99,0)</f>
        <v>636</v>
      </c>
      <c r="C152" s="90">
        <f>VLOOKUP(A152,'Data Vlaue (Cr)'!C147:CY360,101,0)</f>
        <v>29</v>
      </c>
      <c r="D152" s="139">
        <f>VLOOKUP(A152,'Data Vlaue (Cr)'!C147:CZ360,102,0)</f>
        <v>4.7600000000000003E-2</v>
      </c>
      <c r="E152" s="91">
        <f>VLOOKUP($A152,'Data Vlaue (Cr)'!$C:$FB,75)</f>
        <v>271</v>
      </c>
      <c r="F152" s="91">
        <f>VLOOKUP($A152,'Data Vlaue (Cr)'!$C:$FB,77)</f>
        <v>10</v>
      </c>
      <c r="G152" s="92">
        <f>VLOOKUP(A152,'Data Vlaue (Cr)'!C147:CB360,78,0)</f>
        <v>3.7499999999999999E-2</v>
      </c>
      <c r="H152" s="91">
        <f>VLOOKUP($A152,'Data Vlaue (Cr)'!$C:$FB,91)</f>
        <v>224</v>
      </c>
      <c r="I152" s="91">
        <f>VLOOKUP($A152,'Data Vlaue (Cr)'!$C:$FB,93)</f>
        <v>-1</v>
      </c>
      <c r="J152" s="92">
        <f>VLOOKUP($A152,'Data Vlaue (Cr)'!$C:$FB,94)</f>
        <v>-5.7000000000000002E-3</v>
      </c>
      <c r="K152" s="91">
        <f>VLOOKUP($A152,'Data Vlaue (Cr)'!$C:$FB,95)</f>
        <v>140</v>
      </c>
      <c r="L152" s="91">
        <f>VLOOKUP($A152,'Data Vlaue (Cr)'!$C:$FB,97)</f>
        <v>20</v>
      </c>
      <c r="M152" s="92">
        <f>VLOOKUP($A152,'Data Vlaue (Cr)'!$C:$FB,98)</f>
        <v>0.1704</v>
      </c>
      <c r="N152" s="91">
        <f>VLOOKUP($A152,'Data Vlaue (Cr)'!$C:$FB,79)</f>
        <v>259</v>
      </c>
      <c r="O152" s="92">
        <f>VLOOKUP($A152,'Data Vlaue (Cr)'!$C:$FB,82)</f>
        <v>2.5499999999999998E-2</v>
      </c>
    </row>
    <row r="153" spans="1:15" x14ac:dyDescent="0.25">
      <c r="A153" s="97" t="str">
        <f>'Data Vlaue (Cr)'!C148</f>
        <v>NYKAA</v>
      </c>
      <c r="B153" s="142">
        <f>VLOOKUP(A153,'Data Vlaue (Cr)'!C148:CW361,99,0)</f>
        <v>2168</v>
      </c>
      <c r="C153" s="90">
        <f>VLOOKUP(A153,'Data Vlaue (Cr)'!C148:CY361,101,0)</f>
        <v>1</v>
      </c>
      <c r="D153" s="139">
        <f>VLOOKUP(A153,'Data Vlaue (Cr)'!C148:CZ361,102,0)</f>
        <v>4.0000000000000002E-4</v>
      </c>
      <c r="E153" s="91">
        <f>VLOOKUP($A153,'Data Vlaue (Cr)'!$C:$FB,75)</f>
        <v>1392</v>
      </c>
      <c r="F153" s="91">
        <f>VLOOKUP($A153,'Data Vlaue (Cr)'!$C:$FB,77)</f>
        <v>-15</v>
      </c>
      <c r="G153" s="92">
        <f>VLOOKUP(A153,'Data Vlaue (Cr)'!C148:CB361,78,0)</f>
        <v>-1.06E-2</v>
      </c>
      <c r="H153" s="91">
        <f>VLOOKUP($A153,'Data Vlaue (Cr)'!$C:$FB,91)</f>
        <v>550</v>
      </c>
      <c r="I153" s="91">
        <f>VLOOKUP($A153,'Data Vlaue (Cr)'!$C:$FB,93)</f>
        <v>-1</v>
      </c>
      <c r="J153" s="92">
        <f>VLOOKUP($A153,'Data Vlaue (Cr)'!$C:$FB,94)</f>
        <v>-1.5E-3</v>
      </c>
      <c r="K153" s="91">
        <f>VLOOKUP($A153,'Data Vlaue (Cr)'!$C:$FB,95)</f>
        <v>226</v>
      </c>
      <c r="L153" s="91">
        <f>VLOOKUP($A153,'Data Vlaue (Cr)'!$C:$FB,97)</f>
        <v>17</v>
      </c>
      <c r="M153" s="92">
        <f>VLOOKUP($A153,'Data Vlaue (Cr)'!$C:$FB,98)</f>
        <v>7.9600000000000004E-2</v>
      </c>
      <c r="N153" s="91">
        <f>VLOOKUP($A153,'Data Vlaue (Cr)'!$C:$FB,79)</f>
        <v>1327</v>
      </c>
      <c r="O153" s="92">
        <f>VLOOKUP($A153,'Data Vlaue (Cr)'!$C:$FB,82)</f>
        <v>-1.47E-2</v>
      </c>
    </row>
    <row r="154" spans="1:15" x14ac:dyDescent="0.25">
      <c r="A154" s="97" t="str">
        <f>'Data Vlaue (Cr)'!C149</f>
        <v>OBEROIRLTY</v>
      </c>
      <c r="B154" s="142">
        <f>VLOOKUP(A154,'Data Vlaue (Cr)'!C149:CW362,99,0)</f>
        <v>1321</v>
      </c>
      <c r="C154" s="90">
        <f>VLOOKUP(A154,'Data Vlaue (Cr)'!C149:CY362,101,0)</f>
        <v>15</v>
      </c>
      <c r="D154" s="139">
        <f>VLOOKUP(A154,'Data Vlaue (Cr)'!C149:CZ362,102,0)</f>
        <v>1.17E-2</v>
      </c>
      <c r="E154" s="91">
        <f>VLOOKUP($A154,'Data Vlaue (Cr)'!$C:$FB,75)</f>
        <v>769</v>
      </c>
      <c r="F154" s="91">
        <f>VLOOKUP($A154,'Data Vlaue (Cr)'!$C:$FB,77)</f>
        <v>6</v>
      </c>
      <c r="G154" s="92">
        <f>VLOOKUP(A154,'Data Vlaue (Cr)'!C149:CB362,78,0)</f>
        <v>8.3000000000000001E-3</v>
      </c>
      <c r="H154" s="91">
        <f>VLOOKUP($A154,'Data Vlaue (Cr)'!$C:$FB,91)</f>
        <v>341</v>
      </c>
      <c r="I154" s="91">
        <f>VLOOKUP($A154,'Data Vlaue (Cr)'!$C:$FB,93)</f>
        <v>4</v>
      </c>
      <c r="J154" s="92">
        <f>VLOOKUP($A154,'Data Vlaue (Cr)'!$C:$FB,94)</f>
        <v>1.1900000000000001E-2</v>
      </c>
      <c r="K154" s="91">
        <f>VLOOKUP($A154,'Data Vlaue (Cr)'!$C:$FB,95)</f>
        <v>211</v>
      </c>
      <c r="L154" s="91">
        <f>VLOOKUP($A154,'Data Vlaue (Cr)'!$C:$FB,97)</f>
        <v>5</v>
      </c>
      <c r="M154" s="92">
        <f>VLOOKUP($A154,'Data Vlaue (Cr)'!$C:$FB,98)</f>
        <v>2.4400000000000002E-2</v>
      </c>
      <c r="N154" s="91">
        <f>VLOOKUP($A154,'Data Vlaue (Cr)'!$C:$FB,79)</f>
        <v>723</v>
      </c>
      <c r="O154" s="92">
        <f>VLOOKUP($A154,'Data Vlaue (Cr)'!$C:$FB,82)</f>
        <v>4.4000000000000003E-3</v>
      </c>
    </row>
    <row r="155" spans="1:15" x14ac:dyDescent="0.25">
      <c r="A155" s="97" t="str">
        <f>'Data Vlaue (Cr)'!C150</f>
        <v>OFSS</v>
      </c>
      <c r="B155" s="142">
        <f>VLOOKUP(A155,'Data Vlaue (Cr)'!C150:CW363,99,0)</f>
        <v>2128</v>
      </c>
      <c r="C155" s="90">
        <f>VLOOKUP(A155,'Data Vlaue (Cr)'!C150:CY363,101,0)</f>
        <v>33</v>
      </c>
      <c r="D155" s="139">
        <f>VLOOKUP(A155,'Data Vlaue (Cr)'!C150:CZ363,102,0)</f>
        <v>1.6E-2</v>
      </c>
      <c r="E155" s="91">
        <f>VLOOKUP($A155,'Data Vlaue (Cr)'!$C:$FB,75)</f>
        <v>1126</v>
      </c>
      <c r="F155" s="91">
        <f>VLOOKUP($A155,'Data Vlaue (Cr)'!$C:$FB,77)</f>
        <v>14</v>
      </c>
      <c r="G155" s="92">
        <f>VLOOKUP(A155,'Data Vlaue (Cr)'!C150:CB363,78,0)</f>
        <v>1.21E-2</v>
      </c>
      <c r="H155" s="91">
        <f>VLOOKUP($A155,'Data Vlaue (Cr)'!$C:$FB,91)</f>
        <v>611</v>
      </c>
      <c r="I155" s="91">
        <f>VLOOKUP($A155,'Data Vlaue (Cr)'!$C:$FB,93)</f>
        <v>53</v>
      </c>
      <c r="J155" s="92">
        <f>VLOOKUP($A155,'Data Vlaue (Cr)'!$C:$FB,94)</f>
        <v>9.5000000000000001E-2</v>
      </c>
      <c r="K155" s="91">
        <f>VLOOKUP($A155,'Data Vlaue (Cr)'!$C:$FB,95)</f>
        <v>392</v>
      </c>
      <c r="L155" s="91">
        <f>VLOOKUP($A155,'Data Vlaue (Cr)'!$C:$FB,97)</f>
        <v>-33</v>
      </c>
      <c r="M155" s="92">
        <f>VLOOKUP($A155,'Data Vlaue (Cr)'!$C:$FB,98)</f>
        <v>-7.7799999999999994E-2</v>
      </c>
      <c r="N155" s="91">
        <f>VLOOKUP($A155,'Data Vlaue (Cr)'!$C:$FB,79)</f>
        <v>1053</v>
      </c>
      <c r="O155" s="92">
        <f>VLOOKUP($A155,'Data Vlaue (Cr)'!$C:$FB,82)</f>
        <v>-2.2000000000000001E-3</v>
      </c>
    </row>
    <row r="156" spans="1:15" x14ac:dyDescent="0.25">
      <c r="A156" s="97" t="str">
        <f>'Data Vlaue (Cr)'!C151</f>
        <v>OIL</v>
      </c>
      <c r="B156" s="142">
        <f>VLOOKUP(A156,'Data Vlaue (Cr)'!C151:CW364,99,0)</f>
        <v>888</v>
      </c>
      <c r="C156" s="90">
        <f>VLOOKUP(A156,'Data Vlaue (Cr)'!C151:CY364,101,0)</f>
        <v>33</v>
      </c>
      <c r="D156" s="139">
        <f>VLOOKUP(A156,'Data Vlaue (Cr)'!C151:CZ364,102,0)</f>
        <v>3.8399999999999997E-2</v>
      </c>
      <c r="E156" s="91">
        <f>VLOOKUP($A156,'Data Vlaue (Cr)'!$C:$FB,75)</f>
        <v>447</v>
      </c>
      <c r="F156" s="91">
        <f>VLOOKUP($A156,'Data Vlaue (Cr)'!$C:$FB,77)</f>
        <v>3</v>
      </c>
      <c r="G156" s="92">
        <f>VLOOKUP(A156,'Data Vlaue (Cr)'!C151:CB364,78,0)</f>
        <v>6.0000000000000001E-3</v>
      </c>
      <c r="H156" s="91">
        <f>VLOOKUP($A156,'Data Vlaue (Cr)'!$C:$FB,91)</f>
        <v>289</v>
      </c>
      <c r="I156" s="91">
        <f>VLOOKUP($A156,'Data Vlaue (Cr)'!$C:$FB,93)</f>
        <v>25</v>
      </c>
      <c r="J156" s="92">
        <f>VLOOKUP($A156,'Data Vlaue (Cr)'!$C:$FB,94)</f>
        <v>9.4399999999999998E-2</v>
      </c>
      <c r="K156" s="91">
        <f>VLOOKUP($A156,'Data Vlaue (Cr)'!$C:$FB,95)</f>
        <v>152</v>
      </c>
      <c r="L156" s="91">
        <f>VLOOKUP($A156,'Data Vlaue (Cr)'!$C:$FB,97)</f>
        <v>5</v>
      </c>
      <c r="M156" s="92">
        <f>VLOOKUP($A156,'Data Vlaue (Cr)'!$C:$FB,98)</f>
        <v>3.5700000000000003E-2</v>
      </c>
      <c r="N156" s="91">
        <f>VLOOKUP($A156,'Data Vlaue (Cr)'!$C:$FB,79)</f>
        <v>421</v>
      </c>
      <c r="O156" s="92">
        <f>VLOOKUP($A156,'Data Vlaue (Cr)'!$C:$FB,82)</f>
        <v>8.9999999999999998E-4</v>
      </c>
    </row>
    <row r="157" spans="1:15" x14ac:dyDescent="0.25">
      <c r="A157" s="97" t="str">
        <f>'Data Vlaue (Cr)'!C152</f>
        <v>ONGC</v>
      </c>
      <c r="B157" s="142">
        <f>VLOOKUP(A157,'Data Vlaue (Cr)'!C152:CW365,99,0)</f>
        <v>4457</v>
      </c>
      <c r="C157" s="90">
        <f>VLOOKUP(A157,'Data Vlaue (Cr)'!C152:CY365,101,0)</f>
        <v>95</v>
      </c>
      <c r="D157" s="139">
        <f>VLOOKUP(A157,'Data Vlaue (Cr)'!C152:CZ365,102,0)</f>
        <v>2.1700000000000001E-2</v>
      </c>
      <c r="E157" s="91">
        <f>VLOOKUP($A157,'Data Vlaue (Cr)'!$C:$FB,75)</f>
        <v>2345</v>
      </c>
      <c r="F157" s="91">
        <f>VLOOKUP($A157,'Data Vlaue (Cr)'!$C:$FB,77)</f>
        <v>30</v>
      </c>
      <c r="G157" s="92">
        <f>VLOOKUP(A157,'Data Vlaue (Cr)'!C152:CB365,78,0)</f>
        <v>1.29E-2</v>
      </c>
      <c r="H157" s="91">
        <f>VLOOKUP($A157,'Data Vlaue (Cr)'!$C:$FB,91)</f>
        <v>1493</v>
      </c>
      <c r="I157" s="91">
        <f>VLOOKUP($A157,'Data Vlaue (Cr)'!$C:$FB,93)</f>
        <v>50</v>
      </c>
      <c r="J157" s="92">
        <f>VLOOKUP($A157,'Data Vlaue (Cr)'!$C:$FB,94)</f>
        <v>3.44E-2</v>
      </c>
      <c r="K157" s="91">
        <f>VLOOKUP($A157,'Data Vlaue (Cr)'!$C:$FB,95)</f>
        <v>619</v>
      </c>
      <c r="L157" s="91">
        <f>VLOOKUP($A157,'Data Vlaue (Cr)'!$C:$FB,97)</f>
        <v>15</v>
      </c>
      <c r="M157" s="92">
        <f>VLOOKUP($A157,'Data Vlaue (Cr)'!$C:$FB,98)</f>
        <v>2.4899999999999999E-2</v>
      </c>
      <c r="N157" s="91">
        <f>VLOOKUP($A157,'Data Vlaue (Cr)'!$C:$FB,79)</f>
        <v>2163</v>
      </c>
      <c r="O157" s="92">
        <f>VLOOKUP($A157,'Data Vlaue (Cr)'!$C:$FB,82)</f>
        <v>8.0000000000000002E-3</v>
      </c>
    </row>
    <row r="158" spans="1:15" x14ac:dyDescent="0.25">
      <c r="A158" s="97" t="str">
        <f>'Data Vlaue (Cr)'!C153</f>
        <v>PAGEIND</v>
      </c>
      <c r="B158" s="142">
        <f>VLOOKUP(A158,'Data Vlaue (Cr)'!C153:CW366,99,0)</f>
        <v>1643</v>
      </c>
      <c r="C158" s="90">
        <f>VLOOKUP(A158,'Data Vlaue (Cr)'!C153:CY366,101,0)</f>
        <v>67</v>
      </c>
      <c r="D158" s="139">
        <f>VLOOKUP(A158,'Data Vlaue (Cr)'!C153:CZ366,102,0)</f>
        <v>4.2700000000000002E-2</v>
      </c>
      <c r="E158" s="91">
        <f>VLOOKUP($A158,'Data Vlaue (Cr)'!$C:$FB,75)</f>
        <v>981</v>
      </c>
      <c r="F158" s="91">
        <f>VLOOKUP($A158,'Data Vlaue (Cr)'!$C:$FB,77)</f>
        <v>21</v>
      </c>
      <c r="G158" s="92">
        <f>VLOOKUP(A158,'Data Vlaue (Cr)'!C153:CB366,78,0)</f>
        <v>2.24E-2</v>
      </c>
      <c r="H158" s="91">
        <f>VLOOKUP($A158,'Data Vlaue (Cr)'!$C:$FB,91)</f>
        <v>469</v>
      </c>
      <c r="I158" s="91">
        <f>VLOOKUP($A158,'Data Vlaue (Cr)'!$C:$FB,93)</f>
        <v>38</v>
      </c>
      <c r="J158" s="92">
        <f>VLOOKUP($A158,'Data Vlaue (Cr)'!$C:$FB,94)</f>
        <v>8.8499999999999995E-2</v>
      </c>
      <c r="K158" s="91">
        <f>VLOOKUP($A158,'Data Vlaue (Cr)'!$C:$FB,95)</f>
        <v>193</v>
      </c>
      <c r="L158" s="91">
        <f>VLOOKUP($A158,'Data Vlaue (Cr)'!$C:$FB,97)</f>
        <v>8</v>
      </c>
      <c r="M158" s="92">
        <f>VLOOKUP($A158,'Data Vlaue (Cr)'!$C:$FB,98)</f>
        <v>4.0800000000000003E-2</v>
      </c>
      <c r="N158" s="91">
        <f>VLOOKUP($A158,'Data Vlaue (Cr)'!$C:$FB,79)</f>
        <v>914</v>
      </c>
      <c r="O158" s="92">
        <f>VLOOKUP($A158,'Data Vlaue (Cr)'!$C:$FB,82)</f>
        <v>1.7500000000000002E-2</v>
      </c>
    </row>
    <row r="159" spans="1:15" x14ac:dyDescent="0.25">
      <c r="A159" s="97" t="str">
        <f>'Data Vlaue (Cr)'!C154</f>
        <v>PATANJALI</v>
      </c>
      <c r="B159" s="142">
        <f>VLOOKUP(A159,'Data Vlaue (Cr)'!C154:CW367,99,0)</f>
        <v>2671</v>
      </c>
      <c r="C159" s="90">
        <f>VLOOKUP(A159,'Data Vlaue (Cr)'!C154:CY367,101,0)</f>
        <v>88</v>
      </c>
      <c r="D159" s="139">
        <f>VLOOKUP(A159,'Data Vlaue (Cr)'!C154:CZ367,102,0)</f>
        <v>3.39E-2</v>
      </c>
      <c r="E159" s="91">
        <f>VLOOKUP($A159,'Data Vlaue (Cr)'!$C:$FB,75)</f>
        <v>2017</v>
      </c>
      <c r="F159" s="91">
        <f>VLOOKUP($A159,'Data Vlaue (Cr)'!$C:$FB,77)</f>
        <v>61</v>
      </c>
      <c r="G159" s="92">
        <f>VLOOKUP(A159,'Data Vlaue (Cr)'!C154:CB367,78,0)</f>
        <v>3.1199999999999999E-2</v>
      </c>
      <c r="H159" s="91">
        <f>VLOOKUP($A159,'Data Vlaue (Cr)'!$C:$FB,91)</f>
        <v>441</v>
      </c>
      <c r="I159" s="91">
        <f>VLOOKUP($A159,'Data Vlaue (Cr)'!$C:$FB,93)</f>
        <v>10</v>
      </c>
      <c r="J159" s="92">
        <f>VLOOKUP($A159,'Data Vlaue (Cr)'!$C:$FB,94)</f>
        <v>2.3300000000000001E-2</v>
      </c>
      <c r="K159" s="91">
        <f>VLOOKUP($A159,'Data Vlaue (Cr)'!$C:$FB,95)</f>
        <v>212</v>
      </c>
      <c r="L159" s="91">
        <f>VLOOKUP($A159,'Data Vlaue (Cr)'!$C:$FB,97)</f>
        <v>17</v>
      </c>
      <c r="M159" s="92">
        <f>VLOOKUP($A159,'Data Vlaue (Cr)'!$C:$FB,98)</f>
        <v>8.5000000000000006E-2</v>
      </c>
      <c r="N159" s="91">
        <f>VLOOKUP($A159,'Data Vlaue (Cr)'!$C:$FB,79)</f>
        <v>1967</v>
      </c>
      <c r="O159" s="92">
        <f>VLOOKUP($A159,'Data Vlaue (Cr)'!$C:$FB,82)</f>
        <v>2.1899999999999999E-2</v>
      </c>
    </row>
    <row r="160" spans="1:15" x14ac:dyDescent="0.25">
      <c r="A160" s="97" t="str">
        <f>'Data Vlaue (Cr)'!C155</f>
        <v>PAYTM</v>
      </c>
      <c r="B160" s="142">
        <f>VLOOKUP(A160,'Data Vlaue (Cr)'!C155:CW368,99,0)</f>
        <v>4528</v>
      </c>
      <c r="C160" s="90">
        <f>VLOOKUP(A160,'Data Vlaue (Cr)'!C155:CY368,101,0)</f>
        <v>191</v>
      </c>
      <c r="D160" s="139">
        <f>VLOOKUP(A160,'Data Vlaue (Cr)'!C155:CZ368,102,0)</f>
        <v>4.41E-2</v>
      </c>
      <c r="E160" s="91">
        <f>VLOOKUP($A160,'Data Vlaue (Cr)'!$C:$FB,75)</f>
        <v>2390</v>
      </c>
      <c r="F160" s="91">
        <f>VLOOKUP($A160,'Data Vlaue (Cr)'!$C:$FB,77)</f>
        <v>42</v>
      </c>
      <c r="G160" s="92">
        <f>VLOOKUP(A160,'Data Vlaue (Cr)'!C155:CB368,78,0)</f>
        <v>1.7899999999999999E-2</v>
      </c>
      <c r="H160" s="91">
        <f>VLOOKUP($A160,'Data Vlaue (Cr)'!$C:$FB,91)</f>
        <v>1386</v>
      </c>
      <c r="I160" s="91">
        <f>VLOOKUP($A160,'Data Vlaue (Cr)'!$C:$FB,93)</f>
        <v>133</v>
      </c>
      <c r="J160" s="92">
        <f>VLOOKUP($A160,'Data Vlaue (Cr)'!$C:$FB,94)</f>
        <v>0.106</v>
      </c>
      <c r="K160" s="91">
        <f>VLOOKUP($A160,'Data Vlaue (Cr)'!$C:$FB,95)</f>
        <v>751</v>
      </c>
      <c r="L160" s="91">
        <f>VLOOKUP($A160,'Data Vlaue (Cr)'!$C:$FB,97)</f>
        <v>16</v>
      </c>
      <c r="M160" s="92">
        <f>VLOOKUP($A160,'Data Vlaue (Cr)'!$C:$FB,98)</f>
        <v>2.1999999999999999E-2</v>
      </c>
      <c r="N160" s="91">
        <f>VLOOKUP($A160,'Data Vlaue (Cr)'!$C:$FB,79)</f>
        <v>2258</v>
      </c>
      <c r="O160" s="92">
        <f>VLOOKUP($A160,'Data Vlaue (Cr)'!$C:$FB,82)</f>
        <v>3.5999999999999999E-3</v>
      </c>
    </row>
    <row r="161" spans="1:15" x14ac:dyDescent="0.25">
      <c r="A161" s="97" t="str">
        <f>'Data Vlaue (Cr)'!C156</f>
        <v>PERSISTENT</v>
      </c>
      <c r="B161" s="142">
        <f>VLOOKUP(A161,'Data Vlaue (Cr)'!C156:CW369,99,0)</f>
        <v>2549</v>
      </c>
      <c r="C161" s="90">
        <f>VLOOKUP(A161,'Data Vlaue (Cr)'!C156:CY369,101,0)</f>
        <v>75</v>
      </c>
      <c r="D161" s="139">
        <f>VLOOKUP(A161,'Data Vlaue (Cr)'!C156:CZ369,102,0)</f>
        <v>3.0300000000000001E-2</v>
      </c>
      <c r="E161" s="91">
        <f>VLOOKUP($A161,'Data Vlaue (Cr)'!$C:$FB,75)</f>
        <v>1380</v>
      </c>
      <c r="F161" s="91">
        <f>VLOOKUP($A161,'Data Vlaue (Cr)'!$C:$FB,77)</f>
        <v>22</v>
      </c>
      <c r="G161" s="92">
        <f>VLOOKUP(A161,'Data Vlaue (Cr)'!C156:CB369,78,0)</f>
        <v>1.6E-2</v>
      </c>
      <c r="H161" s="91">
        <f>VLOOKUP($A161,'Data Vlaue (Cr)'!$C:$FB,91)</f>
        <v>742</v>
      </c>
      <c r="I161" s="91">
        <f>VLOOKUP($A161,'Data Vlaue (Cr)'!$C:$FB,93)</f>
        <v>44</v>
      </c>
      <c r="J161" s="92">
        <f>VLOOKUP($A161,'Data Vlaue (Cr)'!$C:$FB,94)</f>
        <v>6.2300000000000001E-2</v>
      </c>
      <c r="K161" s="91">
        <f>VLOOKUP($A161,'Data Vlaue (Cr)'!$C:$FB,95)</f>
        <v>427</v>
      </c>
      <c r="L161" s="91">
        <f>VLOOKUP($A161,'Data Vlaue (Cr)'!$C:$FB,97)</f>
        <v>10</v>
      </c>
      <c r="M161" s="92">
        <f>VLOOKUP($A161,'Data Vlaue (Cr)'!$C:$FB,98)</f>
        <v>2.3E-2</v>
      </c>
      <c r="N161" s="91">
        <f>VLOOKUP($A161,'Data Vlaue (Cr)'!$C:$FB,79)</f>
        <v>1307</v>
      </c>
      <c r="O161" s="92">
        <f>VLOOKUP($A161,'Data Vlaue (Cr)'!$C:$FB,82)</f>
        <v>1.1900000000000001E-2</v>
      </c>
    </row>
    <row r="162" spans="1:15" x14ac:dyDescent="0.25">
      <c r="A162" s="97" t="str">
        <f>'Data Vlaue (Cr)'!C157</f>
        <v>PETRONET</v>
      </c>
      <c r="B162" s="142">
        <f>VLOOKUP(A162,'Data Vlaue (Cr)'!C157:CW370,99,0)</f>
        <v>2208</v>
      </c>
      <c r="C162" s="90">
        <f>VLOOKUP(A162,'Data Vlaue (Cr)'!C157:CY370,101,0)</f>
        <v>-26</v>
      </c>
      <c r="D162" s="139">
        <f>VLOOKUP(A162,'Data Vlaue (Cr)'!C157:CZ370,102,0)</f>
        <v>-1.15E-2</v>
      </c>
      <c r="E162" s="91">
        <f>VLOOKUP($A162,'Data Vlaue (Cr)'!$C:$FB,75)</f>
        <v>1273</v>
      </c>
      <c r="F162" s="91">
        <f>VLOOKUP($A162,'Data Vlaue (Cr)'!$C:$FB,77)</f>
        <v>-5</v>
      </c>
      <c r="G162" s="92">
        <f>VLOOKUP(A162,'Data Vlaue (Cr)'!C157:CB370,78,0)</f>
        <v>-3.5999999999999999E-3</v>
      </c>
      <c r="H162" s="91">
        <f>VLOOKUP($A162,'Data Vlaue (Cr)'!$C:$FB,91)</f>
        <v>464</v>
      </c>
      <c r="I162" s="91">
        <f>VLOOKUP($A162,'Data Vlaue (Cr)'!$C:$FB,93)</f>
        <v>-16</v>
      </c>
      <c r="J162" s="92">
        <f>VLOOKUP($A162,'Data Vlaue (Cr)'!$C:$FB,94)</f>
        <v>-3.2500000000000001E-2</v>
      </c>
      <c r="K162" s="91">
        <f>VLOOKUP($A162,'Data Vlaue (Cr)'!$C:$FB,95)</f>
        <v>471</v>
      </c>
      <c r="L162" s="91">
        <f>VLOOKUP($A162,'Data Vlaue (Cr)'!$C:$FB,97)</f>
        <v>-5</v>
      </c>
      <c r="M162" s="92">
        <f>VLOOKUP($A162,'Data Vlaue (Cr)'!$C:$FB,98)</f>
        <v>-1.15E-2</v>
      </c>
      <c r="N162" s="91">
        <f>VLOOKUP($A162,'Data Vlaue (Cr)'!$C:$FB,79)</f>
        <v>1175</v>
      </c>
      <c r="O162" s="92">
        <f>VLOOKUP($A162,'Data Vlaue (Cr)'!$C:$FB,82)</f>
        <v>-5.1000000000000004E-3</v>
      </c>
    </row>
    <row r="163" spans="1:15" x14ac:dyDescent="0.25">
      <c r="A163" s="97" t="str">
        <f>'Data Vlaue (Cr)'!C158</f>
        <v>PFC</v>
      </c>
      <c r="B163" s="142">
        <f>VLOOKUP(A163,'Data Vlaue (Cr)'!C158:CW371,99,0)</f>
        <v>5589</v>
      </c>
      <c r="C163" s="90">
        <f>VLOOKUP(A163,'Data Vlaue (Cr)'!C158:CY371,101,0)</f>
        <v>-39</v>
      </c>
      <c r="D163" s="139">
        <f>VLOOKUP(A163,'Data Vlaue (Cr)'!C158:CZ371,102,0)</f>
        <v>-6.8999999999999999E-3</v>
      </c>
      <c r="E163" s="91">
        <f>VLOOKUP($A163,'Data Vlaue (Cr)'!$C:$FB,75)</f>
        <v>2913</v>
      </c>
      <c r="F163" s="91">
        <f>VLOOKUP($A163,'Data Vlaue (Cr)'!$C:$FB,77)</f>
        <v>26</v>
      </c>
      <c r="G163" s="92">
        <f>VLOOKUP(A163,'Data Vlaue (Cr)'!C158:CB371,78,0)</f>
        <v>8.8999999999999999E-3</v>
      </c>
      <c r="H163" s="91">
        <f>VLOOKUP($A163,'Data Vlaue (Cr)'!$C:$FB,91)</f>
        <v>1680</v>
      </c>
      <c r="I163" s="91">
        <f>VLOOKUP($A163,'Data Vlaue (Cr)'!$C:$FB,93)</f>
        <v>-72</v>
      </c>
      <c r="J163" s="92">
        <f>VLOOKUP($A163,'Data Vlaue (Cr)'!$C:$FB,94)</f>
        <v>-4.1000000000000002E-2</v>
      </c>
      <c r="K163" s="91">
        <f>VLOOKUP($A163,'Data Vlaue (Cr)'!$C:$FB,95)</f>
        <v>996</v>
      </c>
      <c r="L163" s="91">
        <f>VLOOKUP($A163,'Data Vlaue (Cr)'!$C:$FB,97)</f>
        <v>8</v>
      </c>
      <c r="M163" s="92">
        <f>VLOOKUP($A163,'Data Vlaue (Cr)'!$C:$FB,98)</f>
        <v>7.7000000000000002E-3</v>
      </c>
      <c r="N163" s="91">
        <f>VLOOKUP($A163,'Data Vlaue (Cr)'!$C:$FB,79)</f>
        <v>2560</v>
      </c>
      <c r="O163" s="92">
        <f>VLOOKUP($A163,'Data Vlaue (Cr)'!$C:$FB,82)</f>
        <v>-2.0999999999999999E-3</v>
      </c>
    </row>
    <row r="164" spans="1:15" x14ac:dyDescent="0.25">
      <c r="A164" s="97" t="str">
        <f>'Data Vlaue (Cr)'!C159</f>
        <v>PGEL</v>
      </c>
      <c r="B164" s="142">
        <f>VLOOKUP(A164,'Data Vlaue (Cr)'!C159:CW372,99,0)</f>
        <v>1385</v>
      </c>
      <c r="C164" s="90">
        <f>VLOOKUP(A164,'Data Vlaue (Cr)'!C159:CY372,101,0)</f>
        <v>13</v>
      </c>
      <c r="D164" s="139">
        <f>VLOOKUP(A164,'Data Vlaue (Cr)'!C159:CZ372,102,0)</f>
        <v>9.5999999999999992E-3</v>
      </c>
      <c r="E164" s="91">
        <f>VLOOKUP($A164,'Data Vlaue (Cr)'!$C:$FB,75)</f>
        <v>563</v>
      </c>
      <c r="F164" s="91">
        <f>VLOOKUP($A164,'Data Vlaue (Cr)'!$C:$FB,77)</f>
        <v>-2</v>
      </c>
      <c r="G164" s="92">
        <f>VLOOKUP(A164,'Data Vlaue (Cr)'!C159:CB372,78,0)</f>
        <v>-4.1000000000000003E-3</v>
      </c>
      <c r="H164" s="91">
        <f>VLOOKUP($A164,'Data Vlaue (Cr)'!$C:$FB,91)</f>
        <v>504</v>
      </c>
      <c r="I164" s="91">
        <f>VLOOKUP($A164,'Data Vlaue (Cr)'!$C:$FB,93)</f>
        <v>12</v>
      </c>
      <c r="J164" s="92">
        <f>VLOOKUP($A164,'Data Vlaue (Cr)'!$C:$FB,94)</f>
        <v>2.4899999999999999E-2</v>
      </c>
      <c r="K164" s="91">
        <f>VLOOKUP($A164,'Data Vlaue (Cr)'!$C:$FB,95)</f>
        <v>317</v>
      </c>
      <c r="L164" s="91">
        <f>VLOOKUP($A164,'Data Vlaue (Cr)'!$C:$FB,97)</f>
        <v>3</v>
      </c>
      <c r="M164" s="92">
        <f>VLOOKUP($A164,'Data Vlaue (Cr)'!$C:$FB,98)</f>
        <v>1.0200000000000001E-2</v>
      </c>
      <c r="N164" s="91">
        <f>VLOOKUP($A164,'Data Vlaue (Cr)'!$C:$FB,79)</f>
        <v>533</v>
      </c>
      <c r="O164" s="92">
        <f>VLOOKUP($A164,'Data Vlaue (Cr)'!$C:$FB,82)</f>
        <v>-4.3E-3</v>
      </c>
    </row>
    <row r="165" spans="1:15" x14ac:dyDescent="0.25">
      <c r="A165" s="97" t="str">
        <f>'Data Vlaue (Cr)'!C160</f>
        <v>PHOENIXLTD</v>
      </c>
      <c r="B165" s="142">
        <f>VLOOKUP(A165,'Data Vlaue (Cr)'!C160:CW373,99,0)</f>
        <v>955</v>
      </c>
      <c r="C165" s="90">
        <f>VLOOKUP(A165,'Data Vlaue (Cr)'!C160:CY373,101,0)</f>
        <v>12</v>
      </c>
      <c r="D165" s="139">
        <f>VLOOKUP(A165,'Data Vlaue (Cr)'!C160:CZ373,102,0)</f>
        <v>1.2999999999999999E-2</v>
      </c>
      <c r="E165" s="91">
        <f>VLOOKUP($A165,'Data Vlaue (Cr)'!$C:$FB,75)</f>
        <v>582</v>
      </c>
      <c r="F165" s="91">
        <f>VLOOKUP($A165,'Data Vlaue (Cr)'!$C:$FB,77)</f>
        <v>-7</v>
      </c>
      <c r="G165" s="92">
        <f>VLOOKUP(A165,'Data Vlaue (Cr)'!C160:CB373,78,0)</f>
        <v>-1.12E-2</v>
      </c>
      <c r="H165" s="91">
        <f>VLOOKUP($A165,'Data Vlaue (Cr)'!$C:$FB,91)</f>
        <v>247</v>
      </c>
      <c r="I165" s="91">
        <f>VLOOKUP($A165,'Data Vlaue (Cr)'!$C:$FB,93)</f>
        <v>14</v>
      </c>
      <c r="J165" s="92">
        <f>VLOOKUP($A165,'Data Vlaue (Cr)'!$C:$FB,94)</f>
        <v>5.79E-2</v>
      </c>
      <c r="K165" s="91">
        <f>VLOOKUP($A165,'Data Vlaue (Cr)'!$C:$FB,95)</f>
        <v>125</v>
      </c>
      <c r="L165" s="91">
        <f>VLOOKUP($A165,'Data Vlaue (Cr)'!$C:$FB,97)</f>
        <v>5</v>
      </c>
      <c r="M165" s="92">
        <f>VLOOKUP($A165,'Data Vlaue (Cr)'!$C:$FB,98)</f>
        <v>4.4900000000000002E-2</v>
      </c>
      <c r="N165" s="91">
        <f>VLOOKUP($A165,'Data Vlaue (Cr)'!$C:$FB,79)</f>
        <v>565</v>
      </c>
      <c r="O165" s="92">
        <f>VLOOKUP($A165,'Data Vlaue (Cr)'!$C:$FB,82)</f>
        <v>-1.61E-2</v>
      </c>
    </row>
    <row r="166" spans="1:15" x14ac:dyDescent="0.25">
      <c r="A166" s="97" t="str">
        <f>'Data Vlaue (Cr)'!C161</f>
        <v>PIDILITIND</v>
      </c>
      <c r="B166" s="142">
        <f>VLOOKUP(A166,'Data Vlaue (Cr)'!C161:CW374,99,0)</f>
        <v>1407</v>
      </c>
      <c r="C166" s="90">
        <f>VLOOKUP(A166,'Data Vlaue (Cr)'!C161:CY374,101,0)</f>
        <v>34</v>
      </c>
      <c r="D166" s="139">
        <f>VLOOKUP(A166,'Data Vlaue (Cr)'!C161:CZ374,102,0)</f>
        <v>2.4500000000000001E-2</v>
      </c>
      <c r="E166" s="91">
        <f>VLOOKUP($A166,'Data Vlaue (Cr)'!$C:$FB,75)</f>
        <v>1051</v>
      </c>
      <c r="F166" s="91">
        <f>VLOOKUP($A166,'Data Vlaue (Cr)'!$C:$FB,77)</f>
        <v>19</v>
      </c>
      <c r="G166" s="92">
        <f>VLOOKUP(A166,'Data Vlaue (Cr)'!C161:CB374,78,0)</f>
        <v>1.84E-2</v>
      </c>
      <c r="H166" s="91">
        <f>VLOOKUP($A166,'Data Vlaue (Cr)'!$C:$FB,91)</f>
        <v>205</v>
      </c>
      <c r="I166" s="91">
        <f>VLOOKUP($A166,'Data Vlaue (Cr)'!$C:$FB,93)</f>
        <v>15</v>
      </c>
      <c r="J166" s="92">
        <f>VLOOKUP($A166,'Data Vlaue (Cr)'!$C:$FB,94)</f>
        <v>7.7100000000000002E-2</v>
      </c>
      <c r="K166" s="91">
        <f>VLOOKUP($A166,'Data Vlaue (Cr)'!$C:$FB,95)</f>
        <v>151</v>
      </c>
      <c r="L166" s="91">
        <f>VLOOKUP($A166,'Data Vlaue (Cr)'!$C:$FB,97)</f>
        <v>0</v>
      </c>
      <c r="M166" s="92">
        <f>VLOOKUP($A166,'Data Vlaue (Cr)'!$C:$FB,98)</f>
        <v>0</v>
      </c>
      <c r="N166" s="91">
        <f>VLOOKUP($A166,'Data Vlaue (Cr)'!$C:$FB,79)</f>
        <v>940</v>
      </c>
      <c r="O166" s="92">
        <f>VLOOKUP($A166,'Data Vlaue (Cr)'!$C:$FB,82)</f>
        <v>-3.8899999999999997E-2</v>
      </c>
    </row>
    <row r="167" spans="1:15" x14ac:dyDescent="0.25">
      <c r="A167" s="97" t="str">
        <f>'Data Vlaue (Cr)'!C162</f>
        <v>PIIND</v>
      </c>
      <c r="B167" s="142">
        <f>VLOOKUP(A167,'Data Vlaue (Cr)'!C162:CW375,99,0)</f>
        <v>1442</v>
      </c>
      <c r="C167" s="90">
        <f>VLOOKUP(A167,'Data Vlaue (Cr)'!C162:CY375,101,0)</f>
        <v>3</v>
      </c>
      <c r="D167" s="139">
        <f>VLOOKUP(A167,'Data Vlaue (Cr)'!C162:CZ375,102,0)</f>
        <v>2.0999999999999999E-3</v>
      </c>
      <c r="E167" s="91">
        <f>VLOOKUP($A167,'Data Vlaue (Cr)'!$C:$FB,75)</f>
        <v>882</v>
      </c>
      <c r="F167" s="91">
        <f>VLOOKUP($A167,'Data Vlaue (Cr)'!$C:$FB,77)</f>
        <v>-2</v>
      </c>
      <c r="G167" s="92">
        <f>VLOOKUP(A167,'Data Vlaue (Cr)'!C162:CB375,78,0)</f>
        <v>-1.9E-3</v>
      </c>
      <c r="H167" s="91">
        <f>VLOOKUP($A167,'Data Vlaue (Cr)'!$C:$FB,91)</f>
        <v>343</v>
      </c>
      <c r="I167" s="91">
        <f>VLOOKUP($A167,'Data Vlaue (Cr)'!$C:$FB,93)</f>
        <v>8</v>
      </c>
      <c r="J167" s="92">
        <f>VLOOKUP($A167,'Data Vlaue (Cr)'!$C:$FB,94)</f>
        <v>2.2499999999999999E-2</v>
      </c>
      <c r="K167" s="91">
        <f>VLOOKUP($A167,'Data Vlaue (Cr)'!$C:$FB,95)</f>
        <v>217</v>
      </c>
      <c r="L167" s="91">
        <f>VLOOKUP($A167,'Data Vlaue (Cr)'!$C:$FB,97)</f>
        <v>-3</v>
      </c>
      <c r="M167" s="92">
        <f>VLOOKUP($A167,'Data Vlaue (Cr)'!$C:$FB,98)</f>
        <v>-1.2800000000000001E-2</v>
      </c>
      <c r="N167" s="91">
        <f>VLOOKUP($A167,'Data Vlaue (Cr)'!$C:$FB,79)</f>
        <v>788</v>
      </c>
      <c r="O167" s="92">
        <f>VLOOKUP($A167,'Data Vlaue (Cr)'!$C:$FB,82)</f>
        <v>-8.6E-3</v>
      </c>
    </row>
    <row r="168" spans="1:15" x14ac:dyDescent="0.25">
      <c r="A168" s="97" t="str">
        <f>'Data Vlaue (Cr)'!C163</f>
        <v>PNB</v>
      </c>
      <c r="B168" s="142">
        <f>VLOOKUP(A168,'Data Vlaue (Cr)'!C163:CW376,99,0)</f>
        <v>6341</v>
      </c>
      <c r="C168" s="90">
        <f>VLOOKUP(A168,'Data Vlaue (Cr)'!C163:CY376,101,0)</f>
        <v>-52</v>
      </c>
      <c r="D168" s="139">
        <f>VLOOKUP(A168,'Data Vlaue (Cr)'!C163:CZ376,102,0)</f>
        <v>-8.0999999999999996E-3</v>
      </c>
      <c r="E168" s="91">
        <f>VLOOKUP($A168,'Data Vlaue (Cr)'!$C:$FB,75)</f>
        <v>2945</v>
      </c>
      <c r="F168" s="91">
        <f>VLOOKUP($A168,'Data Vlaue (Cr)'!$C:$FB,77)</f>
        <v>19</v>
      </c>
      <c r="G168" s="92">
        <f>VLOOKUP(A168,'Data Vlaue (Cr)'!C163:CB376,78,0)</f>
        <v>6.6E-3</v>
      </c>
      <c r="H168" s="91">
        <f>VLOOKUP($A168,'Data Vlaue (Cr)'!$C:$FB,91)</f>
        <v>2192</v>
      </c>
      <c r="I168" s="91">
        <f>VLOOKUP($A168,'Data Vlaue (Cr)'!$C:$FB,93)</f>
        <v>-91</v>
      </c>
      <c r="J168" s="92">
        <f>VLOOKUP($A168,'Data Vlaue (Cr)'!$C:$FB,94)</f>
        <v>-0.04</v>
      </c>
      <c r="K168" s="91">
        <f>VLOOKUP($A168,'Data Vlaue (Cr)'!$C:$FB,95)</f>
        <v>1205</v>
      </c>
      <c r="L168" s="91">
        <f>VLOOKUP($A168,'Data Vlaue (Cr)'!$C:$FB,97)</f>
        <v>20</v>
      </c>
      <c r="M168" s="92">
        <f>VLOOKUP($A168,'Data Vlaue (Cr)'!$C:$FB,98)</f>
        <v>1.7100000000000001E-2</v>
      </c>
      <c r="N168" s="91">
        <f>VLOOKUP($A168,'Data Vlaue (Cr)'!$C:$FB,79)</f>
        <v>2531</v>
      </c>
      <c r="O168" s="92">
        <f>VLOOKUP($A168,'Data Vlaue (Cr)'!$C:$FB,82)</f>
        <v>-1.46E-2</v>
      </c>
    </row>
    <row r="169" spans="1:15" x14ac:dyDescent="0.25">
      <c r="A169" s="97" t="str">
        <f>'Data Vlaue (Cr)'!C164</f>
        <v>PNBHOUSING</v>
      </c>
      <c r="B169" s="142">
        <f>VLOOKUP(A169,'Data Vlaue (Cr)'!C164:CW377,99,0)</f>
        <v>2575</v>
      </c>
      <c r="C169" s="90">
        <f>VLOOKUP(A169,'Data Vlaue (Cr)'!C164:CY377,101,0)</f>
        <v>-35</v>
      </c>
      <c r="D169" s="139">
        <f>VLOOKUP(A169,'Data Vlaue (Cr)'!C164:CZ377,102,0)</f>
        <v>-1.35E-2</v>
      </c>
      <c r="E169" s="91">
        <f>VLOOKUP($A169,'Data Vlaue (Cr)'!$C:$FB,75)</f>
        <v>1469</v>
      </c>
      <c r="F169" s="91">
        <f>VLOOKUP($A169,'Data Vlaue (Cr)'!$C:$FB,77)</f>
        <v>9</v>
      </c>
      <c r="G169" s="92">
        <f>VLOOKUP(A169,'Data Vlaue (Cr)'!C164:CB377,78,0)</f>
        <v>6.4000000000000003E-3</v>
      </c>
      <c r="H169" s="91">
        <f>VLOOKUP($A169,'Data Vlaue (Cr)'!$C:$FB,91)</f>
        <v>684</v>
      </c>
      <c r="I169" s="91">
        <f>VLOOKUP($A169,'Data Vlaue (Cr)'!$C:$FB,93)</f>
        <v>-32</v>
      </c>
      <c r="J169" s="92">
        <f>VLOOKUP($A169,'Data Vlaue (Cr)'!$C:$FB,94)</f>
        <v>-4.53E-2</v>
      </c>
      <c r="K169" s="91">
        <f>VLOOKUP($A169,'Data Vlaue (Cr)'!$C:$FB,95)</f>
        <v>422</v>
      </c>
      <c r="L169" s="91">
        <f>VLOOKUP($A169,'Data Vlaue (Cr)'!$C:$FB,97)</f>
        <v>-12</v>
      </c>
      <c r="M169" s="92">
        <f>VLOOKUP($A169,'Data Vlaue (Cr)'!$C:$FB,98)</f>
        <v>-2.75E-2</v>
      </c>
      <c r="N169" s="91">
        <f>VLOOKUP($A169,'Data Vlaue (Cr)'!$C:$FB,79)</f>
        <v>1411</v>
      </c>
      <c r="O169" s="92">
        <f>VLOOKUP($A169,'Data Vlaue (Cr)'!$C:$FB,82)</f>
        <v>1.1999999999999999E-3</v>
      </c>
    </row>
    <row r="170" spans="1:15" x14ac:dyDescent="0.25">
      <c r="A170" s="97" t="str">
        <f>'Data Vlaue (Cr)'!C165</f>
        <v>POLICYBZR</v>
      </c>
      <c r="B170" s="142">
        <f>VLOOKUP(A170,'Data Vlaue (Cr)'!C165:CW378,99,0)</f>
        <v>2172</v>
      </c>
      <c r="C170" s="90">
        <f>VLOOKUP(A170,'Data Vlaue (Cr)'!C165:CY378,101,0)</f>
        <v>-3</v>
      </c>
      <c r="D170" s="139">
        <f>VLOOKUP(A170,'Data Vlaue (Cr)'!C165:CZ378,102,0)</f>
        <v>-1.1999999999999999E-3</v>
      </c>
      <c r="E170" s="91">
        <f>VLOOKUP($A170,'Data Vlaue (Cr)'!$C:$FB,75)</f>
        <v>1168</v>
      </c>
      <c r="F170" s="91">
        <f>VLOOKUP($A170,'Data Vlaue (Cr)'!$C:$FB,77)</f>
        <v>-43</v>
      </c>
      <c r="G170" s="92">
        <f>VLOOKUP(A170,'Data Vlaue (Cr)'!C165:CB378,78,0)</f>
        <v>-3.5299999999999998E-2</v>
      </c>
      <c r="H170" s="91">
        <f>VLOOKUP($A170,'Data Vlaue (Cr)'!$C:$FB,91)</f>
        <v>618</v>
      </c>
      <c r="I170" s="91">
        <f>VLOOKUP($A170,'Data Vlaue (Cr)'!$C:$FB,93)</f>
        <v>56</v>
      </c>
      <c r="J170" s="92">
        <f>VLOOKUP($A170,'Data Vlaue (Cr)'!$C:$FB,94)</f>
        <v>0.10059999999999999</v>
      </c>
      <c r="K170" s="91">
        <f>VLOOKUP($A170,'Data Vlaue (Cr)'!$C:$FB,95)</f>
        <v>386</v>
      </c>
      <c r="L170" s="91">
        <f>VLOOKUP($A170,'Data Vlaue (Cr)'!$C:$FB,97)</f>
        <v>-16</v>
      </c>
      <c r="M170" s="92">
        <f>VLOOKUP($A170,'Data Vlaue (Cr)'!$C:$FB,98)</f>
        <v>-4.0800000000000003E-2</v>
      </c>
      <c r="N170" s="91">
        <f>VLOOKUP($A170,'Data Vlaue (Cr)'!$C:$FB,79)</f>
        <v>1077</v>
      </c>
      <c r="O170" s="92">
        <f>VLOOKUP($A170,'Data Vlaue (Cr)'!$C:$FB,82)</f>
        <v>-2.7199999999999998E-2</v>
      </c>
    </row>
    <row r="171" spans="1:15" x14ac:dyDescent="0.25">
      <c r="A171" s="97" t="str">
        <f>'Data Vlaue (Cr)'!C166</f>
        <v>POLYCAB</v>
      </c>
      <c r="B171" s="142">
        <f>VLOOKUP(A171,'Data Vlaue (Cr)'!C166:CW379,99,0)</f>
        <v>2852</v>
      </c>
      <c r="C171" s="90">
        <f>VLOOKUP(A171,'Data Vlaue (Cr)'!C166:CY379,101,0)</f>
        <v>591</v>
      </c>
      <c r="D171" s="139">
        <f>VLOOKUP(A171,'Data Vlaue (Cr)'!C166:CZ379,102,0)</f>
        <v>0.2611</v>
      </c>
      <c r="E171" s="91">
        <f>VLOOKUP($A171,'Data Vlaue (Cr)'!$C:$FB,75)</f>
        <v>1583</v>
      </c>
      <c r="F171" s="91">
        <f>VLOOKUP($A171,'Data Vlaue (Cr)'!$C:$FB,77)</f>
        <v>237</v>
      </c>
      <c r="G171" s="92">
        <f>VLOOKUP(A171,'Data Vlaue (Cr)'!C166:CB379,78,0)</f>
        <v>0.1759</v>
      </c>
      <c r="H171" s="91">
        <f>VLOOKUP($A171,'Data Vlaue (Cr)'!$C:$FB,91)</f>
        <v>767</v>
      </c>
      <c r="I171" s="91">
        <f>VLOOKUP($A171,'Data Vlaue (Cr)'!$C:$FB,93)</f>
        <v>220</v>
      </c>
      <c r="J171" s="92">
        <f>VLOOKUP($A171,'Data Vlaue (Cr)'!$C:$FB,94)</f>
        <v>0.40250000000000002</v>
      </c>
      <c r="K171" s="91">
        <f>VLOOKUP($A171,'Data Vlaue (Cr)'!$C:$FB,95)</f>
        <v>503</v>
      </c>
      <c r="L171" s="91">
        <f>VLOOKUP($A171,'Data Vlaue (Cr)'!$C:$FB,97)</f>
        <v>134</v>
      </c>
      <c r="M171" s="92">
        <f>VLOOKUP($A171,'Data Vlaue (Cr)'!$C:$FB,98)</f>
        <v>0.36249999999999999</v>
      </c>
      <c r="N171" s="91">
        <f>VLOOKUP($A171,'Data Vlaue (Cr)'!$C:$FB,79)</f>
        <v>1467</v>
      </c>
      <c r="O171" s="92">
        <f>VLOOKUP($A171,'Data Vlaue (Cr)'!$C:$FB,82)</f>
        <v>0.15640000000000001</v>
      </c>
    </row>
    <row r="172" spans="1:15" x14ac:dyDescent="0.25">
      <c r="A172" s="97" t="str">
        <f>'Data Vlaue (Cr)'!C167</f>
        <v>POWERGRID</v>
      </c>
      <c r="B172" s="142">
        <f>VLOOKUP(A172,'Data Vlaue (Cr)'!C167:CW380,99,0)</f>
        <v>3632</v>
      </c>
      <c r="C172" s="90">
        <f>VLOOKUP(A172,'Data Vlaue (Cr)'!C167:CY380,101,0)</f>
        <v>25</v>
      </c>
      <c r="D172" s="139">
        <f>VLOOKUP(A172,'Data Vlaue (Cr)'!C167:CZ380,102,0)</f>
        <v>6.7999999999999996E-3</v>
      </c>
      <c r="E172" s="91">
        <f>VLOOKUP($A172,'Data Vlaue (Cr)'!$C:$FB,75)</f>
        <v>2170</v>
      </c>
      <c r="F172" s="91">
        <f>VLOOKUP($A172,'Data Vlaue (Cr)'!$C:$FB,77)</f>
        <v>44</v>
      </c>
      <c r="G172" s="92">
        <f>VLOOKUP(A172,'Data Vlaue (Cr)'!C167:CB380,78,0)</f>
        <v>2.07E-2</v>
      </c>
      <c r="H172" s="91">
        <f>VLOOKUP($A172,'Data Vlaue (Cr)'!$C:$FB,91)</f>
        <v>910</v>
      </c>
      <c r="I172" s="91">
        <f>VLOOKUP($A172,'Data Vlaue (Cr)'!$C:$FB,93)</f>
        <v>-18</v>
      </c>
      <c r="J172" s="92">
        <f>VLOOKUP($A172,'Data Vlaue (Cr)'!$C:$FB,94)</f>
        <v>-1.9400000000000001E-2</v>
      </c>
      <c r="K172" s="91">
        <f>VLOOKUP($A172,'Data Vlaue (Cr)'!$C:$FB,95)</f>
        <v>552</v>
      </c>
      <c r="L172" s="91">
        <f>VLOOKUP($A172,'Data Vlaue (Cr)'!$C:$FB,97)</f>
        <v>-1</v>
      </c>
      <c r="M172" s="92">
        <f>VLOOKUP($A172,'Data Vlaue (Cr)'!$C:$FB,98)</f>
        <v>-2.3999999999999998E-3</v>
      </c>
      <c r="N172" s="91">
        <f>VLOOKUP($A172,'Data Vlaue (Cr)'!$C:$FB,79)</f>
        <v>1926</v>
      </c>
      <c r="O172" s="92">
        <f>VLOOKUP($A172,'Data Vlaue (Cr)'!$C:$FB,82)</f>
        <v>1.4999999999999999E-2</v>
      </c>
    </row>
    <row r="173" spans="1:15" x14ac:dyDescent="0.25">
      <c r="A173" s="97" t="str">
        <f>'Data Vlaue (Cr)'!C168</f>
        <v>POWERINDIA</v>
      </c>
      <c r="B173" s="142">
        <f>VLOOKUP(A173,'Data Vlaue (Cr)'!C168:CW381,99,0)</f>
        <v>1900</v>
      </c>
      <c r="C173" s="90">
        <f>VLOOKUP(A173,'Data Vlaue (Cr)'!C168:CY381,101,0)</f>
        <v>-90</v>
      </c>
      <c r="D173" s="139">
        <f>VLOOKUP(A173,'Data Vlaue (Cr)'!C168:CZ381,102,0)</f>
        <v>-4.5100000000000001E-2</v>
      </c>
      <c r="E173" s="91">
        <f>VLOOKUP($A173,'Data Vlaue (Cr)'!$C:$FB,75)</f>
        <v>516</v>
      </c>
      <c r="F173" s="91">
        <f>VLOOKUP($A173,'Data Vlaue (Cr)'!$C:$FB,77)</f>
        <v>-21</v>
      </c>
      <c r="G173" s="92">
        <f>VLOOKUP(A173,'Data Vlaue (Cr)'!C168:CB381,78,0)</f>
        <v>-3.85E-2</v>
      </c>
      <c r="H173" s="91">
        <f>VLOOKUP($A173,'Data Vlaue (Cr)'!$C:$FB,91)</f>
        <v>1003</v>
      </c>
      <c r="I173" s="91">
        <f>VLOOKUP($A173,'Data Vlaue (Cr)'!$C:$FB,93)</f>
        <v>-54</v>
      </c>
      <c r="J173" s="92">
        <f>VLOOKUP($A173,'Data Vlaue (Cr)'!$C:$FB,94)</f>
        <v>-5.1499999999999997E-2</v>
      </c>
      <c r="K173" s="91">
        <f>VLOOKUP($A173,'Data Vlaue (Cr)'!$C:$FB,95)</f>
        <v>381</v>
      </c>
      <c r="L173" s="91">
        <f>VLOOKUP($A173,'Data Vlaue (Cr)'!$C:$FB,97)</f>
        <v>-15</v>
      </c>
      <c r="M173" s="92">
        <f>VLOOKUP($A173,'Data Vlaue (Cr)'!$C:$FB,98)</f>
        <v>-3.6700000000000003E-2</v>
      </c>
      <c r="N173" s="91">
        <f>VLOOKUP($A173,'Data Vlaue (Cr)'!$C:$FB,79)</f>
        <v>488</v>
      </c>
      <c r="O173" s="92">
        <f>VLOOKUP($A173,'Data Vlaue (Cr)'!$C:$FB,82)</f>
        <v>-3.7699999999999997E-2</v>
      </c>
    </row>
    <row r="174" spans="1:15" x14ac:dyDescent="0.25">
      <c r="A174" s="97" t="str">
        <f>'Data Vlaue (Cr)'!C169</f>
        <v>PPLPHARMA</v>
      </c>
      <c r="B174" s="142">
        <f>VLOOKUP(A174,'Data Vlaue (Cr)'!C169:CW382,99,0)</f>
        <v>912</v>
      </c>
      <c r="C174" s="90">
        <f>VLOOKUP(A174,'Data Vlaue (Cr)'!C169:CY382,101,0)</f>
        <v>-1</v>
      </c>
      <c r="D174" s="139">
        <f>VLOOKUP(A174,'Data Vlaue (Cr)'!C169:CZ382,102,0)</f>
        <v>-1E-3</v>
      </c>
      <c r="E174" s="91">
        <f>VLOOKUP($A174,'Data Vlaue (Cr)'!$C:$FB,75)</f>
        <v>478</v>
      </c>
      <c r="F174" s="91">
        <f>VLOOKUP($A174,'Data Vlaue (Cr)'!$C:$FB,77)</f>
        <v>-2</v>
      </c>
      <c r="G174" s="92">
        <f>VLOOKUP(A174,'Data Vlaue (Cr)'!C169:CB382,78,0)</f>
        <v>-4.8999999999999998E-3</v>
      </c>
      <c r="H174" s="91">
        <f>VLOOKUP($A174,'Data Vlaue (Cr)'!$C:$FB,91)</f>
        <v>304</v>
      </c>
      <c r="I174" s="91">
        <f>VLOOKUP($A174,'Data Vlaue (Cr)'!$C:$FB,93)</f>
        <v>-5</v>
      </c>
      <c r="J174" s="92">
        <f>VLOOKUP($A174,'Data Vlaue (Cr)'!$C:$FB,94)</f>
        <v>-1.55E-2</v>
      </c>
      <c r="K174" s="91">
        <f>VLOOKUP($A174,'Data Vlaue (Cr)'!$C:$FB,95)</f>
        <v>130</v>
      </c>
      <c r="L174" s="91">
        <f>VLOOKUP($A174,'Data Vlaue (Cr)'!$C:$FB,97)</f>
        <v>6</v>
      </c>
      <c r="M174" s="92">
        <f>VLOOKUP($A174,'Data Vlaue (Cr)'!$C:$FB,98)</f>
        <v>4.9799999999999997E-2</v>
      </c>
      <c r="N174" s="91">
        <f>VLOOKUP($A174,'Data Vlaue (Cr)'!$C:$FB,79)</f>
        <v>418</v>
      </c>
      <c r="O174" s="92">
        <f>VLOOKUP($A174,'Data Vlaue (Cr)'!$C:$FB,82)</f>
        <v>-1.23E-2</v>
      </c>
    </row>
    <row r="175" spans="1:15" x14ac:dyDescent="0.25">
      <c r="A175" s="97" t="str">
        <f>'Data Vlaue (Cr)'!C170</f>
        <v>PRESTIGE</v>
      </c>
      <c r="B175" s="142">
        <f>VLOOKUP(A175,'Data Vlaue (Cr)'!C170:CW383,99,0)</f>
        <v>1204</v>
      </c>
      <c r="C175" s="90">
        <f>VLOOKUP(A175,'Data Vlaue (Cr)'!C170:CY383,101,0)</f>
        <v>16</v>
      </c>
      <c r="D175" s="139">
        <f>VLOOKUP(A175,'Data Vlaue (Cr)'!C170:CZ383,102,0)</f>
        <v>1.34E-2</v>
      </c>
      <c r="E175" s="91">
        <f>VLOOKUP($A175,'Data Vlaue (Cr)'!$C:$FB,75)</f>
        <v>663</v>
      </c>
      <c r="F175" s="91">
        <f>VLOOKUP($A175,'Data Vlaue (Cr)'!$C:$FB,77)</f>
        <v>7</v>
      </c>
      <c r="G175" s="92">
        <f>VLOOKUP(A175,'Data Vlaue (Cr)'!C170:CB383,78,0)</f>
        <v>1.14E-2</v>
      </c>
      <c r="H175" s="91">
        <f>VLOOKUP($A175,'Data Vlaue (Cr)'!$C:$FB,91)</f>
        <v>328</v>
      </c>
      <c r="I175" s="91">
        <f>VLOOKUP($A175,'Data Vlaue (Cr)'!$C:$FB,93)</f>
        <v>9</v>
      </c>
      <c r="J175" s="92">
        <f>VLOOKUP($A175,'Data Vlaue (Cr)'!$C:$FB,94)</f>
        <v>2.9399999999999999E-2</v>
      </c>
      <c r="K175" s="91">
        <f>VLOOKUP($A175,'Data Vlaue (Cr)'!$C:$FB,95)</f>
        <v>212</v>
      </c>
      <c r="L175" s="91">
        <f>VLOOKUP($A175,'Data Vlaue (Cr)'!$C:$FB,97)</f>
        <v>-1</v>
      </c>
      <c r="M175" s="92">
        <f>VLOOKUP($A175,'Data Vlaue (Cr)'!$C:$FB,98)</f>
        <v>-4.1000000000000003E-3</v>
      </c>
      <c r="N175" s="91">
        <f>VLOOKUP($A175,'Data Vlaue (Cr)'!$C:$FB,79)</f>
        <v>647</v>
      </c>
      <c r="O175" s="92">
        <f>VLOOKUP($A175,'Data Vlaue (Cr)'!$C:$FB,82)</f>
        <v>2.8E-3</v>
      </c>
    </row>
    <row r="176" spans="1:15" x14ac:dyDescent="0.25">
      <c r="A176" s="97" t="str">
        <f>'Data Vlaue (Cr)'!C171</f>
        <v>RBLBANK</v>
      </c>
      <c r="B176" s="142">
        <f>VLOOKUP(A176,'Data Vlaue (Cr)'!C171:CW384,99,0)</f>
        <v>3639</v>
      </c>
      <c r="C176" s="90">
        <f>VLOOKUP(A176,'Data Vlaue (Cr)'!C171:CY384,101,0)</f>
        <v>164</v>
      </c>
      <c r="D176" s="139">
        <f>VLOOKUP(A176,'Data Vlaue (Cr)'!C171:CZ384,102,0)</f>
        <v>4.7300000000000002E-2</v>
      </c>
      <c r="E176" s="91">
        <f>VLOOKUP($A176,'Data Vlaue (Cr)'!$C:$FB,75)</f>
        <v>2309</v>
      </c>
      <c r="F176" s="91">
        <f>VLOOKUP($A176,'Data Vlaue (Cr)'!$C:$FB,77)</f>
        <v>51</v>
      </c>
      <c r="G176" s="92">
        <f>VLOOKUP(A176,'Data Vlaue (Cr)'!C171:CB384,78,0)</f>
        <v>2.2800000000000001E-2</v>
      </c>
      <c r="H176" s="91">
        <f>VLOOKUP($A176,'Data Vlaue (Cr)'!$C:$FB,91)</f>
        <v>817</v>
      </c>
      <c r="I176" s="91">
        <f>VLOOKUP($A176,'Data Vlaue (Cr)'!$C:$FB,93)</f>
        <v>68</v>
      </c>
      <c r="J176" s="92">
        <f>VLOOKUP($A176,'Data Vlaue (Cr)'!$C:$FB,94)</f>
        <v>9.11E-2</v>
      </c>
      <c r="K176" s="91">
        <f>VLOOKUP($A176,'Data Vlaue (Cr)'!$C:$FB,95)</f>
        <v>513</v>
      </c>
      <c r="L176" s="91">
        <f>VLOOKUP($A176,'Data Vlaue (Cr)'!$C:$FB,97)</f>
        <v>45</v>
      </c>
      <c r="M176" s="92">
        <f>VLOOKUP($A176,'Data Vlaue (Cr)'!$C:$FB,98)</f>
        <v>9.5399999999999999E-2</v>
      </c>
      <c r="N176" s="91">
        <f>VLOOKUP($A176,'Data Vlaue (Cr)'!$C:$FB,79)</f>
        <v>2224</v>
      </c>
      <c r="O176" s="92">
        <f>VLOOKUP($A176,'Data Vlaue (Cr)'!$C:$FB,82)</f>
        <v>1.44E-2</v>
      </c>
    </row>
    <row r="177" spans="1:15" x14ac:dyDescent="0.25">
      <c r="A177" s="97" t="str">
        <f>'Data Vlaue (Cr)'!C172</f>
        <v>RECLTD</v>
      </c>
      <c r="B177" s="142">
        <f>VLOOKUP(A177,'Data Vlaue (Cr)'!C172:CW385,99,0)</f>
        <v>6189</v>
      </c>
      <c r="C177" s="90">
        <f>VLOOKUP(A177,'Data Vlaue (Cr)'!C172:CY385,101,0)</f>
        <v>96</v>
      </c>
      <c r="D177" s="139">
        <f>VLOOKUP(A177,'Data Vlaue (Cr)'!C172:CZ385,102,0)</f>
        <v>1.5699999999999999E-2</v>
      </c>
      <c r="E177" s="91">
        <f>VLOOKUP($A177,'Data Vlaue (Cr)'!$C:$FB,75)</f>
        <v>3445</v>
      </c>
      <c r="F177" s="91">
        <f>VLOOKUP($A177,'Data Vlaue (Cr)'!$C:$FB,77)</f>
        <v>14</v>
      </c>
      <c r="G177" s="92">
        <f>VLOOKUP(A177,'Data Vlaue (Cr)'!C172:CB385,78,0)</f>
        <v>4.1999999999999997E-3</v>
      </c>
      <c r="H177" s="91">
        <f>VLOOKUP($A177,'Data Vlaue (Cr)'!$C:$FB,91)</f>
        <v>1705</v>
      </c>
      <c r="I177" s="91">
        <f>VLOOKUP($A177,'Data Vlaue (Cr)'!$C:$FB,93)</f>
        <v>50</v>
      </c>
      <c r="J177" s="92">
        <f>VLOOKUP($A177,'Data Vlaue (Cr)'!$C:$FB,94)</f>
        <v>3.0200000000000001E-2</v>
      </c>
      <c r="K177" s="91">
        <f>VLOOKUP($A177,'Data Vlaue (Cr)'!$C:$FB,95)</f>
        <v>1040</v>
      </c>
      <c r="L177" s="91">
        <f>VLOOKUP($A177,'Data Vlaue (Cr)'!$C:$FB,97)</f>
        <v>31</v>
      </c>
      <c r="M177" s="92">
        <f>VLOOKUP($A177,'Data Vlaue (Cr)'!$C:$FB,98)</f>
        <v>3.1199999999999999E-2</v>
      </c>
      <c r="N177" s="91">
        <f>VLOOKUP($A177,'Data Vlaue (Cr)'!$C:$FB,79)</f>
        <v>3075</v>
      </c>
      <c r="O177" s="92">
        <f>VLOOKUP($A177,'Data Vlaue (Cr)'!$C:$FB,82)</f>
        <v>-1.1000000000000001E-3</v>
      </c>
    </row>
    <row r="178" spans="1:15" x14ac:dyDescent="0.25">
      <c r="A178" s="97" t="str">
        <f>'Data Vlaue (Cr)'!C173</f>
        <v>RELIANCE</v>
      </c>
      <c r="B178" s="142">
        <f>VLOOKUP(A178,'Data Vlaue (Cr)'!C173:CW386,99,0)</f>
        <v>27660</v>
      </c>
      <c r="C178" s="90">
        <f>VLOOKUP(A178,'Data Vlaue (Cr)'!C173:CY386,101,0)</f>
        <v>87</v>
      </c>
      <c r="D178" s="139">
        <f>VLOOKUP(A178,'Data Vlaue (Cr)'!C173:CZ386,102,0)</f>
        <v>3.2000000000000002E-3</v>
      </c>
      <c r="E178" s="91">
        <f>VLOOKUP($A178,'Data Vlaue (Cr)'!$C:$FB,75)</f>
        <v>15364</v>
      </c>
      <c r="F178" s="91">
        <f>VLOOKUP($A178,'Data Vlaue (Cr)'!$C:$FB,77)</f>
        <v>-33</v>
      </c>
      <c r="G178" s="92">
        <f>VLOOKUP(A178,'Data Vlaue (Cr)'!C173:CB386,78,0)</f>
        <v>-2.2000000000000001E-3</v>
      </c>
      <c r="H178" s="91">
        <f>VLOOKUP($A178,'Data Vlaue (Cr)'!$C:$FB,91)</f>
        <v>8031</v>
      </c>
      <c r="I178" s="91">
        <f>VLOOKUP($A178,'Data Vlaue (Cr)'!$C:$FB,93)</f>
        <v>-6</v>
      </c>
      <c r="J178" s="92">
        <f>VLOOKUP($A178,'Data Vlaue (Cr)'!$C:$FB,94)</f>
        <v>-6.9999999999999999E-4</v>
      </c>
      <c r="K178" s="91">
        <f>VLOOKUP($A178,'Data Vlaue (Cr)'!$C:$FB,95)</f>
        <v>4265</v>
      </c>
      <c r="L178" s="91">
        <f>VLOOKUP($A178,'Data Vlaue (Cr)'!$C:$FB,97)</f>
        <v>126</v>
      </c>
      <c r="M178" s="92">
        <f>VLOOKUP($A178,'Data Vlaue (Cr)'!$C:$FB,98)</f>
        <v>3.0499999999999999E-2</v>
      </c>
      <c r="N178" s="91">
        <f>VLOOKUP($A178,'Data Vlaue (Cr)'!$C:$FB,79)</f>
        <v>13571</v>
      </c>
      <c r="O178" s="92">
        <f>VLOOKUP($A178,'Data Vlaue (Cr)'!$C:$FB,82)</f>
        <v>-1.77E-2</v>
      </c>
    </row>
    <row r="179" spans="1:15" x14ac:dyDescent="0.25">
      <c r="A179" s="97" t="str">
        <f>'Data Vlaue (Cr)'!C174</f>
        <v>RVNL</v>
      </c>
      <c r="B179" s="142">
        <f>VLOOKUP(A179,'Data Vlaue (Cr)'!C174:CW387,99,0)</f>
        <v>2426</v>
      </c>
      <c r="C179" s="90">
        <f>VLOOKUP(A179,'Data Vlaue (Cr)'!C174:CY387,101,0)</f>
        <v>62</v>
      </c>
      <c r="D179" s="139">
        <f>VLOOKUP(A179,'Data Vlaue (Cr)'!C174:CZ387,102,0)</f>
        <v>2.6200000000000001E-2</v>
      </c>
      <c r="E179" s="91">
        <f>VLOOKUP($A179,'Data Vlaue (Cr)'!$C:$FB,75)</f>
        <v>1468</v>
      </c>
      <c r="F179" s="91">
        <f>VLOOKUP($A179,'Data Vlaue (Cr)'!$C:$FB,77)</f>
        <v>27</v>
      </c>
      <c r="G179" s="92">
        <f>VLOOKUP(A179,'Data Vlaue (Cr)'!C174:CB387,78,0)</f>
        <v>1.89E-2</v>
      </c>
      <c r="H179" s="91">
        <f>VLOOKUP($A179,'Data Vlaue (Cr)'!$C:$FB,91)</f>
        <v>658</v>
      </c>
      <c r="I179" s="91">
        <f>VLOOKUP($A179,'Data Vlaue (Cr)'!$C:$FB,93)</f>
        <v>36</v>
      </c>
      <c r="J179" s="92">
        <f>VLOOKUP($A179,'Data Vlaue (Cr)'!$C:$FB,94)</f>
        <v>5.8400000000000001E-2</v>
      </c>
      <c r="K179" s="91">
        <f>VLOOKUP($A179,'Data Vlaue (Cr)'!$C:$FB,95)</f>
        <v>300</v>
      </c>
      <c r="L179" s="91">
        <f>VLOOKUP($A179,'Data Vlaue (Cr)'!$C:$FB,97)</f>
        <v>-2</v>
      </c>
      <c r="M179" s="92">
        <f>VLOOKUP($A179,'Data Vlaue (Cr)'!$C:$FB,98)</f>
        <v>-5.4999999999999997E-3</v>
      </c>
      <c r="N179" s="91">
        <f>VLOOKUP($A179,'Data Vlaue (Cr)'!$C:$FB,79)</f>
        <v>1193</v>
      </c>
      <c r="O179" s="92">
        <f>VLOOKUP($A179,'Data Vlaue (Cr)'!$C:$FB,82)</f>
        <v>2.8E-3</v>
      </c>
    </row>
    <row r="180" spans="1:15" x14ac:dyDescent="0.25">
      <c r="A180" s="97" t="str">
        <f>'Data Vlaue (Cr)'!C175</f>
        <v>SAIL</v>
      </c>
      <c r="B180" s="142">
        <f>VLOOKUP(A180,'Data Vlaue (Cr)'!C175:CW388,99,0)</f>
        <v>3368</v>
      </c>
      <c r="C180" s="90">
        <f>VLOOKUP(A180,'Data Vlaue (Cr)'!C175:CY388,101,0)</f>
        <v>-28</v>
      </c>
      <c r="D180" s="139">
        <f>VLOOKUP(A180,'Data Vlaue (Cr)'!C175:CZ388,102,0)</f>
        <v>-8.3000000000000001E-3</v>
      </c>
      <c r="E180" s="91">
        <f>VLOOKUP($A180,'Data Vlaue (Cr)'!$C:$FB,75)</f>
        <v>2291</v>
      </c>
      <c r="F180" s="91">
        <f>VLOOKUP($A180,'Data Vlaue (Cr)'!$C:$FB,77)</f>
        <v>-23</v>
      </c>
      <c r="G180" s="92">
        <f>VLOOKUP(A180,'Data Vlaue (Cr)'!C175:CB388,78,0)</f>
        <v>-1.01E-2</v>
      </c>
      <c r="H180" s="91">
        <f>VLOOKUP($A180,'Data Vlaue (Cr)'!$C:$FB,91)</f>
        <v>689</v>
      </c>
      <c r="I180" s="91">
        <f>VLOOKUP($A180,'Data Vlaue (Cr)'!$C:$FB,93)</f>
        <v>-5</v>
      </c>
      <c r="J180" s="92">
        <f>VLOOKUP($A180,'Data Vlaue (Cr)'!$C:$FB,94)</f>
        <v>-7.7000000000000002E-3</v>
      </c>
      <c r="K180" s="91">
        <f>VLOOKUP($A180,'Data Vlaue (Cr)'!$C:$FB,95)</f>
        <v>388</v>
      </c>
      <c r="L180" s="91">
        <f>VLOOKUP($A180,'Data Vlaue (Cr)'!$C:$FB,97)</f>
        <v>0</v>
      </c>
      <c r="M180" s="92">
        <f>VLOOKUP($A180,'Data Vlaue (Cr)'!$C:$FB,98)</f>
        <v>8.9999999999999998E-4</v>
      </c>
      <c r="N180" s="91">
        <f>VLOOKUP($A180,'Data Vlaue (Cr)'!$C:$FB,79)</f>
        <v>2040</v>
      </c>
      <c r="O180" s="92">
        <f>VLOOKUP($A180,'Data Vlaue (Cr)'!$C:$FB,82)</f>
        <v>-1.84E-2</v>
      </c>
    </row>
    <row r="181" spans="1:15" x14ac:dyDescent="0.25">
      <c r="A181" s="97" t="str">
        <f>'Data Vlaue (Cr)'!C176</f>
        <v>SAMMAANCAP</v>
      </c>
      <c r="B181" s="142">
        <f>VLOOKUP(A181,'Data Vlaue (Cr)'!C176:CW389,99,0)</f>
        <v>3224</v>
      </c>
      <c r="C181" s="90">
        <f>VLOOKUP(A181,'Data Vlaue (Cr)'!C176:CY389,101,0)</f>
        <v>461</v>
      </c>
      <c r="D181" s="139">
        <f>VLOOKUP(A181,'Data Vlaue (Cr)'!C176:CZ389,102,0)</f>
        <v>0.16669999999999999</v>
      </c>
      <c r="E181" s="91">
        <f>VLOOKUP($A181,'Data Vlaue (Cr)'!$C:$FB,75)</f>
        <v>1669</v>
      </c>
      <c r="F181" s="91">
        <f>VLOOKUP($A181,'Data Vlaue (Cr)'!$C:$FB,77)</f>
        <v>133</v>
      </c>
      <c r="G181" s="92">
        <f>VLOOKUP(A181,'Data Vlaue (Cr)'!C176:CB389,78,0)</f>
        <v>8.6499999999999994E-2</v>
      </c>
      <c r="H181" s="91">
        <f>VLOOKUP($A181,'Data Vlaue (Cr)'!$C:$FB,91)</f>
        <v>955</v>
      </c>
      <c r="I181" s="91">
        <f>VLOOKUP($A181,'Data Vlaue (Cr)'!$C:$FB,93)</f>
        <v>160</v>
      </c>
      <c r="J181" s="92">
        <f>VLOOKUP($A181,'Data Vlaue (Cr)'!$C:$FB,94)</f>
        <v>0.20169999999999999</v>
      </c>
      <c r="K181" s="91">
        <f>VLOOKUP($A181,'Data Vlaue (Cr)'!$C:$FB,95)</f>
        <v>600</v>
      </c>
      <c r="L181" s="91">
        <f>VLOOKUP($A181,'Data Vlaue (Cr)'!$C:$FB,97)</f>
        <v>168</v>
      </c>
      <c r="M181" s="92">
        <f>VLOOKUP($A181,'Data Vlaue (Cr)'!$C:$FB,98)</f>
        <v>0.38700000000000001</v>
      </c>
      <c r="N181" s="91">
        <f>VLOOKUP($A181,'Data Vlaue (Cr)'!$C:$FB,79)</f>
        <v>1247</v>
      </c>
      <c r="O181" s="92">
        <f>VLOOKUP($A181,'Data Vlaue (Cr)'!$C:$FB,82)</f>
        <v>-4.6899999999999997E-2</v>
      </c>
    </row>
    <row r="182" spans="1:15" x14ac:dyDescent="0.25">
      <c r="A182" s="97" t="str">
        <f>'Data Vlaue (Cr)'!C177</f>
        <v>SBICARD</v>
      </c>
      <c r="B182" s="142">
        <f>VLOOKUP(A182,'Data Vlaue (Cr)'!C177:CW390,99,0)</f>
        <v>2329</v>
      </c>
      <c r="C182" s="90">
        <f>VLOOKUP(A182,'Data Vlaue (Cr)'!C177:CY390,101,0)</f>
        <v>63</v>
      </c>
      <c r="D182" s="139">
        <f>VLOOKUP(A182,'Data Vlaue (Cr)'!C177:CZ390,102,0)</f>
        <v>2.7900000000000001E-2</v>
      </c>
      <c r="E182" s="91">
        <f>VLOOKUP($A182,'Data Vlaue (Cr)'!$C:$FB,75)</f>
        <v>1414</v>
      </c>
      <c r="F182" s="91">
        <f>VLOOKUP($A182,'Data Vlaue (Cr)'!$C:$FB,77)</f>
        <v>25</v>
      </c>
      <c r="G182" s="92">
        <f>VLOOKUP(A182,'Data Vlaue (Cr)'!C177:CB390,78,0)</f>
        <v>1.78E-2</v>
      </c>
      <c r="H182" s="91">
        <f>VLOOKUP($A182,'Data Vlaue (Cr)'!$C:$FB,91)</f>
        <v>551</v>
      </c>
      <c r="I182" s="91">
        <f>VLOOKUP($A182,'Data Vlaue (Cr)'!$C:$FB,93)</f>
        <v>36</v>
      </c>
      <c r="J182" s="92">
        <f>VLOOKUP($A182,'Data Vlaue (Cr)'!$C:$FB,94)</f>
        <v>6.9199999999999998E-2</v>
      </c>
      <c r="K182" s="91">
        <f>VLOOKUP($A182,'Data Vlaue (Cr)'!$C:$FB,95)</f>
        <v>364</v>
      </c>
      <c r="L182" s="91">
        <f>VLOOKUP($A182,'Data Vlaue (Cr)'!$C:$FB,97)</f>
        <v>3</v>
      </c>
      <c r="M182" s="92">
        <f>VLOOKUP($A182,'Data Vlaue (Cr)'!$C:$FB,98)</f>
        <v>7.7999999999999996E-3</v>
      </c>
      <c r="N182" s="91">
        <f>VLOOKUP($A182,'Data Vlaue (Cr)'!$C:$FB,79)</f>
        <v>1296</v>
      </c>
      <c r="O182" s="92">
        <f>VLOOKUP($A182,'Data Vlaue (Cr)'!$C:$FB,82)</f>
        <v>9.5999999999999992E-3</v>
      </c>
    </row>
    <row r="183" spans="1:15" x14ac:dyDescent="0.25">
      <c r="A183" s="97" t="str">
        <f>'Data Vlaue (Cr)'!C178</f>
        <v>SBILIFE</v>
      </c>
      <c r="B183" s="142">
        <f>VLOOKUP(A183,'Data Vlaue (Cr)'!C178:CW391,99,0)</f>
        <v>2913</v>
      </c>
      <c r="C183" s="90">
        <f>VLOOKUP(A183,'Data Vlaue (Cr)'!C178:CY391,101,0)</f>
        <v>-129</v>
      </c>
      <c r="D183" s="139">
        <f>VLOOKUP(A183,'Data Vlaue (Cr)'!C178:CZ391,102,0)</f>
        <v>-4.24E-2</v>
      </c>
      <c r="E183" s="91">
        <f>VLOOKUP($A183,'Data Vlaue (Cr)'!$C:$FB,75)</f>
        <v>1595</v>
      </c>
      <c r="F183" s="91">
        <f>VLOOKUP($A183,'Data Vlaue (Cr)'!$C:$FB,77)</f>
        <v>-11</v>
      </c>
      <c r="G183" s="92">
        <f>VLOOKUP(A183,'Data Vlaue (Cr)'!C178:CB391,78,0)</f>
        <v>-7.0000000000000001E-3</v>
      </c>
      <c r="H183" s="91">
        <f>VLOOKUP($A183,'Data Vlaue (Cr)'!$C:$FB,91)</f>
        <v>889</v>
      </c>
      <c r="I183" s="91">
        <f>VLOOKUP($A183,'Data Vlaue (Cr)'!$C:$FB,93)</f>
        <v>-51</v>
      </c>
      <c r="J183" s="92">
        <f>VLOOKUP($A183,'Data Vlaue (Cr)'!$C:$FB,94)</f>
        <v>-5.3800000000000001E-2</v>
      </c>
      <c r="K183" s="91">
        <f>VLOOKUP($A183,'Data Vlaue (Cr)'!$C:$FB,95)</f>
        <v>428</v>
      </c>
      <c r="L183" s="91">
        <f>VLOOKUP($A183,'Data Vlaue (Cr)'!$C:$FB,97)</f>
        <v>-67</v>
      </c>
      <c r="M183" s="92">
        <f>VLOOKUP($A183,'Data Vlaue (Cr)'!$C:$FB,98)</f>
        <v>-0.13539999999999999</v>
      </c>
      <c r="N183" s="91">
        <f>VLOOKUP($A183,'Data Vlaue (Cr)'!$C:$FB,79)</f>
        <v>1508</v>
      </c>
      <c r="O183" s="92">
        <f>VLOOKUP($A183,'Data Vlaue (Cr)'!$C:$FB,82)</f>
        <v>-1.78E-2</v>
      </c>
    </row>
    <row r="184" spans="1:15" x14ac:dyDescent="0.25">
      <c r="A184" s="97" t="str">
        <f>'Data Vlaue (Cr)'!C179</f>
        <v>SBIN</v>
      </c>
      <c r="B184" s="142">
        <f>VLOOKUP(A184,'Data Vlaue (Cr)'!C179:CW392,99,0)</f>
        <v>15274</v>
      </c>
      <c r="C184" s="90">
        <f>VLOOKUP(A184,'Data Vlaue (Cr)'!C179:CY392,101,0)</f>
        <v>-489</v>
      </c>
      <c r="D184" s="139">
        <f>VLOOKUP(A184,'Data Vlaue (Cr)'!C179:CZ392,102,0)</f>
        <v>-3.1E-2</v>
      </c>
      <c r="E184" s="91">
        <f>VLOOKUP($A184,'Data Vlaue (Cr)'!$C:$FB,75)</f>
        <v>7230</v>
      </c>
      <c r="F184" s="91">
        <f>VLOOKUP($A184,'Data Vlaue (Cr)'!$C:$FB,77)</f>
        <v>-152</v>
      </c>
      <c r="G184" s="92">
        <f>VLOOKUP(A184,'Data Vlaue (Cr)'!C179:CB392,78,0)</f>
        <v>-2.06E-2</v>
      </c>
      <c r="H184" s="91">
        <f>VLOOKUP($A184,'Data Vlaue (Cr)'!$C:$FB,91)</f>
        <v>4718</v>
      </c>
      <c r="I184" s="91">
        <f>VLOOKUP($A184,'Data Vlaue (Cr)'!$C:$FB,93)</f>
        <v>-498</v>
      </c>
      <c r="J184" s="92">
        <f>VLOOKUP($A184,'Data Vlaue (Cr)'!$C:$FB,94)</f>
        <v>-9.5600000000000004E-2</v>
      </c>
      <c r="K184" s="91">
        <f>VLOOKUP($A184,'Data Vlaue (Cr)'!$C:$FB,95)</f>
        <v>3327</v>
      </c>
      <c r="L184" s="91">
        <f>VLOOKUP($A184,'Data Vlaue (Cr)'!$C:$FB,97)</f>
        <v>161</v>
      </c>
      <c r="M184" s="92">
        <f>VLOOKUP($A184,'Data Vlaue (Cr)'!$C:$FB,98)</f>
        <v>5.0900000000000001E-2</v>
      </c>
      <c r="N184" s="91">
        <f>VLOOKUP($A184,'Data Vlaue (Cr)'!$C:$FB,79)</f>
        <v>5895</v>
      </c>
      <c r="O184" s="92">
        <f>VLOOKUP($A184,'Data Vlaue (Cr)'!$C:$FB,82)</f>
        <v>-5.9799999999999999E-2</v>
      </c>
    </row>
    <row r="185" spans="1:15" x14ac:dyDescent="0.25">
      <c r="A185" s="97" t="str">
        <f>'Data Vlaue (Cr)'!C180</f>
        <v>SHREECEM</v>
      </c>
      <c r="B185" s="142">
        <f>VLOOKUP(A185,'Data Vlaue (Cr)'!C180:CW393,99,0)</f>
        <v>1370</v>
      </c>
      <c r="C185" s="90">
        <f>VLOOKUP(A185,'Data Vlaue (Cr)'!C180:CY393,101,0)</f>
        <v>-18</v>
      </c>
      <c r="D185" s="139">
        <f>VLOOKUP(A185,'Data Vlaue (Cr)'!C180:CZ393,102,0)</f>
        <v>-1.3100000000000001E-2</v>
      </c>
      <c r="E185" s="91">
        <f>VLOOKUP($A185,'Data Vlaue (Cr)'!$C:$FB,75)</f>
        <v>849</v>
      </c>
      <c r="F185" s="91">
        <f>VLOOKUP($A185,'Data Vlaue (Cr)'!$C:$FB,77)</f>
        <v>14</v>
      </c>
      <c r="G185" s="92">
        <f>VLOOKUP(A185,'Data Vlaue (Cr)'!C180:CB393,78,0)</f>
        <v>1.72E-2</v>
      </c>
      <c r="H185" s="91">
        <f>VLOOKUP($A185,'Data Vlaue (Cr)'!$C:$FB,91)</f>
        <v>362</v>
      </c>
      <c r="I185" s="91">
        <f>VLOOKUP($A185,'Data Vlaue (Cr)'!$C:$FB,93)</f>
        <v>-29</v>
      </c>
      <c r="J185" s="92">
        <f>VLOOKUP($A185,'Data Vlaue (Cr)'!$C:$FB,94)</f>
        <v>-7.4899999999999994E-2</v>
      </c>
      <c r="K185" s="91">
        <f>VLOOKUP($A185,'Data Vlaue (Cr)'!$C:$FB,95)</f>
        <v>159</v>
      </c>
      <c r="L185" s="91">
        <f>VLOOKUP($A185,'Data Vlaue (Cr)'!$C:$FB,97)</f>
        <v>-3</v>
      </c>
      <c r="M185" s="92">
        <f>VLOOKUP($A185,'Data Vlaue (Cr)'!$C:$FB,98)</f>
        <v>-1.9699999999999999E-2</v>
      </c>
      <c r="N185" s="91">
        <f>VLOOKUP($A185,'Data Vlaue (Cr)'!$C:$FB,79)</f>
        <v>760</v>
      </c>
      <c r="O185" s="92">
        <f>VLOOKUP($A185,'Data Vlaue (Cr)'!$C:$FB,82)</f>
        <v>1.37E-2</v>
      </c>
    </row>
    <row r="186" spans="1:15" x14ac:dyDescent="0.25">
      <c r="A186" s="97" t="str">
        <f>'Data Vlaue (Cr)'!C181</f>
        <v>SHRIRAMFIN</v>
      </c>
      <c r="B186" s="142">
        <f>VLOOKUP(A186,'Data Vlaue (Cr)'!C181:CW394,99,0)</f>
        <v>8936</v>
      </c>
      <c r="C186" s="90">
        <f>VLOOKUP(A186,'Data Vlaue (Cr)'!C181:CY394,101,0)</f>
        <v>535</v>
      </c>
      <c r="D186" s="139">
        <f>VLOOKUP(A186,'Data Vlaue (Cr)'!C181:CZ394,102,0)</f>
        <v>6.3700000000000007E-2</v>
      </c>
      <c r="E186" s="91">
        <f>VLOOKUP($A186,'Data Vlaue (Cr)'!$C:$FB,75)</f>
        <v>5879</v>
      </c>
      <c r="F186" s="91">
        <f>VLOOKUP($A186,'Data Vlaue (Cr)'!$C:$FB,77)</f>
        <v>99</v>
      </c>
      <c r="G186" s="92">
        <f>VLOOKUP(A186,'Data Vlaue (Cr)'!C181:CB394,78,0)</f>
        <v>1.7100000000000001E-2</v>
      </c>
      <c r="H186" s="91">
        <f>VLOOKUP($A186,'Data Vlaue (Cr)'!$C:$FB,91)</f>
        <v>1946</v>
      </c>
      <c r="I186" s="91">
        <f>VLOOKUP($A186,'Data Vlaue (Cr)'!$C:$FB,93)</f>
        <v>306</v>
      </c>
      <c r="J186" s="92">
        <f>VLOOKUP($A186,'Data Vlaue (Cr)'!$C:$FB,94)</f>
        <v>0.18659999999999999</v>
      </c>
      <c r="K186" s="91">
        <f>VLOOKUP($A186,'Data Vlaue (Cr)'!$C:$FB,95)</f>
        <v>1111</v>
      </c>
      <c r="L186" s="91">
        <f>VLOOKUP($A186,'Data Vlaue (Cr)'!$C:$FB,97)</f>
        <v>131</v>
      </c>
      <c r="M186" s="92">
        <f>VLOOKUP($A186,'Data Vlaue (Cr)'!$C:$FB,98)</f>
        <v>0.13320000000000001</v>
      </c>
      <c r="N186" s="91">
        <f>VLOOKUP($A186,'Data Vlaue (Cr)'!$C:$FB,79)</f>
        <v>5541</v>
      </c>
      <c r="O186" s="92">
        <f>VLOOKUP($A186,'Data Vlaue (Cr)'!$C:$FB,82)</f>
        <v>3.3E-3</v>
      </c>
    </row>
    <row r="187" spans="1:15" x14ac:dyDescent="0.25">
      <c r="A187" s="97" t="str">
        <f>'Data Vlaue (Cr)'!C182</f>
        <v>SIEMENS</v>
      </c>
      <c r="B187" s="142">
        <f>VLOOKUP(A187,'Data Vlaue (Cr)'!C182:CW395,99,0)</f>
        <v>2069</v>
      </c>
      <c r="C187" s="90">
        <f>VLOOKUP(A187,'Data Vlaue (Cr)'!C182:CY395,101,0)</f>
        <v>-23</v>
      </c>
      <c r="D187" s="139">
        <f>VLOOKUP(A187,'Data Vlaue (Cr)'!C182:CZ395,102,0)</f>
        <v>-1.09E-2</v>
      </c>
      <c r="E187" s="91">
        <f>VLOOKUP($A187,'Data Vlaue (Cr)'!$C:$FB,75)</f>
        <v>965</v>
      </c>
      <c r="F187" s="91">
        <f>VLOOKUP($A187,'Data Vlaue (Cr)'!$C:$FB,77)</f>
        <v>-20</v>
      </c>
      <c r="G187" s="92">
        <f>VLOOKUP(A187,'Data Vlaue (Cr)'!C182:CB395,78,0)</f>
        <v>-2.07E-2</v>
      </c>
      <c r="H187" s="91">
        <f>VLOOKUP($A187,'Data Vlaue (Cr)'!$C:$FB,91)</f>
        <v>725</v>
      </c>
      <c r="I187" s="91">
        <f>VLOOKUP($A187,'Data Vlaue (Cr)'!$C:$FB,93)</f>
        <v>-6</v>
      </c>
      <c r="J187" s="92">
        <f>VLOOKUP($A187,'Data Vlaue (Cr)'!$C:$FB,94)</f>
        <v>-8.2000000000000007E-3</v>
      </c>
      <c r="K187" s="91">
        <f>VLOOKUP($A187,'Data Vlaue (Cr)'!$C:$FB,95)</f>
        <v>380</v>
      </c>
      <c r="L187" s="91">
        <f>VLOOKUP($A187,'Data Vlaue (Cr)'!$C:$FB,97)</f>
        <v>4</v>
      </c>
      <c r="M187" s="92">
        <f>VLOOKUP($A187,'Data Vlaue (Cr)'!$C:$FB,98)</f>
        <v>9.5999999999999992E-3</v>
      </c>
      <c r="N187" s="91">
        <f>VLOOKUP($A187,'Data Vlaue (Cr)'!$C:$FB,79)</f>
        <v>856</v>
      </c>
      <c r="O187" s="92">
        <f>VLOOKUP($A187,'Data Vlaue (Cr)'!$C:$FB,82)</f>
        <v>-2.3400000000000001E-2</v>
      </c>
    </row>
    <row r="188" spans="1:15" x14ac:dyDescent="0.25">
      <c r="A188" s="97" t="str">
        <f>'Data Vlaue (Cr)'!C183</f>
        <v>SOLARINDS</v>
      </c>
      <c r="B188" s="142">
        <f>VLOOKUP(A188,'Data Vlaue (Cr)'!C183:CW396,99,0)</f>
        <v>2563</v>
      </c>
      <c r="C188" s="90">
        <f>VLOOKUP(A188,'Data Vlaue (Cr)'!C183:CY396,101,0)</f>
        <v>70</v>
      </c>
      <c r="D188" s="139">
        <f>VLOOKUP(A188,'Data Vlaue (Cr)'!C183:CZ396,102,0)</f>
        <v>2.81E-2</v>
      </c>
      <c r="E188" s="91">
        <f>VLOOKUP($A188,'Data Vlaue (Cr)'!$C:$FB,75)</f>
        <v>1201</v>
      </c>
      <c r="F188" s="91">
        <f>VLOOKUP($A188,'Data Vlaue (Cr)'!$C:$FB,77)</f>
        <v>10</v>
      </c>
      <c r="G188" s="92">
        <f>VLOOKUP(A188,'Data Vlaue (Cr)'!C183:CB396,78,0)</f>
        <v>8.2000000000000007E-3</v>
      </c>
      <c r="H188" s="91">
        <f>VLOOKUP($A188,'Data Vlaue (Cr)'!$C:$FB,91)</f>
        <v>987</v>
      </c>
      <c r="I188" s="91">
        <f>VLOOKUP($A188,'Data Vlaue (Cr)'!$C:$FB,93)</f>
        <v>36</v>
      </c>
      <c r="J188" s="92">
        <f>VLOOKUP($A188,'Data Vlaue (Cr)'!$C:$FB,94)</f>
        <v>3.7999999999999999E-2</v>
      </c>
      <c r="K188" s="91">
        <f>VLOOKUP($A188,'Data Vlaue (Cr)'!$C:$FB,95)</f>
        <v>375</v>
      </c>
      <c r="L188" s="91">
        <f>VLOOKUP($A188,'Data Vlaue (Cr)'!$C:$FB,97)</f>
        <v>24</v>
      </c>
      <c r="M188" s="92">
        <f>VLOOKUP($A188,'Data Vlaue (Cr)'!$C:$FB,98)</f>
        <v>6.93E-2</v>
      </c>
      <c r="N188" s="91">
        <f>VLOOKUP($A188,'Data Vlaue (Cr)'!$C:$FB,79)</f>
        <v>1099</v>
      </c>
      <c r="O188" s="92">
        <f>VLOOKUP($A188,'Data Vlaue (Cr)'!$C:$FB,82)</f>
        <v>4.0000000000000001E-3</v>
      </c>
    </row>
    <row r="189" spans="1:15" x14ac:dyDescent="0.25">
      <c r="A189" s="97" t="str">
        <f>'Data Vlaue (Cr)'!C215</f>
        <v>ZYDUSLIFE</v>
      </c>
      <c r="B189" s="142">
        <f>VLOOKUP(A189,'Data Vlaue (Cr)'!C215:CW397,99,0)</f>
        <v>1738</v>
      </c>
      <c r="C189" s="90">
        <f>VLOOKUP(A189,'Data Vlaue (Cr)'!C215:CY397,101,0)</f>
        <v>-9</v>
      </c>
      <c r="D189" s="139">
        <f>VLOOKUP(A189,'Data Vlaue (Cr)'!C215:CZ397,102,0)</f>
        <v>-5.1999999999999998E-3</v>
      </c>
      <c r="E189" s="91">
        <f>VLOOKUP($A189,'Data Vlaue (Cr)'!$C:$FB,75)</f>
        <v>1039</v>
      </c>
      <c r="F189" s="91">
        <f>VLOOKUP($A189,'Data Vlaue (Cr)'!$C:$FB,77)</f>
        <v>9</v>
      </c>
      <c r="G189" s="92">
        <f>VLOOKUP(A189,'Data Vlaue (Cr)'!C215:CB397,78,0)</f>
        <v>8.6E-3</v>
      </c>
      <c r="H189" s="91">
        <f>VLOOKUP($A189,'Data Vlaue (Cr)'!$C:$FB,91)</f>
        <v>403</v>
      </c>
      <c r="I189" s="91">
        <f>VLOOKUP($A189,'Data Vlaue (Cr)'!$C:$FB,93)</f>
        <v>-18</v>
      </c>
      <c r="J189" s="92">
        <f>VLOOKUP($A189,'Data Vlaue (Cr)'!$C:$FB,94)</f>
        <v>-4.2900000000000001E-2</v>
      </c>
      <c r="K189" s="91">
        <f>VLOOKUP($A189,'Data Vlaue (Cr)'!$C:$FB,95)</f>
        <v>297</v>
      </c>
      <c r="L189" s="91">
        <f>VLOOKUP($A189,'Data Vlaue (Cr)'!$C:$FB,97)</f>
        <v>0</v>
      </c>
      <c r="M189" s="92">
        <f>VLOOKUP($A189,'Data Vlaue (Cr)'!$C:$FB,98)</f>
        <v>2.9999999999999997E-4</v>
      </c>
      <c r="N189" s="91">
        <f>VLOOKUP($A189,'Data Vlaue (Cr)'!$C:$FB,79)</f>
        <v>970</v>
      </c>
      <c r="O189" s="92">
        <f>VLOOKUP($A189,'Data Vlaue (Cr)'!$C:$FB,82)</f>
        <v>4.1999999999999997E-3</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2248096</v>
      </c>
      <c r="C210" s="123">
        <f>SUM(C7:C209)</f>
        <v>-479279</v>
      </c>
      <c r="D210" s="124">
        <f>'Snapshot (Value)'!K225</f>
        <v>-0.17572783460702632</v>
      </c>
      <c r="E210" s="123">
        <f>SUM(E7:E209)</f>
        <v>508871</v>
      </c>
      <c r="F210" s="123">
        <f>SUM(F7:F209)</f>
        <v>4085</v>
      </c>
      <c r="G210" s="149">
        <f>F210*100/(E210-F210)</f>
        <v>0.80925382241187349</v>
      </c>
      <c r="H210" s="123">
        <f>SUM(H7:H209)</f>
        <v>1007349</v>
      </c>
      <c r="I210" s="123">
        <f>SUM(I7:I209)</f>
        <v>202476</v>
      </c>
      <c r="J210" s="149">
        <f>I210/(H210-I210)</f>
        <v>0.25156266889310486</v>
      </c>
      <c r="K210" s="123">
        <f>SUM(K7:K209)</f>
        <v>731883</v>
      </c>
      <c r="L210" s="123">
        <f>SUM(L7:L209)</f>
        <v>90427</v>
      </c>
      <c r="M210" s="149">
        <f>L210/(K210-L210)</f>
        <v>0.14097147738894017</v>
      </c>
      <c r="N210" s="123">
        <f>SUM(N7:N209)</f>
        <v>457343</v>
      </c>
      <c r="O210" s="149">
        <f>(N210-FII!V2)/N210</f>
        <v>-0.14747355923234859</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508871</v>
      </c>
      <c r="C217" s="37">
        <f>F210</f>
        <v>4085</v>
      </c>
      <c r="D217" s="39">
        <f>C217/B217</f>
        <v>8.0275747684580186E-3</v>
      </c>
    </row>
    <row r="218" spans="1:15" x14ac:dyDescent="0.25">
      <c r="A218" s="36" t="s">
        <v>404</v>
      </c>
      <c r="B218" s="37">
        <f>H210</f>
        <v>1007349</v>
      </c>
      <c r="C218" s="37">
        <f>I210</f>
        <v>202476</v>
      </c>
      <c r="D218" s="150">
        <f>C218/B218</f>
        <v>0.20099885938239875</v>
      </c>
    </row>
    <row r="219" spans="1:15" x14ac:dyDescent="0.25">
      <c r="A219" s="36" t="s">
        <v>405</v>
      </c>
      <c r="B219" s="37">
        <f>K210</f>
        <v>731883</v>
      </c>
      <c r="C219" s="37">
        <f>L210</f>
        <v>90427</v>
      </c>
      <c r="D219" s="150">
        <f>C219/B219</f>
        <v>0.12355390137494654</v>
      </c>
    </row>
    <row r="220" spans="1:15" x14ac:dyDescent="0.25">
      <c r="A220" s="36" t="s">
        <v>406</v>
      </c>
      <c r="B220" s="37">
        <f>B217+B218+B219</f>
        <v>2248103</v>
      </c>
      <c r="C220" s="37">
        <f>C217+C218+C219</f>
        <v>296988</v>
      </c>
      <c r="D220" s="150">
        <f>C220/B220</f>
        <v>0.13210604674252024</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46008</v>
      </c>
      <c r="C6" s="3">
        <f>B6</f>
        <v>46008</v>
      </c>
      <c r="D6" s="94" t="s">
        <v>328</v>
      </c>
      <c r="E6" s="3">
        <f>B6</f>
        <v>46008</v>
      </c>
      <c r="F6" s="94" t="s">
        <v>322</v>
      </c>
      <c r="G6" s="94" t="s">
        <v>328</v>
      </c>
      <c r="H6" s="3">
        <f>E6</f>
        <v>46008</v>
      </c>
      <c r="I6" s="94" t="s">
        <v>322</v>
      </c>
      <c r="J6" s="94" t="s">
        <v>328</v>
      </c>
    </row>
    <row r="7" spans="1:10" x14ac:dyDescent="0.25">
      <c r="A7" s="101" t="e">
        <f>'NIFTY GRP'!#REF!</f>
        <v>#REF!</v>
      </c>
      <c r="B7" s="140" t="e">
        <f>VLOOKUP($A7,'Data shares'!$C:$FA,7)</f>
        <v>#REF!</v>
      </c>
      <c r="C7" s="140" t="e">
        <f>VLOOKUP($A7,'Data shares'!$C:$FA,3)</f>
        <v>#REF!</v>
      </c>
      <c r="D7" s="50" t="e">
        <f>VLOOKUP($A7,'Data shares'!$C:$FA,6)*100</f>
        <v>#REF!</v>
      </c>
      <c r="E7" s="51" t="e">
        <f>VLOOKUP($A7,'Data shares'!$C:$FA,98)</f>
        <v>#REF!</v>
      </c>
      <c r="F7" s="51" t="e">
        <f>VLOOKUP($A7,'Data shares'!$C:$FA,99)</f>
        <v>#REF!</v>
      </c>
      <c r="G7" s="50" t="e">
        <f>VLOOKUP($A7,'Data shares'!$C:$FA,101)*100</f>
        <v>#REF!</v>
      </c>
      <c r="H7" s="49" t="e">
        <f>VLOOKUP($A7,'Data Vlaue (Cr)'!$C:$FB,99)</f>
        <v>#REF!</v>
      </c>
      <c r="I7" s="49" t="e">
        <f>VLOOKUP($A7,'Data Vlaue (Cr)'!$C:$FB,100)</f>
        <v>#REF!</v>
      </c>
      <c r="J7" s="49" t="e">
        <f>VLOOKUP($A7,'Data Vlaue (Cr)'!$C:$FB,102)*100</f>
        <v>#REF!</v>
      </c>
    </row>
    <row r="8" spans="1:10" x14ac:dyDescent="0.25">
      <c r="A8" s="101" t="e">
        <f>'NIFTY GRP'!#REF!</f>
        <v>#REF!</v>
      </c>
      <c r="B8" s="140" t="e">
        <f>VLOOKUP($A8,'Data shares'!$C:$FA,7)</f>
        <v>#REF!</v>
      </c>
      <c r="C8" s="140" t="e">
        <f>VLOOKUP($A8,'Data shares'!$C:$FA,3)</f>
        <v>#REF!</v>
      </c>
      <c r="D8" s="50" t="e">
        <f>VLOOKUP($A8,'Data shares'!$C:$FA,6)*100</f>
        <v>#REF!</v>
      </c>
      <c r="E8" s="51" t="e">
        <f>VLOOKUP($A8,'Data shares'!$C:$FA,98)</f>
        <v>#REF!</v>
      </c>
      <c r="F8" s="51" t="e">
        <f>VLOOKUP($A8,'Data shares'!$C:$FA,99)</f>
        <v>#REF!</v>
      </c>
      <c r="G8" s="50" t="e">
        <f>VLOOKUP($A8,'Data shares'!$C:$FA,101)*100</f>
        <v>#REF!</v>
      </c>
      <c r="H8" s="49" t="e">
        <f>VLOOKUP($A8,'Data Vlaue (Cr)'!$C:$FB,99)</f>
        <v>#REF!</v>
      </c>
      <c r="I8" s="49" t="e">
        <f>VLOOKUP($A8,'Data Vlaue (Cr)'!$C:$FB,100)</f>
        <v>#REF!</v>
      </c>
      <c r="J8" s="49" t="e">
        <f>VLOOKUP($A8,'Data Vlaue (Cr)'!$C:$FB,102)*100</f>
        <v>#REF!</v>
      </c>
    </row>
    <row r="9" spans="1:10" x14ac:dyDescent="0.25">
      <c r="A9" s="101" t="e">
        <f>'NIFTY GRP'!#REF!</f>
        <v>#REF!</v>
      </c>
      <c r="B9" s="140" t="e">
        <f>VLOOKUP($A9,'Data shares'!$C:$FA,7)</f>
        <v>#REF!</v>
      </c>
      <c r="C9" s="140" t="e">
        <f>VLOOKUP($A9,'Data shares'!$C:$FA,3)</f>
        <v>#REF!</v>
      </c>
      <c r="D9" s="50" t="e">
        <f>VLOOKUP($A9,'Data shares'!$C:$FA,6)*100</f>
        <v>#REF!</v>
      </c>
      <c r="E9" s="51" t="e">
        <f>VLOOKUP($A9,'Data shares'!$C:$FA,98)</f>
        <v>#REF!</v>
      </c>
      <c r="F9" s="51" t="e">
        <f>VLOOKUP($A9,'Data shares'!$C:$FA,99)</f>
        <v>#REF!</v>
      </c>
      <c r="G9" s="50" t="e">
        <f>VLOOKUP($A9,'Data shares'!$C:$FA,101)*100</f>
        <v>#REF!</v>
      </c>
      <c r="H9" s="49" t="e">
        <f>VLOOKUP($A9,'Data Vlaue (Cr)'!$C:$FB,99)</f>
        <v>#REF!</v>
      </c>
      <c r="I9" s="49" t="e">
        <f>VLOOKUP($A9,'Data Vlaue (Cr)'!$C:$FB,100)</f>
        <v>#REF!</v>
      </c>
      <c r="J9" s="49" t="e">
        <f>VLOOKUP($A9,'Data Vlaue (Cr)'!$C:$FB,102)*100</f>
        <v>#REF!</v>
      </c>
    </row>
    <row r="10" spans="1:10" x14ac:dyDescent="0.25">
      <c r="A10" s="101" t="e">
        <f>'NIFTY GRP'!#REF!</f>
        <v>#REF!</v>
      </c>
      <c r="B10" s="140" t="e">
        <f>VLOOKUP($A10,'Data shares'!$C:$FA,7)</f>
        <v>#REF!</v>
      </c>
      <c r="C10" s="140" t="e">
        <f>VLOOKUP($A10,'Data shares'!$C:$FA,3)</f>
        <v>#REF!</v>
      </c>
      <c r="D10" s="50" t="e">
        <f>VLOOKUP($A10,'Data shares'!$C:$FA,6)*100</f>
        <v>#REF!</v>
      </c>
      <c r="E10" s="51" t="e">
        <f>VLOOKUP($A10,'Data shares'!$C:$FA,98)</f>
        <v>#REF!</v>
      </c>
      <c r="F10" s="51" t="e">
        <f>VLOOKUP($A10,'Data shares'!$C:$FA,99)</f>
        <v>#REF!</v>
      </c>
      <c r="G10" s="50" t="e">
        <f>VLOOKUP($A10,'Data shares'!$C:$FA,101)*100</f>
        <v>#REF!</v>
      </c>
      <c r="H10" s="49" t="e">
        <f>VLOOKUP($A10,'Data Vlaue (Cr)'!$C:$FB,99)</f>
        <v>#REF!</v>
      </c>
      <c r="I10" s="49" t="e">
        <f>VLOOKUP($A10,'Data Vlaue (Cr)'!$C:$FB,100)</f>
        <v>#REF!</v>
      </c>
      <c r="J10" s="49" t="e">
        <f>VLOOKUP($A10,'Data Vlaue (Cr)'!$C:$FB,102)*100</f>
        <v>#REF!</v>
      </c>
    </row>
    <row r="11" spans="1:10" x14ac:dyDescent="0.25">
      <c r="A11" s="101" t="e">
        <f>'NIFTY GRP'!#REF!</f>
        <v>#REF!</v>
      </c>
      <c r="B11" s="140" t="e">
        <f>VLOOKUP($A11,'Data shares'!$C:$FA,7)</f>
        <v>#REF!</v>
      </c>
      <c r="C11" s="140" t="e">
        <f>VLOOKUP($A11,'Data shares'!$C:$FA,3)</f>
        <v>#REF!</v>
      </c>
      <c r="D11" s="50" t="e">
        <f>VLOOKUP($A11,'Data shares'!$C:$FA,6)*100</f>
        <v>#REF!</v>
      </c>
      <c r="E11" s="51" t="e">
        <f>VLOOKUP($A11,'Data shares'!$C:$FA,98)</f>
        <v>#REF!</v>
      </c>
      <c r="F11" s="51" t="e">
        <f>VLOOKUP($A11,'Data shares'!$C:$FA,99)</f>
        <v>#REF!</v>
      </c>
      <c r="G11" s="50" t="e">
        <f>VLOOKUP($A11,'Data shares'!$C:$FA,101)*100</f>
        <v>#REF!</v>
      </c>
      <c r="H11" s="49" t="e">
        <f>VLOOKUP($A11,'Data Vlaue (Cr)'!$C:$FB,99)</f>
        <v>#REF!</v>
      </c>
      <c r="I11" s="49" t="e">
        <f>VLOOKUP($A11,'Data Vlaue (Cr)'!$C:$FB,100)</f>
        <v>#REF!</v>
      </c>
      <c r="J11" s="49" t="e">
        <f>VLOOKUP($A11,'Data Vlaue (Cr)'!$C:$FB,102)*100</f>
        <v>#REF!</v>
      </c>
    </row>
    <row r="12" spans="1:10" x14ac:dyDescent="0.25">
      <c r="A12" s="101" t="e">
        <f>'NIFTY GRP'!#REF!</f>
        <v>#REF!</v>
      </c>
      <c r="B12" s="140" t="e">
        <f>VLOOKUP($A12,'Data shares'!$C:$FA,7)</f>
        <v>#REF!</v>
      </c>
      <c r="C12" s="140" t="e">
        <f>VLOOKUP($A12,'Data shares'!$C:$FA,3)</f>
        <v>#REF!</v>
      </c>
      <c r="D12" s="50" t="e">
        <f>VLOOKUP($A12,'Data shares'!$C:$FA,6)*100</f>
        <v>#REF!</v>
      </c>
      <c r="E12" s="51" t="e">
        <f>VLOOKUP($A12,'Data shares'!$C:$FA,98)</f>
        <v>#REF!</v>
      </c>
      <c r="F12" s="51" t="e">
        <f>VLOOKUP($A12,'Data shares'!$C:$FA,99)</f>
        <v>#REF!</v>
      </c>
      <c r="G12" s="50" t="e">
        <f>VLOOKUP($A12,'Data shares'!$C:$FA,101)*100</f>
        <v>#REF!</v>
      </c>
      <c r="H12" s="49" t="e">
        <f>VLOOKUP($A12,'Data Vlaue (Cr)'!$C:$FB,99)</f>
        <v>#REF!</v>
      </c>
      <c r="I12" s="49" t="e">
        <f>VLOOKUP($A12,'Data Vlaue (Cr)'!$C:$FB,100)</f>
        <v>#REF!</v>
      </c>
      <c r="J12" s="49" t="e">
        <f>VLOOKUP($A12,'Data Vlaue (Cr)'!$C:$FB,102)*100</f>
        <v>#REF!</v>
      </c>
    </row>
    <row r="13" spans="1:10" x14ac:dyDescent="0.25">
      <c r="A13" s="101" t="e">
        <f>'NIFTY GRP'!#REF!</f>
        <v>#REF!</v>
      </c>
      <c r="B13" s="140" t="e">
        <f>VLOOKUP($A13,'Data shares'!$C:$FA,7)</f>
        <v>#REF!</v>
      </c>
      <c r="C13" s="140" t="e">
        <f>VLOOKUP($A13,'Data shares'!$C:$FA,3)</f>
        <v>#REF!</v>
      </c>
      <c r="D13" s="50" t="e">
        <f>VLOOKUP($A13,'Data shares'!$C:$FA,6)*100</f>
        <v>#REF!</v>
      </c>
      <c r="E13" s="51" t="e">
        <f>VLOOKUP($A13,'Data shares'!$C:$FA,98)</f>
        <v>#REF!</v>
      </c>
      <c r="F13" s="51" t="e">
        <f>VLOOKUP($A13,'Data shares'!$C:$FA,99)</f>
        <v>#REF!</v>
      </c>
      <c r="G13" s="50" t="e">
        <f>VLOOKUP($A13,'Data shares'!$C:$FA,101)*100</f>
        <v>#REF!</v>
      </c>
      <c r="H13" s="49" t="e">
        <f>VLOOKUP($A13,'Data Vlaue (Cr)'!$C:$FB,99)</f>
        <v>#REF!</v>
      </c>
      <c r="I13" s="49" t="e">
        <f>VLOOKUP($A13,'Data Vlaue (Cr)'!$C:$FB,100)</f>
        <v>#REF!</v>
      </c>
      <c r="J13" s="49" t="e">
        <f>VLOOKUP($A13,'Data Vlaue (Cr)'!$C:$FB,102)*100</f>
        <v>#REF!</v>
      </c>
    </row>
    <row r="14" spans="1:10" x14ac:dyDescent="0.25">
      <c r="A14" s="101" t="e">
        <f>'NIFTY GRP'!#REF!</f>
        <v>#REF!</v>
      </c>
      <c r="B14" s="140" t="e">
        <f>VLOOKUP($A14,'Data shares'!$C:$FA,7)</f>
        <v>#REF!</v>
      </c>
      <c r="C14" s="140" t="e">
        <f>VLOOKUP($A14,'Data shares'!$C:$FA,3)</f>
        <v>#REF!</v>
      </c>
      <c r="D14" s="50" t="e">
        <f>VLOOKUP($A14,'Data shares'!$C:$FA,6)*100</f>
        <v>#REF!</v>
      </c>
      <c r="E14" s="51" t="e">
        <f>VLOOKUP($A14,'Data shares'!$C:$FA,98)</f>
        <v>#REF!</v>
      </c>
      <c r="F14" s="51" t="e">
        <f>VLOOKUP($A14,'Data shares'!$C:$FA,99)</f>
        <v>#REF!</v>
      </c>
      <c r="G14" s="50" t="e">
        <f>VLOOKUP($A14,'Data shares'!$C:$FA,101)*100</f>
        <v>#REF!</v>
      </c>
      <c r="H14" s="49" t="e">
        <f>VLOOKUP($A14,'Data Vlaue (Cr)'!$C:$FB,99)</f>
        <v>#REF!</v>
      </c>
      <c r="I14" s="49" t="e">
        <f>VLOOKUP($A14,'Data Vlaue (Cr)'!$C:$FB,100)</f>
        <v>#REF!</v>
      </c>
      <c r="J14" s="49" t="e">
        <f>VLOOKUP($A14,'Data Vlaue (Cr)'!$C:$FB,102)*100</f>
        <v>#REF!</v>
      </c>
    </row>
    <row r="15" spans="1:10" x14ac:dyDescent="0.25">
      <c r="A15" s="101" t="e">
        <f>'NIFTY GRP'!#REF!</f>
        <v>#REF!</v>
      </c>
      <c r="B15" s="140" t="e">
        <f>VLOOKUP($A15,'Data shares'!$C:$FA,7)</f>
        <v>#REF!</v>
      </c>
      <c r="C15" s="140" t="e">
        <f>VLOOKUP($A15,'Data shares'!$C:$FA,3)</f>
        <v>#REF!</v>
      </c>
      <c r="D15" s="50" t="e">
        <f>VLOOKUP($A15,'Data shares'!$C:$FA,6)*100</f>
        <v>#REF!</v>
      </c>
      <c r="E15" s="51" t="e">
        <f>VLOOKUP($A15,'Data shares'!$C:$FA,98)</f>
        <v>#REF!</v>
      </c>
      <c r="F15" s="51" t="e">
        <f>VLOOKUP($A15,'Data shares'!$C:$FA,99)</f>
        <v>#REF!</v>
      </c>
      <c r="G15" s="50" t="e">
        <f>VLOOKUP($A15,'Data shares'!$C:$FA,101)*100</f>
        <v>#REF!</v>
      </c>
      <c r="H15" s="49" t="e">
        <f>VLOOKUP($A15,'Data Vlaue (Cr)'!$C:$FB,99)</f>
        <v>#REF!</v>
      </c>
      <c r="I15" s="49" t="e">
        <f>VLOOKUP($A15,'Data Vlaue (Cr)'!$C:$FB,100)</f>
        <v>#REF!</v>
      </c>
      <c r="J15" s="49" t="e">
        <f>VLOOKUP($A15,'Data Vlaue (Cr)'!$C:$FB,102)*100</f>
        <v>#REF!</v>
      </c>
    </row>
    <row r="16" spans="1:10" x14ac:dyDescent="0.25">
      <c r="A16" s="101" t="e">
        <f>'NIFTY GRP'!#REF!</f>
        <v>#REF!</v>
      </c>
      <c r="B16" s="140" t="e">
        <f>VLOOKUP($A16,'Data shares'!$C:$FA,7)</f>
        <v>#REF!</v>
      </c>
      <c r="C16" s="140" t="e">
        <f>VLOOKUP($A16,'Data shares'!$C:$FA,3)</f>
        <v>#REF!</v>
      </c>
      <c r="D16" s="50" t="e">
        <f>VLOOKUP($A16,'Data shares'!$C:$FA,6)*100</f>
        <v>#REF!</v>
      </c>
      <c r="E16" s="51" t="e">
        <f>VLOOKUP($A16,'Data shares'!$C:$FA,98)</f>
        <v>#REF!</v>
      </c>
      <c r="F16" s="51" t="e">
        <f>VLOOKUP($A16,'Data shares'!$C:$FA,99)</f>
        <v>#REF!</v>
      </c>
      <c r="G16" s="50" t="e">
        <f>VLOOKUP($A16,'Data shares'!$C:$FA,101)*100</f>
        <v>#REF!</v>
      </c>
      <c r="H16" s="49" t="e">
        <f>VLOOKUP($A16,'Data Vlaue (Cr)'!$C:$FB,99)</f>
        <v>#REF!</v>
      </c>
      <c r="I16" s="49" t="e">
        <f>VLOOKUP($A16,'Data Vlaue (Cr)'!$C:$FB,100)</f>
        <v>#REF!</v>
      </c>
      <c r="J16" s="49" t="e">
        <f>VLOOKUP($A16,'Data Vlaue (Cr)'!$C:$FB,102)*100</f>
        <v>#REF!</v>
      </c>
    </row>
    <row r="17" spans="1:10" x14ac:dyDescent="0.25">
      <c r="A17" s="101" t="e">
        <f>'NIFTY GRP'!#REF!</f>
        <v>#REF!</v>
      </c>
      <c r="B17" s="140" t="e">
        <f>VLOOKUP($A17,'Data shares'!$C:$FA,7)</f>
        <v>#REF!</v>
      </c>
      <c r="C17" s="140" t="e">
        <f>VLOOKUP($A17,'Data shares'!$C:$FA,3)</f>
        <v>#REF!</v>
      </c>
      <c r="D17" s="50" t="e">
        <f>VLOOKUP($A17,'Data shares'!$C:$FA,6)*100</f>
        <v>#REF!</v>
      </c>
      <c r="E17" s="51" t="e">
        <f>VLOOKUP($A17,'Data shares'!$C:$FA,98)</f>
        <v>#REF!</v>
      </c>
      <c r="F17" s="51" t="e">
        <f>VLOOKUP($A17,'Data shares'!$C:$FA,99)</f>
        <v>#REF!</v>
      </c>
      <c r="G17" s="50" t="e">
        <f>VLOOKUP($A17,'Data shares'!$C:$FA,101)*100</f>
        <v>#REF!</v>
      </c>
      <c r="H17" s="49" t="e">
        <f>VLOOKUP($A17,'Data Vlaue (Cr)'!$C:$FB,99)</f>
        <v>#REF!</v>
      </c>
      <c r="I17" s="49" t="e">
        <f>VLOOKUP($A17,'Data Vlaue (Cr)'!$C:$FB,100)</f>
        <v>#REF!</v>
      </c>
      <c r="J17" s="49" t="e">
        <f>VLOOKUP($A17,'Data Vlaue (Cr)'!$C:$FB,102)*100</f>
        <v>#REF!</v>
      </c>
    </row>
    <row r="18" spans="1:10" x14ac:dyDescent="0.25">
      <c r="A18" s="101" t="e">
        <f>'NIFTY GRP'!#REF!</f>
        <v>#REF!</v>
      </c>
      <c r="B18" s="140" t="e">
        <f>VLOOKUP($A18,'Data shares'!$C:$FA,7)</f>
        <v>#REF!</v>
      </c>
      <c r="C18" s="140" t="e">
        <f>VLOOKUP($A18,'Data shares'!$C:$FA,3)</f>
        <v>#REF!</v>
      </c>
      <c r="D18" s="50" t="e">
        <f>VLOOKUP($A18,'Data shares'!$C:$FA,6)*100</f>
        <v>#REF!</v>
      </c>
      <c r="E18" s="51" t="e">
        <f>VLOOKUP($A18,'Data shares'!$C:$FA,98)</f>
        <v>#REF!</v>
      </c>
      <c r="F18" s="51" t="e">
        <f>VLOOKUP($A18,'Data shares'!$C:$FA,99)</f>
        <v>#REF!</v>
      </c>
      <c r="G18" s="50" t="e">
        <f>VLOOKUP($A18,'Data shares'!$C:$FA,101)*100</f>
        <v>#REF!</v>
      </c>
      <c r="H18" s="49" t="e">
        <f>VLOOKUP($A18,'Data Vlaue (Cr)'!$C:$FB,99)</f>
        <v>#REF!</v>
      </c>
      <c r="I18" s="49" t="e">
        <f>VLOOKUP($A18,'Data Vlaue (Cr)'!$C:$FB,100)</f>
        <v>#REF!</v>
      </c>
      <c r="J18" s="49" t="e">
        <f>VLOOKUP($A18,'Data Vlaue (Cr)'!$C:$FB,102)*100</f>
        <v>#REF!</v>
      </c>
    </row>
    <row r="19" spans="1:10" x14ac:dyDescent="0.25">
      <c r="A19" s="101" t="e">
        <f>'NIFTY GRP'!#REF!</f>
        <v>#REF!</v>
      </c>
      <c r="B19" s="140" t="e">
        <f>VLOOKUP($A19,'Data shares'!$C:$FA,7)</f>
        <v>#REF!</v>
      </c>
      <c r="C19" s="140" t="e">
        <f>VLOOKUP($A19,'Data shares'!$C:$FA,3)</f>
        <v>#REF!</v>
      </c>
      <c r="D19" s="50" t="e">
        <f>VLOOKUP($A19,'Data shares'!$C:$FA,6)*100</f>
        <v>#REF!</v>
      </c>
      <c r="E19" s="51" t="e">
        <f>VLOOKUP($A19,'Data shares'!$C:$FA,98)</f>
        <v>#REF!</v>
      </c>
      <c r="F19" s="51" t="e">
        <f>VLOOKUP($A19,'Data shares'!$C:$FA,99)</f>
        <v>#REF!</v>
      </c>
      <c r="G19" s="50" t="e">
        <f>VLOOKUP($A19,'Data shares'!$C:$FA,101)*100</f>
        <v>#REF!</v>
      </c>
      <c r="H19" s="49" t="e">
        <f>VLOOKUP($A19,'Data Vlaue (Cr)'!$C:$FB,99)</f>
        <v>#REF!</v>
      </c>
      <c r="I19" s="49" t="e">
        <f>VLOOKUP($A19,'Data Vlaue (Cr)'!$C:$FB,100)</f>
        <v>#REF!</v>
      </c>
      <c r="J19" s="49" t="e">
        <f>VLOOKUP($A19,'Data Vlaue (Cr)'!$C:$FB,102)*100</f>
        <v>#REF!</v>
      </c>
    </row>
    <row r="20" spans="1:10" x14ac:dyDescent="0.25">
      <c r="A20" s="101" t="e">
        <f>'NIFTY GRP'!#REF!</f>
        <v>#REF!</v>
      </c>
      <c r="B20" s="140" t="e">
        <f>VLOOKUP($A20,'Data shares'!$C:$FA,7)</f>
        <v>#REF!</v>
      </c>
      <c r="C20" s="140" t="e">
        <f>VLOOKUP($A20,'Data shares'!$C:$FA,3)</f>
        <v>#REF!</v>
      </c>
      <c r="D20" s="50" t="e">
        <f>VLOOKUP($A20,'Data shares'!$C:$FA,6)*100</f>
        <v>#REF!</v>
      </c>
      <c r="E20" s="51" t="e">
        <f>VLOOKUP($A20,'Data shares'!$C:$FA,98)</f>
        <v>#REF!</v>
      </c>
      <c r="F20" s="51" t="e">
        <f>VLOOKUP($A20,'Data shares'!$C:$FA,99)</f>
        <v>#REF!</v>
      </c>
      <c r="G20" s="50" t="e">
        <f>VLOOKUP($A20,'Data shares'!$C:$FA,101)*100</f>
        <v>#REF!</v>
      </c>
      <c r="H20" s="49" t="e">
        <f>VLOOKUP($A20,'Data Vlaue (Cr)'!$C:$FB,99)</f>
        <v>#REF!</v>
      </c>
      <c r="I20" s="49" t="e">
        <f>VLOOKUP($A20,'Data Vlaue (Cr)'!$C:$FB,100)</f>
        <v>#REF!</v>
      </c>
      <c r="J20" s="49" t="e">
        <f>VLOOKUP($A20,'Data Vlaue (Cr)'!$C:$FB,102)*100</f>
        <v>#REF!</v>
      </c>
    </row>
    <row r="21" spans="1:10" x14ac:dyDescent="0.25">
      <c r="A21" s="101" t="e">
        <f>'NIFTY GRP'!#REF!</f>
        <v>#REF!</v>
      </c>
      <c r="B21" s="140" t="e">
        <f>VLOOKUP($A21,'Data shares'!$C:$FA,7)</f>
        <v>#REF!</v>
      </c>
      <c r="C21" s="140" t="e">
        <f>VLOOKUP($A21,'Data shares'!$C:$FA,3)</f>
        <v>#REF!</v>
      </c>
      <c r="D21" s="50" t="e">
        <f>VLOOKUP($A21,'Data shares'!$C:$FA,6)*100</f>
        <v>#REF!</v>
      </c>
      <c r="E21" s="51" t="e">
        <f>VLOOKUP($A21,'Data shares'!$C:$FA,98)</f>
        <v>#REF!</v>
      </c>
      <c r="F21" s="51" t="e">
        <f>VLOOKUP($A21,'Data shares'!$C:$FA,99)</f>
        <v>#REF!</v>
      </c>
      <c r="G21" s="50" t="e">
        <f>VLOOKUP($A21,'Data shares'!$C:$FA,101)*100</f>
        <v>#REF!</v>
      </c>
      <c r="H21" s="49" t="e">
        <f>VLOOKUP($A21,'Data Vlaue (Cr)'!$C:$FB,99)</f>
        <v>#REF!</v>
      </c>
      <c r="I21" s="49" t="e">
        <f>VLOOKUP($A21,'Data Vlaue (Cr)'!$C:$FB,100)</f>
        <v>#REF!</v>
      </c>
      <c r="J21" s="49" t="e">
        <f>VLOOKUP($A21,'Data Vlaue (Cr)'!$C:$FB,102)*100</f>
        <v>#REF!</v>
      </c>
    </row>
    <row r="22" spans="1:10" x14ac:dyDescent="0.25">
      <c r="A22" s="101" t="e">
        <f>'NIFTY GRP'!#REF!</f>
        <v>#REF!</v>
      </c>
      <c r="B22" s="140" t="e">
        <f>VLOOKUP($A22,'Data shares'!$C:$FA,7)</f>
        <v>#REF!</v>
      </c>
      <c r="C22" s="140" t="e">
        <f>VLOOKUP($A22,'Data shares'!$C:$FA,3)</f>
        <v>#REF!</v>
      </c>
      <c r="D22" s="50" t="e">
        <f>VLOOKUP($A22,'Data shares'!$C:$FA,6)*100</f>
        <v>#REF!</v>
      </c>
      <c r="E22" s="51" t="e">
        <f>VLOOKUP($A22,'Data shares'!$C:$FA,98)</f>
        <v>#REF!</v>
      </c>
      <c r="F22" s="51" t="e">
        <f>VLOOKUP($A22,'Data shares'!$C:$FA,99)</f>
        <v>#REF!</v>
      </c>
      <c r="G22" s="50" t="e">
        <f>VLOOKUP($A22,'Data shares'!$C:$FA,101)*100</f>
        <v>#REF!</v>
      </c>
      <c r="H22" s="49" t="e">
        <f>VLOOKUP($A22,'Data Vlaue (Cr)'!$C:$FB,99)</f>
        <v>#REF!</v>
      </c>
      <c r="I22" s="49" t="e">
        <f>VLOOKUP($A22,'Data Vlaue (Cr)'!$C:$FB,100)</f>
        <v>#REF!</v>
      </c>
      <c r="J22" s="49" t="e">
        <f>VLOOKUP($A22,'Data Vlaue (Cr)'!$C:$FB,102)*100</f>
        <v>#REF!</v>
      </c>
    </row>
    <row r="23" spans="1:10" x14ac:dyDescent="0.25">
      <c r="A23" s="101" t="e">
        <f>'NIFTY GRP'!#REF!</f>
        <v>#REF!</v>
      </c>
      <c r="B23" s="140" t="e">
        <f>VLOOKUP($A23,'Data shares'!$C:$FA,7)</f>
        <v>#REF!</v>
      </c>
      <c r="C23" s="140" t="e">
        <f>VLOOKUP($A23,'Data shares'!$C:$FA,3)</f>
        <v>#REF!</v>
      </c>
      <c r="D23" s="50" t="e">
        <f>VLOOKUP($A23,'Data shares'!$C:$FA,6)*100</f>
        <v>#REF!</v>
      </c>
      <c r="E23" s="51" t="e">
        <f>VLOOKUP($A23,'Data shares'!$C:$FA,98)</f>
        <v>#REF!</v>
      </c>
      <c r="F23" s="51" t="e">
        <f>VLOOKUP($A23,'Data shares'!$C:$FA,99)</f>
        <v>#REF!</v>
      </c>
      <c r="G23" s="50" t="e">
        <f>VLOOKUP($A23,'Data shares'!$C:$FA,101)*100</f>
        <v>#REF!</v>
      </c>
      <c r="H23" s="49" t="e">
        <f>VLOOKUP($A23,'Data Vlaue (Cr)'!$C:$FB,99)</f>
        <v>#REF!</v>
      </c>
      <c r="I23" s="49" t="e">
        <f>VLOOKUP($A23,'Data Vlaue (Cr)'!$C:$FB,100)</f>
        <v>#REF!</v>
      </c>
      <c r="J23" s="49" t="e">
        <f>VLOOKUP($A23,'Data Vlaue (Cr)'!$C:$FB,102)*100</f>
        <v>#REF!</v>
      </c>
    </row>
    <row r="24" spans="1:10" x14ac:dyDescent="0.25">
      <c r="A24" s="101" t="e">
        <f>'NIFTY GRP'!#REF!</f>
        <v>#REF!</v>
      </c>
      <c r="B24" s="140" t="e">
        <f>VLOOKUP($A24,'Data shares'!$C:$FA,7)</f>
        <v>#REF!</v>
      </c>
      <c r="C24" s="140" t="e">
        <f>VLOOKUP($A24,'Data shares'!$C:$FA,3)</f>
        <v>#REF!</v>
      </c>
      <c r="D24" s="50" t="e">
        <f>VLOOKUP($A24,'Data shares'!$C:$FA,6)*100</f>
        <v>#REF!</v>
      </c>
      <c r="E24" s="51" t="e">
        <f>VLOOKUP($A24,'Data shares'!$C:$FA,98)</f>
        <v>#REF!</v>
      </c>
      <c r="F24" s="51" t="e">
        <f>VLOOKUP($A24,'Data shares'!$C:$FA,99)</f>
        <v>#REF!</v>
      </c>
      <c r="G24" s="50" t="e">
        <f>VLOOKUP($A24,'Data shares'!$C:$FA,101)*100</f>
        <v>#REF!</v>
      </c>
      <c r="H24" s="49" t="e">
        <f>VLOOKUP($A24,'Data Vlaue (Cr)'!$C:$FB,99)</f>
        <v>#REF!</v>
      </c>
      <c r="I24" s="49" t="e">
        <f>VLOOKUP($A24,'Data Vlaue (Cr)'!$C:$FB,100)</f>
        <v>#REF!</v>
      </c>
      <c r="J24" s="49" t="e">
        <f>VLOOKUP($A24,'Data Vlaue (Cr)'!$C:$FB,102)*100</f>
        <v>#REF!</v>
      </c>
    </row>
    <row r="25" spans="1:10" x14ac:dyDescent="0.25">
      <c r="A25" s="101" t="e">
        <f>'NIFTY GRP'!#REF!</f>
        <v>#REF!</v>
      </c>
      <c r="B25" s="140" t="e">
        <f>VLOOKUP($A25,'Data shares'!$C:$FA,7)</f>
        <v>#REF!</v>
      </c>
      <c r="C25" s="140" t="e">
        <f>VLOOKUP($A25,'Data shares'!$C:$FA,3)</f>
        <v>#REF!</v>
      </c>
      <c r="D25" s="50" t="e">
        <f>VLOOKUP($A25,'Data shares'!$C:$FA,6)*100</f>
        <v>#REF!</v>
      </c>
      <c r="E25" s="51" t="e">
        <f>VLOOKUP($A25,'Data shares'!$C:$FA,98)</f>
        <v>#REF!</v>
      </c>
      <c r="F25" s="51" t="e">
        <f>VLOOKUP($A25,'Data shares'!$C:$FA,99)</f>
        <v>#REF!</v>
      </c>
      <c r="G25" s="50" t="e">
        <f>VLOOKUP($A25,'Data shares'!$C:$FA,101)*100</f>
        <v>#REF!</v>
      </c>
      <c r="H25" s="49" t="e">
        <f>VLOOKUP($A25,'Data Vlaue (Cr)'!$C:$FB,99)</f>
        <v>#REF!</v>
      </c>
      <c r="I25" s="49" t="e">
        <f>VLOOKUP($A25,'Data Vlaue (Cr)'!$C:$FB,100)</f>
        <v>#REF!</v>
      </c>
      <c r="J25" s="49" t="e">
        <f>VLOOKUP($A25,'Data Vlaue (Cr)'!$C:$FB,102)*100</f>
        <v>#REF!</v>
      </c>
    </row>
    <row r="26" spans="1:10" x14ac:dyDescent="0.25">
      <c r="A26" s="101" t="e">
        <f>'NIFTY GRP'!#REF!</f>
        <v>#REF!</v>
      </c>
      <c r="B26" s="140" t="e">
        <f>VLOOKUP($A26,'Data shares'!$C:$FA,7)</f>
        <v>#REF!</v>
      </c>
      <c r="C26" s="140" t="e">
        <f>VLOOKUP($A26,'Data shares'!$C:$FA,3)</f>
        <v>#REF!</v>
      </c>
      <c r="D26" s="50" t="e">
        <f>VLOOKUP($A26,'Data shares'!$C:$FA,6)*100</f>
        <v>#REF!</v>
      </c>
      <c r="E26" s="51" t="e">
        <f>VLOOKUP($A26,'Data shares'!$C:$FA,98)</f>
        <v>#REF!</v>
      </c>
      <c r="F26" s="51" t="e">
        <f>VLOOKUP($A26,'Data shares'!$C:$FA,99)</f>
        <v>#REF!</v>
      </c>
      <c r="G26" s="50" t="e">
        <f>VLOOKUP($A26,'Data shares'!$C:$FA,101)*100</f>
        <v>#REF!</v>
      </c>
      <c r="H26" s="49" t="e">
        <f>VLOOKUP($A26,'Data Vlaue (Cr)'!$C:$FB,99)</f>
        <v>#REF!</v>
      </c>
      <c r="I26" s="49" t="e">
        <f>VLOOKUP($A26,'Data Vlaue (Cr)'!$C:$FB,100)</f>
        <v>#REF!</v>
      </c>
      <c r="J26" s="49" t="e">
        <f>VLOOKUP($A26,'Data Vlaue (Cr)'!$C:$FB,102)*100</f>
        <v>#REF!</v>
      </c>
    </row>
    <row r="27" spans="1:10" x14ac:dyDescent="0.25">
      <c r="A27" s="101" t="e">
        <f>'NIFTY GRP'!#REF!</f>
        <v>#REF!</v>
      </c>
      <c r="B27" s="140" t="e">
        <f>VLOOKUP($A27,'Data shares'!$C:$FA,7)</f>
        <v>#REF!</v>
      </c>
      <c r="C27" s="140" t="e">
        <f>VLOOKUP($A27,'Data shares'!$C:$FA,3)</f>
        <v>#REF!</v>
      </c>
      <c r="D27" s="50" t="e">
        <f>VLOOKUP($A27,'Data shares'!$C:$FA,6)*100</f>
        <v>#REF!</v>
      </c>
      <c r="E27" s="51" t="e">
        <f>VLOOKUP($A27,'Data shares'!$C:$FA,98)</f>
        <v>#REF!</v>
      </c>
      <c r="F27" s="51" t="e">
        <f>VLOOKUP($A27,'Data shares'!$C:$FA,99)</f>
        <v>#REF!</v>
      </c>
      <c r="G27" s="50" t="e">
        <f>VLOOKUP($A27,'Data shares'!$C:$FA,101)*100</f>
        <v>#REF!</v>
      </c>
      <c r="H27" s="49" t="e">
        <f>VLOOKUP($A27,'Data Vlaue (Cr)'!$C:$FB,99)</f>
        <v>#REF!</v>
      </c>
      <c r="I27" s="49" t="e">
        <f>VLOOKUP($A27,'Data Vlaue (Cr)'!$C:$FB,100)</f>
        <v>#REF!</v>
      </c>
      <c r="J27" s="49" t="e">
        <f>VLOOKUP($A27,'Data Vlaue (Cr)'!$C:$FB,102)*100</f>
        <v>#REF!</v>
      </c>
    </row>
    <row r="28" spans="1:10" x14ac:dyDescent="0.25">
      <c r="A28" s="101" t="e">
        <f>'NIFTY GRP'!#REF!</f>
        <v>#REF!</v>
      </c>
      <c r="B28" s="140" t="e">
        <f>VLOOKUP($A28,'Data shares'!$C:$FA,7)</f>
        <v>#REF!</v>
      </c>
      <c r="C28" s="140" t="e">
        <f>VLOOKUP($A28,'Data shares'!$C:$FA,3)</f>
        <v>#REF!</v>
      </c>
      <c r="D28" s="50" t="e">
        <f>VLOOKUP($A28,'Data shares'!$C:$FA,6)*100</f>
        <v>#REF!</v>
      </c>
      <c r="E28" s="51" t="e">
        <f>VLOOKUP($A28,'Data shares'!$C:$FA,98)</f>
        <v>#REF!</v>
      </c>
      <c r="F28" s="51" t="e">
        <f>VLOOKUP($A28,'Data shares'!$C:$FA,99)</f>
        <v>#REF!</v>
      </c>
      <c r="G28" s="50" t="e">
        <f>VLOOKUP($A28,'Data shares'!$C:$FA,101)*100</f>
        <v>#REF!</v>
      </c>
      <c r="H28" s="49" t="e">
        <f>VLOOKUP($A28,'Data Vlaue (Cr)'!$C:$FB,99)</f>
        <v>#REF!</v>
      </c>
      <c r="I28" s="49" t="e">
        <f>VLOOKUP($A28,'Data Vlaue (Cr)'!$C:$FB,100)</f>
        <v>#REF!</v>
      </c>
      <c r="J28" s="49" t="e">
        <f>VLOOKUP($A28,'Data Vlaue (Cr)'!$C:$FB,102)*100</f>
        <v>#REF!</v>
      </c>
    </row>
    <row r="29" spans="1:10" x14ac:dyDescent="0.25">
      <c r="A29" s="101" t="e">
        <f>'NIFTY GRP'!#REF!</f>
        <v>#REF!</v>
      </c>
      <c r="B29" s="140" t="e">
        <f>VLOOKUP($A29,'Data shares'!$C:$FA,7)</f>
        <v>#REF!</v>
      </c>
      <c r="C29" s="140" t="e">
        <f>VLOOKUP($A29,'Data shares'!$C:$FA,3)</f>
        <v>#REF!</v>
      </c>
      <c r="D29" s="50" t="e">
        <f>VLOOKUP($A29,'Data shares'!$C:$FA,6)*100</f>
        <v>#REF!</v>
      </c>
      <c r="E29" s="51" t="e">
        <f>VLOOKUP($A29,'Data shares'!$C:$FA,98)</f>
        <v>#REF!</v>
      </c>
      <c r="F29" s="51" t="e">
        <f>VLOOKUP($A29,'Data shares'!$C:$FA,99)</f>
        <v>#REF!</v>
      </c>
      <c r="G29" s="50" t="e">
        <f>VLOOKUP($A29,'Data shares'!$C:$FA,101)*100</f>
        <v>#REF!</v>
      </c>
      <c r="H29" s="49" t="e">
        <f>VLOOKUP($A29,'Data Vlaue (Cr)'!$C:$FB,99)</f>
        <v>#REF!</v>
      </c>
      <c r="I29" s="49" t="e">
        <f>VLOOKUP($A29,'Data Vlaue (Cr)'!$C:$FB,100)</f>
        <v>#REF!</v>
      </c>
      <c r="J29" s="49" t="e">
        <f>VLOOKUP($A29,'Data Vlaue (Cr)'!$C:$FB,102)*100</f>
        <v>#REF!</v>
      </c>
    </row>
    <row r="30" spans="1:10" x14ac:dyDescent="0.25">
      <c r="A30" s="101" t="e">
        <f>'NIFTY GRP'!#REF!</f>
        <v>#REF!</v>
      </c>
      <c r="B30" s="140" t="e">
        <f>VLOOKUP($A30,'Data shares'!$C:$FA,7)</f>
        <v>#REF!</v>
      </c>
      <c r="C30" s="140" t="e">
        <f>VLOOKUP($A30,'Data shares'!$C:$FA,3)</f>
        <v>#REF!</v>
      </c>
      <c r="D30" s="50" t="e">
        <f>VLOOKUP($A30,'Data shares'!$C:$FA,6)*100</f>
        <v>#REF!</v>
      </c>
      <c r="E30" s="51" t="e">
        <f>VLOOKUP($A30,'Data shares'!$C:$FA,98)</f>
        <v>#REF!</v>
      </c>
      <c r="F30" s="51" t="e">
        <f>VLOOKUP($A30,'Data shares'!$C:$FA,99)</f>
        <v>#REF!</v>
      </c>
      <c r="G30" s="50" t="e">
        <f>VLOOKUP($A30,'Data shares'!$C:$FA,101)*100</f>
        <v>#REF!</v>
      </c>
      <c r="H30" s="49" t="e">
        <f>VLOOKUP($A30,'Data Vlaue (Cr)'!$C:$FB,99)</f>
        <v>#REF!</v>
      </c>
      <c r="I30" s="49" t="e">
        <f>VLOOKUP($A30,'Data Vlaue (Cr)'!$C:$FB,100)</f>
        <v>#REF!</v>
      </c>
      <c r="J30" s="49" t="e">
        <f>VLOOKUP($A30,'Data Vlaue (Cr)'!$C:$FB,102)*100</f>
        <v>#REF!</v>
      </c>
    </row>
    <row r="31" spans="1:10" x14ac:dyDescent="0.25">
      <c r="A31" s="101" t="e">
        <f>'NIFTY GRP'!#REF!</f>
        <v>#REF!</v>
      </c>
      <c r="B31" s="140" t="e">
        <f>VLOOKUP($A31,'Data shares'!$C:$FA,7)</f>
        <v>#REF!</v>
      </c>
      <c r="C31" s="140" t="e">
        <f>VLOOKUP($A31,'Data shares'!$C:$FA,3)</f>
        <v>#REF!</v>
      </c>
      <c r="D31" s="50" t="e">
        <f>VLOOKUP($A31,'Data shares'!$C:$FA,6)*100</f>
        <v>#REF!</v>
      </c>
      <c r="E31" s="51" t="e">
        <f>VLOOKUP($A31,'Data shares'!$C:$FA,98)</f>
        <v>#REF!</v>
      </c>
      <c r="F31" s="51" t="e">
        <f>VLOOKUP($A31,'Data shares'!$C:$FA,99)</f>
        <v>#REF!</v>
      </c>
      <c r="G31" s="50" t="e">
        <f>VLOOKUP($A31,'Data shares'!$C:$FA,101)*100</f>
        <v>#REF!</v>
      </c>
      <c r="H31" s="49" t="e">
        <f>VLOOKUP($A31,'Data Vlaue (Cr)'!$C:$FB,99)</f>
        <v>#REF!</v>
      </c>
      <c r="I31" s="49" t="e">
        <f>VLOOKUP($A31,'Data Vlaue (Cr)'!$C:$FB,100)</f>
        <v>#REF!</v>
      </c>
      <c r="J31" s="49" t="e">
        <f>VLOOKUP($A31,'Data Vlaue (Cr)'!$C:$FB,102)*100</f>
        <v>#REF!</v>
      </c>
    </row>
    <row r="32" spans="1:10" x14ac:dyDescent="0.25">
      <c r="A32" s="101" t="e">
        <f>'NIFTY GRP'!#REF!</f>
        <v>#REF!</v>
      </c>
      <c r="B32" s="140" t="e">
        <f>VLOOKUP($A32,'Data shares'!$C:$FA,7)</f>
        <v>#REF!</v>
      </c>
      <c r="C32" s="140" t="e">
        <f>VLOOKUP($A32,'Data shares'!$C:$FA,3)</f>
        <v>#REF!</v>
      </c>
      <c r="D32" s="50" t="e">
        <f>VLOOKUP($A32,'Data shares'!$C:$FA,6)*100</f>
        <v>#REF!</v>
      </c>
      <c r="E32" s="51" t="e">
        <f>VLOOKUP($A32,'Data shares'!$C:$FA,98)</f>
        <v>#REF!</v>
      </c>
      <c r="F32" s="51" t="e">
        <f>VLOOKUP($A32,'Data shares'!$C:$FA,99)</f>
        <v>#REF!</v>
      </c>
      <c r="G32" s="50" t="e">
        <f>VLOOKUP($A32,'Data shares'!$C:$FA,101)*100</f>
        <v>#REF!</v>
      </c>
      <c r="H32" s="49" t="e">
        <f>VLOOKUP($A32,'Data Vlaue (Cr)'!$C:$FB,99)</f>
        <v>#REF!</v>
      </c>
      <c r="I32" s="49" t="e">
        <f>VLOOKUP($A32,'Data Vlaue (Cr)'!$C:$FB,100)</f>
        <v>#REF!</v>
      </c>
      <c r="J32" s="49" t="e">
        <f>VLOOKUP($A32,'Data Vlaue (Cr)'!$C:$FB,102)*100</f>
        <v>#REF!</v>
      </c>
    </row>
    <row r="33" spans="1:10" x14ac:dyDescent="0.25">
      <c r="A33" s="101" t="e">
        <f>'NIFTY GRP'!#REF!</f>
        <v>#REF!</v>
      </c>
      <c r="B33" s="140" t="e">
        <f>VLOOKUP($A33,'Data shares'!$C:$FA,7)</f>
        <v>#REF!</v>
      </c>
      <c r="C33" s="140" t="e">
        <f>VLOOKUP($A33,'Data shares'!$C:$FA,3)</f>
        <v>#REF!</v>
      </c>
      <c r="D33" s="50" t="e">
        <f>VLOOKUP($A33,'Data shares'!$C:$FA,6)*100</f>
        <v>#REF!</v>
      </c>
      <c r="E33" s="51" t="e">
        <f>VLOOKUP($A33,'Data shares'!$C:$FA,98)</f>
        <v>#REF!</v>
      </c>
      <c r="F33" s="51" t="e">
        <f>VLOOKUP($A33,'Data shares'!$C:$FA,99)</f>
        <v>#REF!</v>
      </c>
      <c r="G33" s="50" t="e">
        <f>VLOOKUP($A33,'Data shares'!$C:$FA,101)*100</f>
        <v>#REF!</v>
      </c>
      <c r="H33" s="49" t="e">
        <f>VLOOKUP($A33,'Data Vlaue (Cr)'!$C:$FB,99)</f>
        <v>#REF!</v>
      </c>
      <c r="I33" s="49" t="e">
        <f>VLOOKUP($A33,'Data Vlaue (Cr)'!$C:$FB,100)</f>
        <v>#REF!</v>
      </c>
      <c r="J33" s="49" t="e">
        <f>VLOOKUP($A33,'Data Vlaue (Cr)'!$C:$FB,102)*100</f>
        <v>#REF!</v>
      </c>
    </row>
    <row r="34" spans="1:10" x14ac:dyDescent="0.25">
      <c r="A34" s="101" t="e">
        <f>'NIFTY GRP'!#REF!</f>
        <v>#REF!</v>
      </c>
      <c r="B34" s="140" t="e">
        <f>VLOOKUP($A34,'Data shares'!$C:$FA,7)</f>
        <v>#REF!</v>
      </c>
      <c r="C34" s="140" t="e">
        <f>VLOOKUP($A34,'Data shares'!$C:$FA,3)</f>
        <v>#REF!</v>
      </c>
      <c r="D34" s="50" t="e">
        <f>VLOOKUP($A34,'Data shares'!$C:$FA,6)*100</f>
        <v>#REF!</v>
      </c>
      <c r="E34" s="51" t="e">
        <f>VLOOKUP($A34,'Data shares'!$C:$FA,98)</f>
        <v>#REF!</v>
      </c>
      <c r="F34" s="51" t="e">
        <f>VLOOKUP($A34,'Data shares'!$C:$FA,99)</f>
        <v>#REF!</v>
      </c>
      <c r="G34" s="50" t="e">
        <f>VLOOKUP($A34,'Data shares'!$C:$FA,101)*100</f>
        <v>#REF!</v>
      </c>
      <c r="H34" s="49" t="e">
        <f>VLOOKUP($A34,'Data Vlaue (Cr)'!$C:$FB,99)</f>
        <v>#REF!</v>
      </c>
      <c r="I34" s="49" t="e">
        <f>VLOOKUP($A34,'Data Vlaue (Cr)'!$C:$FB,100)</f>
        <v>#REF!</v>
      </c>
      <c r="J34" s="49" t="e">
        <f>VLOOKUP($A34,'Data Vlaue (Cr)'!$C:$FB,102)*100</f>
        <v>#REF!</v>
      </c>
    </row>
    <row r="35" spans="1:10" x14ac:dyDescent="0.25">
      <c r="A35" s="101" t="e">
        <f>'NIFTY GRP'!#REF!</f>
        <v>#REF!</v>
      </c>
      <c r="B35" s="140" t="e">
        <f>VLOOKUP($A35,'Data shares'!$C:$FA,7)</f>
        <v>#REF!</v>
      </c>
      <c r="C35" s="140" t="e">
        <f>VLOOKUP($A35,'Data shares'!$C:$FA,3)</f>
        <v>#REF!</v>
      </c>
      <c r="D35" s="50" t="e">
        <f>VLOOKUP($A35,'Data shares'!$C:$FA,6)*100</f>
        <v>#REF!</v>
      </c>
      <c r="E35" s="51" t="e">
        <f>VLOOKUP($A35,'Data shares'!$C:$FA,98)</f>
        <v>#REF!</v>
      </c>
      <c r="F35" s="51" t="e">
        <f>VLOOKUP($A35,'Data shares'!$C:$FA,99)</f>
        <v>#REF!</v>
      </c>
      <c r="G35" s="50" t="e">
        <f>VLOOKUP($A35,'Data shares'!$C:$FA,101)*100</f>
        <v>#REF!</v>
      </c>
      <c r="H35" s="49" t="e">
        <f>VLOOKUP($A35,'Data Vlaue (Cr)'!$C:$FB,99)</f>
        <v>#REF!</v>
      </c>
      <c r="I35" s="49" t="e">
        <f>VLOOKUP($A35,'Data Vlaue (Cr)'!$C:$FB,100)</f>
        <v>#REF!</v>
      </c>
      <c r="J35" s="49" t="e">
        <f>VLOOKUP($A35,'Data Vlaue (Cr)'!$C:$FB,102)*100</f>
        <v>#REF!</v>
      </c>
    </row>
    <row r="36" spans="1:10" x14ac:dyDescent="0.25">
      <c r="A36" s="101" t="e">
        <f>'NIFTY GRP'!#REF!</f>
        <v>#REF!</v>
      </c>
      <c r="B36" s="140" t="e">
        <f>VLOOKUP($A36,'Data shares'!$C:$FA,7)</f>
        <v>#REF!</v>
      </c>
      <c r="C36" s="140" t="e">
        <f>VLOOKUP($A36,'Data shares'!$C:$FA,3)</f>
        <v>#REF!</v>
      </c>
      <c r="D36" s="50" t="e">
        <f>VLOOKUP($A36,'Data shares'!$C:$FA,6)*100</f>
        <v>#REF!</v>
      </c>
      <c r="E36" s="51" t="e">
        <f>VLOOKUP($A36,'Data shares'!$C:$FA,98)</f>
        <v>#REF!</v>
      </c>
      <c r="F36" s="51" t="e">
        <f>VLOOKUP($A36,'Data shares'!$C:$FA,99)</f>
        <v>#REF!</v>
      </c>
      <c r="G36" s="50" t="e">
        <f>VLOOKUP($A36,'Data shares'!$C:$FA,101)*100</f>
        <v>#REF!</v>
      </c>
      <c r="H36" s="49" t="e">
        <f>VLOOKUP($A36,'Data Vlaue (Cr)'!$C:$FB,99)</f>
        <v>#REF!</v>
      </c>
      <c r="I36" s="49" t="e">
        <f>VLOOKUP($A36,'Data Vlaue (Cr)'!$C:$FB,100)</f>
        <v>#REF!</v>
      </c>
      <c r="J36" s="49" t="e">
        <f>VLOOKUP($A36,'Data Vlaue (Cr)'!$C:$FB,102)*100</f>
        <v>#REF!</v>
      </c>
    </row>
    <row r="37" spans="1:10" x14ac:dyDescent="0.25">
      <c r="A37" s="101" t="e">
        <f>'NIFTY GRP'!#REF!</f>
        <v>#REF!</v>
      </c>
      <c r="B37" s="140" t="e">
        <f>VLOOKUP($A37,'Data shares'!$C:$FA,7)</f>
        <v>#REF!</v>
      </c>
      <c r="C37" s="140" t="e">
        <f>VLOOKUP($A37,'Data shares'!$C:$FA,3)</f>
        <v>#REF!</v>
      </c>
      <c r="D37" s="50" t="e">
        <f>VLOOKUP($A37,'Data shares'!$C:$FA,6)*100</f>
        <v>#REF!</v>
      </c>
      <c r="E37" s="51" t="e">
        <f>VLOOKUP($A37,'Data shares'!$C:$FA,98)</f>
        <v>#REF!</v>
      </c>
      <c r="F37" s="51" t="e">
        <f>VLOOKUP($A37,'Data shares'!$C:$FA,99)</f>
        <v>#REF!</v>
      </c>
      <c r="G37" s="50" t="e">
        <f>VLOOKUP($A37,'Data shares'!$C:$FA,101)*100</f>
        <v>#REF!</v>
      </c>
      <c r="H37" s="49" t="e">
        <f>VLOOKUP($A37,'Data Vlaue (Cr)'!$C:$FB,99)</f>
        <v>#REF!</v>
      </c>
      <c r="I37" s="49" t="e">
        <f>VLOOKUP($A37,'Data Vlaue (Cr)'!$C:$FB,100)</f>
        <v>#REF!</v>
      </c>
      <c r="J37" s="49" t="e">
        <f>VLOOKUP($A37,'Data Vlaue (Cr)'!$C:$FB,102)*100</f>
        <v>#REF!</v>
      </c>
    </row>
    <row r="38" spans="1:10" x14ac:dyDescent="0.25">
      <c r="A38" s="101" t="e">
        <f>'NIFTY GRP'!#REF!</f>
        <v>#REF!</v>
      </c>
      <c r="B38" s="140" t="e">
        <f>VLOOKUP($A38,'Data shares'!$C:$FA,7)</f>
        <v>#REF!</v>
      </c>
      <c r="C38" s="140" t="e">
        <f>VLOOKUP($A38,'Data shares'!$C:$FA,3)</f>
        <v>#REF!</v>
      </c>
      <c r="D38" s="50" t="e">
        <f>VLOOKUP($A38,'Data shares'!$C:$FA,6)*100</f>
        <v>#REF!</v>
      </c>
      <c r="E38" s="51" t="e">
        <f>VLOOKUP($A38,'Data shares'!$C:$FA,98)</f>
        <v>#REF!</v>
      </c>
      <c r="F38" s="51" t="e">
        <f>VLOOKUP($A38,'Data shares'!$C:$FA,99)</f>
        <v>#REF!</v>
      </c>
      <c r="G38" s="50" t="e">
        <f>VLOOKUP($A38,'Data shares'!$C:$FA,101)*100</f>
        <v>#REF!</v>
      </c>
      <c r="H38" s="49" t="e">
        <f>VLOOKUP($A38,'Data Vlaue (Cr)'!$C:$FB,99)</f>
        <v>#REF!</v>
      </c>
      <c r="I38" s="49" t="e">
        <f>VLOOKUP($A38,'Data Vlaue (Cr)'!$C:$FB,100)</f>
        <v>#REF!</v>
      </c>
      <c r="J38" s="49" t="e">
        <f>VLOOKUP($A38,'Data Vlaue (Cr)'!$C:$FB,102)*100</f>
        <v>#REF!</v>
      </c>
    </row>
    <row r="39" spans="1:10" x14ac:dyDescent="0.25">
      <c r="A39" s="101" t="e">
        <f>'NIFTY GRP'!#REF!</f>
        <v>#REF!</v>
      </c>
      <c r="B39" s="140" t="e">
        <f>VLOOKUP($A39,'Data shares'!$C:$FA,7)</f>
        <v>#REF!</v>
      </c>
      <c r="C39" s="140" t="e">
        <f>VLOOKUP($A39,'Data shares'!$C:$FA,3)</f>
        <v>#REF!</v>
      </c>
      <c r="D39" s="50" t="e">
        <f>VLOOKUP($A39,'Data shares'!$C:$FA,6)*100</f>
        <v>#REF!</v>
      </c>
      <c r="E39" s="51" t="e">
        <f>VLOOKUP($A39,'Data shares'!$C:$FA,98)</f>
        <v>#REF!</v>
      </c>
      <c r="F39" s="51" t="e">
        <f>VLOOKUP($A39,'Data shares'!$C:$FA,99)</f>
        <v>#REF!</v>
      </c>
      <c r="G39" s="50" t="e">
        <f>VLOOKUP($A39,'Data shares'!$C:$FA,101)*100</f>
        <v>#REF!</v>
      </c>
      <c r="H39" s="49" t="e">
        <f>VLOOKUP($A39,'Data Vlaue (Cr)'!$C:$FB,99)</f>
        <v>#REF!</v>
      </c>
      <c r="I39" s="49" t="e">
        <f>VLOOKUP($A39,'Data Vlaue (Cr)'!$C:$FB,100)</f>
        <v>#REF!</v>
      </c>
      <c r="J39" s="49" t="e">
        <f>VLOOKUP($A39,'Data Vlaue (Cr)'!$C:$FB,102)*100</f>
        <v>#REF!</v>
      </c>
    </row>
    <row r="40" spans="1:10" x14ac:dyDescent="0.25">
      <c r="A40" s="101" t="e">
        <f>'NIFTY GRP'!#REF!</f>
        <v>#REF!</v>
      </c>
      <c r="B40" s="140" t="e">
        <f>VLOOKUP($A40,'Data shares'!$C:$FA,7)</f>
        <v>#REF!</v>
      </c>
      <c r="C40" s="140" t="e">
        <f>VLOOKUP($A40,'Data shares'!$C:$FA,3)</f>
        <v>#REF!</v>
      </c>
      <c r="D40" s="50" t="e">
        <f>VLOOKUP($A40,'Data shares'!$C:$FA,6)*100</f>
        <v>#REF!</v>
      </c>
      <c r="E40" s="51" t="e">
        <f>VLOOKUP($A40,'Data shares'!$C:$FA,98)</f>
        <v>#REF!</v>
      </c>
      <c r="F40" s="51" t="e">
        <f>VLOOKUP($A40,'Data shares'!$C:$FA,99)</f>
        <v>#REF!</v>
      </c>
      <c r="G40" s="50" t="e">
        <f>VLOOKUP($A40,'Data shares'!$C:$FA,101)*100</f>
        <v>#REF!</v>
      </c>
      <c r="H40" s="49" t="e">
        <f>VLOOKUP($A40,'Data Vlaue (Cr)'!$C:$FB,99)</f>
        <v>#REF!</v>
      </c>
      <c r="I40" s="49" t="e">
        <f>VLOOKUP($A40,'Data Vlaue (Cr)'!$C:$FB,100)</f>
        <v>#REF!</v>
      </c>
      <c r="J40" s="49" t="e">
        <f>VLOOKUP($A40,'Data Vlaue (Cr)'!$C:$FB,102)*100</f>
        <v>#REF!</v>
      </c>
    </row>
    <row r="41" spans="1:10" x14ac:dyDescent="0.25">
      <c r="A41" s="101" t="e">
        <f>'NIFTY GRP'!#REF!</f>
        <v>#REF!</v>
      </c>
      <c r="B41" s="140" t="e">
        <f>VLOOKUP($A41,'Data shares'!$C:$FA,7)</f>
        <v>#REF!</v>
      </c>
      <c r="C41" s="140" t="e">
        <f>VLOOKUP($A41,'Data shares'!$C:$FA,3)</f>
        <v>#REF!</v>
      </c>
      <c r="D41" s="50" t="e">
        <f>VLOOKUP($A41,'Data shares'!$C:$FA,6)*100</f>
        <v>#REF!</v>
      </c>
      <c r="E41" s="51" t="e">
        <f>VLOOKUP($A41,'Data shares'!$C:$FA,98)</f>
        <v>#REF!</v>
      </c>
      <c r="F41" s="51" t="e">
        <f>VLOOKUP($A41,'Data shares'!$C:$FA,99)</f>
        <v>#REF!</v>
      </c>
      <c r="G41" s="50" t="e">
        <f>VLOOKUP($A41,'Data shares'!$C:$FA,101)*100</f>
        <v>#REF!</v>
      </c>
      <c r="H41" s="49" t="e">
        <f>VLOOKUP($A41,'Data Vlaue (Cr)'!$C:$FB,99)</f>
        <v>#REF!</v>
      </c>
      <c r="I41" s="49" t="e">
        <f>VLOOKUP($A41,'Data Vlaue (Cr)'!$C:$FB,100)</f>
        <v>#REF!</v>
      </c>
      <c r="J41" s="49" t="e">
        <f>VLOOKUP($A41,'Data Vlaue (Cr)'!$C:$FB,102)*100</f>
        <v>#REF!</v>
      </c>
    </row>
    <row r="42" spans="1:10" x14ac:dyDescent="0.25">
      <c r="A42" s="101" t="e">
        <f>'NIFTY GRP'!#REF!</f>
        <v>#REF!</v>
      </c>
      <c r="B42" s="140" t="e">
        <f>VLOOKUP($A42,'Data shares'!$C:$FA,7)</f>
        <v>#REF!</v>
      </c>
      <c r="C42" s="140" t="e">
        <f>VLOOKUP($A42,'Data shares'!$C:$FA,3)</f>
        <v>#REF!</v>
      </c>
      <c r="D42" s="50" t="e">
        <f>VLOOKUP($A42,'Data shares'!$C:$FA,6)*100</f>
        <v>#REF!</v>
      </c>
      <c r="E42" s="51" t="e">
        <f>VLOOKUP($A42,'Data shares'!$C:$FA,98)</f>
        <v>#REF!</v>
      </c>
      <c r="F42" s="51" t="e">
        <f>VLOOKUP($A42,'Data shares'!$C:$FA,99)</f>
        <v>#REF!</v>
      </c>
      <c r="G42" s="50" t="e">
        <f>VLOOKUP($A42,'Data shares'!$C:$FA,101)*100</f>
        <v>#REF!</v>
      </c>
      <c r="H42" s="49" t="e">
        <f>VLOOKUP($A42,'Data Vlaue (Cr)'!$C:$FB,99)</f>
        <v>#REF!</v>
      </c>
      <c r="I42" s="49" t="e">
        <f>VLOOKUP($A42,'Data Vlaue (Cr)'!$C:$FB,100)</f>
        <v>#REF!</v>
      </c>
      <c r="J42" s="49" t="e">
        <f>VLOOKUP($A42,'Data Vlaue (Cr)'!$C:$FB,102)*100</f>
        <v>#REF!</v>
      </c>
    </row>
    <row r="43" spans="1:10" x14ac:dyDescent="0.25">
      <c r="A43" s="101" t="e">
        <f>'NIFTY GRP'!#REF!</f>
        <v>#REF!</v>
      </c>
      <c r="B43" s="140" t="e">
        <f>VLOOKUP($A43,'Data shares'!$C:$FA,7)</f>
        <v>#REF!</v>
      </c>
      <c r="C43" s="140" t="e">
        <f>VLOOKUP($A43,'Data shares'!$C:$FA,3)</f>
        <v>#REF!</v>
      </c>
      <c r="D43" s="50" t="e">
        <f>VLOOKUP($A43,'Data shares'!$C:$FA,6)*100</f>
        <v>#REF!</v>
      </c>
      <c r="E43" s="51" t="e">
        <f>VLOOKUP($A43,'Data shares'!$C:$FA,98)</f>
        <v>#REF!</v>
      </c>
      <c r="F43" s="51" t="e">
        <f>VLOOKUP($A43,'Data shares'!$C:$FA,99)</f>
        <v>#REF!</v>
      </c>
      <c r="G43" s="50" t="e">
        <f>VLOOKUP($A43,'Data shares'!$C:$FA,101)*100</f>
        <v>#REF!</v>
      </c>
      <c r="H43" s="49" t="e">
        <f>VLOOKUP($A43,'Data Vlaue (Cr)'!$C:$FB,99)</f>
        <v>#REF!</v>
      </c>
      <c r="I43" s="49" t="e">
        <f>VLOOKUP($A43,'Data Vlaue (Cr)'!$C:$FB,100)</f>
        <v>#REF!</v>
      </c>
      <c r="J43" s="49" t="e">
        <f>VLOOKUP($A43,'Data Vlaue (Cr)'!$C:$FB,102)*100</f>
        <v>#REF!</v>
      </c>
    </row>
    <row r="44" spans="1:10" x14ac:dyDescent="0.25">
      <c r="A44" s="101" t="e">
        <f>'NIFTY GRP'!#REF!</f>
        <v>#REF!</v>
      </c>
      <c r="B44" s="140" t="e">
        <f>VLOOKUP($A44,'Data shares'!$C:$FA,7)</f>
        <v>#REF!</v>
      </c>
      <c r="C44" s="140" t="e">
        <f>VLOOKUP($A44,'Data shares'!$C:$FA,3)</f>
        <v>#REF!</v>
      </c>
      <c r="D44" s="50" t="e">
        <f>VLOOKUP($A44,'Data shares'!$C:$FA,6)*100</f>
        <v>#REF!</v>
      </c>
      <c r="E44" s="51" t="e">
        <f>VLOOKUP($A44,'Data shares'!$C:$FA,98)</f>
        <v>#REF!</v>
      </c>
      <c r="F44" s="51" t="e">
        <f>VLOOKUP($A44,'Data shares'!$C:$FA,99)</f>
        <v>#REF!</v>
      </c>
      <c r="G44" s="50" t="e">
        <f>VLOOKUP($A44,'Data shares'!$C:$FA,101)*100</f>
        <v>#REF!</v>
      </c>
      <c r="H44" s="49" t="e">
        <f>VLOOKUP($A44,'Data Vlaue (Cr)'!$C:$FB,99)</f>
        <v>#REF!</v>
      </c>
      <c r="I44" s="49" t="e">
        <f>VLOOKUP($A44,'Data Vlaue (Cr)'!$C:$FB,100)</f>
        <v>#REF!</v>
      </c>
      <c r="J44" s="49" t="e">
        <f>VLOOKUP($A44,'Data Vlaue (Cr)'!$C:$FB,102)*100</f>
        <v>#REF!</v>
      </c>
    </row>
    <row r="45" spans="1:10" x14ac:dyDescent="0.25">
      <c r="A45" s="101" t="e">
        <f>'NIFTY GRP'!#REF!</f>
        <v>#REF!</v>
      </c>
      <c r="B45" s="140" t="e">
        <f>VLOOKUP($A45,'Data shares'!$C:$FA,7)</f>
        <v>#REF!</v>
      </c>
      <c r="C45" s="140" t="e">
        <f>VLOOKUP($A45,'Data shares'!$C:$FA,3)</f>
        <v>#REF!</v>
      </c>
      <c r="D45" s="50" t="e">
        <f>VLOOKUP($A45,'Data shares'!$C:$FA,6)*100</f>
        <v>#REF!</v>
      </c>
      <c r="E45" s="51" t="e">
        <f>VLOOKUP($A45,'Data shares'!$C:$FA,98)</f>
        <v>#REF!</v>
      </c>
      <c r="F45" s="51" t="e">
        <f>VLOOKUP($A45,'Data shares'!$C:$FA,99)</f>
        <v>#REF!</v>
      </c>
      <c r="G45" s="50" t="e">
        <f>VLOOKUP($A45,'Data shares'!$C:$FA,101)*100</f>
        <v>#REF!</v>
      </c>
      <c r="H45" s="49" t="e">
        <f>VLOOKUP($A45,'Data Vlaue (Cr)'!$C:$FB,99)</f>
        <v>#REF!</v>
      </c>
      <c r="I45" s="49" t="e">
        <f>VLOOKUP($A45,'Data Vlaue (Cr)'!$C:$FB,100)</f>
        <v>#REF!</v>
      </c>
      <c r="J45" s="49" t="e">
        <f>VLOOKUP($A45,'Data Vlaue (Cr)'!$C:$FB,102)*100</f>
        <v>#REF!</v>
      </c>
    </row>
    <row r="46" spans="1:10" x14ac:dyDescent="0.25">
      <c r="A46" s="101" t="e">
        <f>'NIFTY GRP'!#REF!</f>
        <v>#REF!</v>
      </c>
      <c r="B46" s="140" t="e">
        <f>VLOOKUP($A46,'Data shares'!$C:$FA,7)</f>
        <v>#REF!</v>
      </c>
      <c r="C46" s="140" t="e">
        <f>VLOOKUP($A46,'Data shares'!$C:$FA,3)</f>
        <v>#REF!</v>
      </c>
      <c r="D46" s="50" t="e">
        <f>VLOOKUP($A46,'Data shares'!$C:$FA,6)*100</f>
        <v>#REF!</v>
      </c>
      <c r="E46" s="51" t="e">
        <f>VLOOKUP($A46,'Data shares'!$C:$FA,98)</f>
        <v>#REF!</v>
      </c>
      <c r="F46" s="51" t="e">
        <f>VLOOKUP($A46,'Data shares'!$C:$FA,99)</f>
        <v>#REF!</v>
      </c>
      <c r="G46" s="50" t="e">
        <f>VLOOKUP($A46,'Data shares'!$C:$FA,101)*100</f>
        <v>#REF!</v>
      </c>
      <c r="H46" s="49" t="e">
        <f>VLOOKUP($A46,'Data Vlaue (Cr)'!$C:$FB,99)</f>
        <v>#REF!</v>
      </c>
      <c r="I46" s="49" t="e">
        <f>VLOOKUP($A46,'Data Vlaue (Cr)'!$C:$FB,100)</f>
        <v>#REF!</v>
      </c>
      <c r="J46" s="49" t="e">
        <f>VLOOKUP($A46,'Data Vlaue (Cr)'!$C:$FB,102)*100</f>
        <v>#REF!</v>
      </c>
    </row>
    <row r="47" spans="1:10" x14ac:dyDescent="0.25">
      <c r="A47" s="101" t="e">
        <f>'NIFTY GRP'!#REF!</f>
        <v>#REF!</v>
      </c>
      <c r="B47" s="140" t="e">
        <f>VLOOKUP($A47,'Data shares'!$C:$FA,7)</f>
        <v>#REF!</v>
      </c>
      <c r="C47" s="140" t="e">
        <f>VLOOKUP($A47,'Data shares'!$C:$FA,3)</f>
        <v>#REF!</v>
      </c>
      <c r="D47" s="50" t="e">
        <f>VLOOKUP($A47,'Data shares'!$C:$FA,6)*100</f>
        <v>#REF!</v>
      </c>
      <c r="E47" s="51" t="e">
        <f>VLOOKUP($A47,'Data shares'!$C:$FA,98)</f>
        <v>#REF!</v>
      </c>
      <c r="F47" s="51" t="e">
        <f>VLOOKUP($A47,'Data shares'!$C:$FA,99)</f>
        <v>#REF!</v>
      </c>
      <c r="G47" s="50" t="e">
        <f>VLOOKUP($A47,'Data shares'!$C:$FA,101)*100</f>
        <v>#REF!</v>
      </c>
      <c r="H47" s="49" t="e">
        <f>VLOOKUP($A47,'Data Vlaue (Cr)'!$C:$FB,99)</f>
        <v>#REF!</v>
      </c>
      <c r="I47" s="49" t="e">
        <f>VLOOKUP($A47,'Data Vlaue (Cr)'!$C:$FB,100)</f>
        <v>#REF!</v>
      </c>
      <c r="J47" s="49" t="e">
        <f>VLOOKUP($A47,'Data Vlaue (Cr)'!$C:$FB,102)*100</f>
        <v>#REF!</v>
      </c>
    </row>
    <row r="48" spans="1:10" x14ac:dyDescent="0.25">
      <c r="A48" s="101" t="e">
        <f>'NIFTY GRP'!#REF!</f>
        <v>#REF!</v>
      </c>
      <c r="B48" s="140" t="e">
        <f>VLOOKUP($A48,'Data shares'!$C:$FA,7)</f>
        <v>#REF!</v>
      </c>
      <c r="C48" s="140" t="e">
        <f>VLOOKUP($A48,'Data shares'!$C:$FA,3)</f>
        <v>#REF!</v>
      </c>
      <c r="D48" s="50" t="e">
        <f>VLOOKUP($A48,'Data shares'!$C:$FA,6)*100</f>
        <v>#REF!</v>
      </c>
      <c r="E48" s="51" t="e">
        <f>VLOOKUP($A48,'Data shares'!$C:$FA,98)</f>
        <v>#REF!</v>
      </c>
      <c r="F48" s="51" t="e">
        <f>VLOOKUP($A48,'Data shares'!$C:$FA,99)</f>
        <v>#REF!</v>
      </c>
      <c r="G48" s="50" t="e">
        <f>VLOOKUP($A48,'Data shares'!$C:$FA,101)*100</f>
        <v>#REF!</v>
      </c>
      <c r="H48" s="49" t="e">
        <f>VLOOKUP($A48,'Data Vlaue (Cr)'!$C:$FB,99)</f>
        <v>#REF!</v>
      </c>
      <c r="I48" s="49" t="e">
        <f>VLOOKUP($A48,'Data Vlaue (Cr)'!$C:$FB,100)</f>
        <v>#REF!</v>
      </c>
      <c r="J48" s="49" t="e">
        <f>VLOOKUP($A48,'Data Vlaue (Cr)'!$C:$FB,102)*100</f>
        <v>#REF!</v>
      </c>
    </row>
    <row r="49" spans="1:10" x14ac:dyDescent="0.25">
      <c r="A49" s="101" t="e">
        <f>'NIFTY GRP'!#REF!</f>
        <v>#REF!</v>
      </c>
      <c r="B49" s="140" t="e">
        <f>VLOOKUP($A49,'Data shares'!$C:$FA,7)</f>
        <v>#REF!</v>
      </c>
      <c r="C49" s="140" t="e">
        <f>VLOOKUP($A49,'Data shares'!$C:$FA,3)</f>
        <v>#REF!</v>
      </c>
      <c r="D49" s="50" t="e">
        <f>VLOOKUP($A49,'Data shares'!$C:$FA,6)*100</f>
        <v>#REF!</v>
      </c>
      <c r="E49" s="51" t="e">
        <f>VLOOKUP($A49,'Data shares'!$C:$FA,98)</f>
        <v>#REF!</v>
      </c>
      <c r="F49" s="51" t="e">
        <f>VLOOKUP($A49,'Data shares'!$C:$FA,99)</f>
        <v>#REF!</v>
      </c>
      <c r="G49" s="50" t="e">
        <f>VLOOKUP($A49,'Data shares'!$C:$FA,101)*100</f>
        <v>#REF!</v>
      </c>
      <c r="H49" s="49" t="e">
        <f>VLOOKUP($A49,'Data Vlaue (Cr)'!$C:$FB,99)</f>
        <v>#REF!</v>
      </c>
      <c r="I49" s="49" t="e">
        <f>VLOOKUP($A49,'Data Vlaue (Cr)'!$C:$FB,100)</f>
        <v>#REF!</v>
      </c>
      <c r="J49" s="49" t="e">
        <f>VLOOKUP($A49,'Data Vlaue (Cr)'!$C:$FB,102)*100</f>
        <v>#REF!</v>
      </c>
    </row>
    <row r="50" spans="1:10" x14ac:dyDescent="0.25">
      <c r="A50" s="101" t="e">
        <f>'NIFTY GRP'!#REF!</f>
        <v>#REF!</v>
      </c>
      <c r="B50" s="140" t="e">
        <f>VLOOKUP($A50,'Data shares'!$C:$FA,7)</f>
        <v>#REF!</v>
      </c>
      <c r="C50" s="140" t="e">
        <f>VLOOKUP($A50,'Data shares'!$C:$FA,3)</f>
        <v>#REF!</v>
      </c>
      <c r="D50" s="50" t="e">
        <f>VLOOKUP($A50,'Data shares'!$C:$FA,6)*100</f>
        <v>#REF!</v>
      </c>
      <c r="E50" s="51" t="e">
        <f>VLOOKUP($A50,'Data shares'!$C:$FA,98)</f>
        <v>#REF!</v>
      </c>
      <c r="F50" s="51" t="e">
        <f>VLOOKUP($A50,'Data shares'!$C:$FA,99)</f>
        <v>#REF!</v>
      </c>
      <c r="G50" s="50" t="e">
        <f>VLOOKUP($A50,'Data shares'!$C:$FA,101)*100</f>
        <v>#REF!</v>
      </c>
      <c r="H50" s="49" t="e">
        <f>VLOOKUP($A50,'Data Vlaue (Cr)'!$C:$FB,99)</f>
        <v>#REF!</v>
      </c>
      <c r="I50" s="49" t="e">
        <f>VLOOKUP($A50,'Data Vlaue (Cr)'!$C:$FB,100)</f>
        <v>#REF!</v>
      </c>
      <c r="J50" s="49" t="e">
        <f>VLOOKUP($A50,'Data Vlaue (Cr)'!$C:$FB,102)*100</f>
        <v>#REF!</v>
      </c>
    </row>
    <row r="51" spans="1:10" x14ac:dyDescent="0.25">
      <c r="A51" s="101" t="e">
        <f>'NIFTY GRP'!#REF!</f>
        <v>#REF!</v>
      </c>
      <c r="B51" s="140" t="e">
        <f>VLOOKUP($A51,'Data shares'!$C:$FA,7)</f>
        <v>#REF!</v>
      </c>
      <c r="C51" s="140" t="e">
        <f>VLOOKUP($A51,'Data shares'!$C:$FA,3)</f>
        <v>#REF!</v>
      </c>
      <c r="D51" s="50" t="e">
        <f>VLOOKUP($A51,'Data shares'!$C:$FA,6)*100</f>
        <v>#REF!</v>
      </c>
      <c r="E51" s="51" t="e">
        <f>VLOOKUP($A51,'Data shares'!$C:$FA,98)</f>
        <v>#REF!</v>
      </c>
      <c r="F51" s="51" t="e">
        <f>VLOOKUP($A51,'Data shares'!$C:$FA,99)</f>
        <v>#REF!</v>
      </c>
      <c r="G51" s="50" t="e">
        <f>VLOOKUP($A51,'Data shares'!$C:$FA,101)*100</f>
        <v>#REF!</v>
      </c>
      <c r="H51" s="49" t="e">
        <f>VLOOKUP($A51,'Data Vlaue (Cr)'!$C:$FB,99)</f>
        <v>#REF!</v>
      </c>
      <c r="I51" s="49" t="e">
        <f>VLOOKUP($A51,'Data Vlaue (Cr)'!$C:$FB,100)</f>
        <v>#REF!</v>
      </c>
      <c r="J51" s="49" t="e">
        <f>VLOOKUP($A51,'Data Vlaue (Cr)'!$C:$FB,102)*100</f>
        <v>#REF!</v>
      </c>
    </row>
    <row r="52" spans="1:10" x14ac:dyDescent="0.25">
      <c r="A52" s="101" t="e">
        <f>'NIFTY GRP'!#REF!</f>
        <v>#REF!</v>
      </c>
      <c r="B52" s="140" t="e">
        <f>VLOOKUP($A52,'Data shares'!$C:$FA,7)</f>
        <v>#REF!</v>
      </c>
      <c r="C52" s="140" t="e">
        <f>VLOOKUP($A52,'Data shares'!$C:$FA,3)</f>
        <v>#REF!</v>
      </c>
      <c r="D52" s="50" t="e">
        <f>VLOOKUP($A52,'Data shares'!$C:$FA,6)*100</f>
        <v>#REF!</v>
      </c>
      <c r="E52" s="51" t="e">
        <f>VLOOKUP($A52,'Data shares'!$C:$FA,98)</f>
        <v>#REF!</v>
      </c>
      <c r="F52" s="51" t="e">
        <f>VLOOKUP($A52,'Data shares'!$C:$FA,99)</f>
        <v>#REF!</v>
      </c>
      <c r="G52" s="50" t="e">
        <f>VLOOKUP($A52,'Data shares'!$C:$FA,101)*100</f>
        <v>#REF!</v>
      </c>
      <c r="H52" s="49" t="e">
        <f>VLOOKUP($A52,'Data Vlaue (Cr)'!$C:$FB,99)</f>
        <v>#REF!</v>
      </c>
      <c r="I52" s="49" t="e">
        <f>VLOOKUP($A52,'Data Vlaue (Cr)'!$C:$FB,100)</f>
        <v>#REF!</v>
      </c>
      <c r="J52" s="49" t="e">
        <f>VLOOKUP($A52,'Data Vlaue (Cr)'!$C:$FB,102)*100</f>
        <v>#REF!</v>
      </c>
    </row>
    <row r="53" spans="1:10" x14ac:dyDescent="0.25">
      <c r="A53" s="101" t="e">
        <f>'NIFTY GRP'!#REF!</f>
        <v>#REF!</v>
      </c>
      <c r="B53" s="140" t="e">
        <f>VLOOKUP($A53,'Data shares'!$C:$FA,7)</f>
        <v>#REF!</v>
      </c>
      <c r="C53" s="140" t="e">
        <f>VLOOKUP($A53,'Data shares'!$C:$FA,3)</f>
        <v>#REF!</v>
      </c>
      <c r="D53" s="50" t="e">
        <f>VLOOKUP($A53,'Data shares'!$C:$FA,6)*100</f>
        <v>#REF!</v>
      </c>
      <c r="E53" s="51" t="e">
        <f>VLOOKUP($A53,'Data shares'!$C:$FA,98)</f>
        <v>#REF!</v>
      </c>
      <c r="F53" s="51" t="e">
        <f>VLOOKUP($A53,'Data shares'!$C:$FA,99)</f>
        <v>#REF!</v>
      </c>
      <c r="G53" s="50" t="e">
        <f>VLOOKUP($A53,'Data shares'!$C:$FA,101)*100</f>
        <v>#REF!</v>
      </c>
      <c r="H53" s="49" t="e">
        <f>VLOOKUP($A53,'Data Vlaue (Cr)'!$C:$FB,99)</f>
        <v>#REF!</v>
      </c>
      <c r="I53" s="49" t="e">
        <f>VLOOKUP($A53,'Data Vlaue (Cr)'!$C:$FB,100)</f>
        <v>#REF!</v>
      </c>
      <c r="J53" s="49" t="e">
        <f>VLOOKUP($A53,'Data Vlaue (Cr)'!$C:$FB,102)*100</f>
        <v>#REF!</v>
      </c>
    </row>
    <row r="54" spans="1:10" x14ac:dyDescent="0.25">
      <c r="A54" s="101" t="e">
        <f>'NIFTY GRP'!#REF!</f>
        <v>#REF!</v>
      </c>
      <c r="B54" s="140" t="e">
        <f>VLOOKUP($A54,'Data shares'!$C:$FA,7)</f>
        <v>#REF!</v>
      </c>
      <c r="C54" s="140" t="e">
        <f>VLOOKUP($A54,'Data shares'!$C:$FA,3)</f>
        <v>#REF!</v>
      </c>
      <c r="D54" s="50" t="e">
        <f>VLOOKUP($A54,'Data shares'!$C:$FA,6)*100</f>
        <v>#REF!</v>
      </c>
      <c r="E54" s="51" t="e">
        <f>VLOOKUP($A54,'Data shares'!$C:$FA,98)</f>
        <v>#REF!</v>
      </c>
      <c r="F54" s="51" t="e">
        <f>VLOOKUP($A54,'Data shares'!$C:$FA,99)</f>
        <v>#REF!</v>
      </c>
      <c r="G54" s="50" t="e">
        <f>VLOOKUP($A54,'Data shares'!$C:$FA,101)*100</f>
        <v>#REF!</v>
      </c>
      <c r="H54" s="49" t="e">
        <f>VLOOKUP($A54,'Data Vlaue (Cr)'!$C:$FB,99)</f>
        <v>#REF!</v>
      </c>
      <c r="I54" s="49" t="e">
        <f>VLOOKUP($A54,'Data Vlaue (Cr)'!$C:$FB,100)</f>
        <v>#REF!</v>
      </c>
      <c r="J54" s="49" t="e">
        <f>VLOOKUP($A54,'Data Vlaue (Cr)'!$C:$FB,102)*100</f>
        <v>#REF!</v>
      </c>
    </row>
    <row r="55" spans="1:10" x14ac:dyDescent="0.25">
      <c r="A55" s="101" t="e">
        <f>'NIFTY GRP'!#REF!</f>
        <v>#REF!</v>
      </c>
      <c r="B55" s="140" t="e">
        <f>VLOOKUP($A55,'Data shares'!$C:$FA,7)</f>
        <v>#REF!</v>
      </c>
      <c r="C55" s="140" t="e">
        <f>VLOOKUP($A55,'Data shares'!$C:$FA,3)</f>
        <v>#REF!</v>
      </c>
      <c r="D55" s="50" t="e">
        <f>VLOOKUP($A55,'Data shares'!$C:$FA,6)*100</f>
        <v>#REF!</v>
      </c>
      <c r="E55" s="51" t="e">
        <f>VLOOKUP($A55,'Data shares'!$C:$FA,98)</f>
        <v>#REF!</v>
      </c>
      <c r="F55" s="51" t="e">
        <f>VLOOKUP($A55,'Data shares'!$C:$FA,99)</f>
        <v>#REF!</v>
      </c>
      <c r="G55" s="50" t="e">
        <f>VLOOKUP($A55,'Data shares'!$C:$FA,101)*100</f>
        <v>#REF!</v>
      </c>
      <c r="H55" s="49" t="e">
        <f>VLOOKUP($A55,'Data Vlaue (Cr)'!$C:$FB,99)</f>
        <v>#REF!</v>
      </c>
      <c r="I55" s="49" t="e">
        <f>VLOOKUP($A55,'Data Vlaue (Cr)'!$C:$FB,100)</f>
        <v>#REF!</v>
      </c>
      <c r="J55" s="49" t="e">
        <f>VLOOKUP($A55,'Data Vlaue (Cr)'!$C:$FB,102)*100</f>
        <v>#REF!</v>
      </c>
    </row>
    <row r="56" spans="1:10" x14ac:dyDescent="0.25">
      <c r="A56" s="101">
        <f>'NIFTY GRP'!C2</f>
        <v>0</v>
      </c>
      <c r="B56" s="140" t="e">
        <f>VLOOKUP($A56,'Data shares'!$C:$FA,7)</f>
        <v>#N/A</v>
      </c>
      <c r="C56" s="140" t="e">
        <f>VLOOKUP($A56,'Data shares'!$C:$FA,3)</f>
        <v>#N/A</v>
      </c>
      <c r="D56" s="50" t="e">
        <f>VLOOKUP($A56,'Data shares'!$C:$FA,6)*100</f>
        <v>#N/A</v>
      </c>
      <c r="E56" s="51" t="e">
        <f>VLOOKUP($A56,'Data shares'!$C:$FA,98)</f>
        <v>#N/A</v>
      </c>
      <c r="F56" s="51" t="e">
        <f>VLOOKUP($A56,'Data shares'!$C:$FA,99)</f>
        <v>#N/A</v>
      </c>
      <c r="G56" s="50" t="e">
        <f>VLOOKUP($A56,'Data shares'!$C:$FA,101)*100</f>
        <v>#N/A</v>
      </c>
      <c r="H56" s="49" t="e">
        <f>VLOOKUP($A56,'Data Vlaue (Cr)'!$C:$FB,99)</f>
        <v>#N/A</v>
      </c>
      <c r="I56" s="49" t="e">
        <f>VLOOKUP($A56,'Data Vlaue (Cr)'!$C:$FB,100)</f>
        <v>#N/A</v>
      </c>
      <c r="J56" s="49" t="e">
        <f>VLOOKUP($A56,'Data Vlaue (Cr)'!$C:$FB,102)*100</f>
        <v>#N/A</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t="e">
        <f>SUM(E7:E93)</f>
        <v>#REF!</v>
      </c>
      <c r="F94" s="127" t="e">
        <f>SUM(F7:F93)</f>
        <v>#REF!</v>
      </c>
      <c r="G94" s="128" t="e">
        <f>(E94-F94)/F94</f>
        <v>#REF!</v>
      </c>
      <c r="H94" s="127" t="e">
        <f>SUM(H7:H93)</f>
        <v>#REF!</v>
      </c>
      <c r="I94" s="127" t="e">
        <f>SUM(I7:I93)</f>
        <v>#REF!</v>
      </c>
      <c r="J94" s="128" t="e">
        <f>(H94-I94)/I94</f>
        <v>#REF!</v>
      </c>
    </row>
    <row r="95" spans="1:10" s="88" customFormat="1" ht="13.5" customHeight="1" x14ac:dyDescent="0.25">
      <c r="A95" s="126" t="s">
        <v>398</v>
      </c>
      <c r="B95" s="122"/>
      <c r="C95" s="122"/>
      <c r="D95" s="122"/>
      <c r="E95" s="125" t="e">
        <f>E94/10000000</f>
        <v>#REF!</v>
      </c>
      <c r="F95" s="125" t="e">
        <f>F94/10000000</f>
        <v>#REF!</v>
      </c>
      <c r="G95" s="128" t="e">
        <f>(E95-F95)/F95</f>
        <v>#REF!</v>
      </c>
      <c r="H95" s="129" t="e">
        <f>H94/10000000</f>
        <v>#REF!</v>
      </c>
      <c r="I95" s="129" t="e">
        <f>I94/10000000</f>
        <v>#REF!</v>
      </c>
      <c r="J95" s="128" t="e">
        <f>(H95-I95)/I95</f>
        <v>#REF!</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t="e">
        <f>H94</f>
        <v>#REF!</v>
      </c>
      <c r="B103" s="38" t="e">
        <f>I94</f>
        <v>#REF!</v>
      </c>
      <c r="C103" s="42" t="e">
        <f>J94</f>
        <v>#REF!</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7" activePane="bottomLeft" state="frozen"/>
      <selection pane="bottomLeft" activeCell="Q9" sqref="Q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46008</v>
      </c>
      <c r="C6" s="76" t="s">
        <v>328</v>
      </c>
      <c r="D6" s="3">
        <f>B6</f>
        <v>46008</v>
      </c>
      <c r="E6" s="76" t="s">
        <v>322</v>
      </c>
      <c r="F6" s="76" t="s">
        <v>328</v>
      </c>
      <c r="G6" s="3">
        <f>D6</f>
        <v>46008</v>
      </c>
      <c r="H6" s="76" t="s">
        <v>322</v>
      </c>
      <c r="I6" s="76" t="s">
        <v>328</v>
      </c>
      <c r="J6" s="3">
        <f>D6</f>
        <v>46008</v>
      </c>
      <c r="K6" s="76" t="s">
        <v>322</v>
      </c>
      <c r="L6" s="76" t="s">
        <v>328</v>
      </c>
      <c r="M6" s="3">
        <f>D6</f>
        <v>46008</v>
      </c>
      <c r="N6" s="76" t="s">
        <v>322</v>
      </c>
      <c r="O6" s="76" t="s">
        <v>328</v>
      </c>
    </row>
    <row r="7" spans="1:15" x14ac:dyDescent="0.25">
      <c r="A7" s="101" t="str">
        <f>'Data Vlaue (Cr)'!C2</f>
        <v>360ONE</v>
      </c>
      <c r="B7" s="50">
        <f>VLOOKUP($A7,'Data Vlaue (Cr)'!$C:$FB,8)</f>
        <v>1126.0999999999999</v>
      </c>
      <c r="C7" s="50">
        <f>VLOOKUP($A7,'Data Vlaue (Cr)'!$C:$FB,11)*100</f>
        <v>-0.64</v>
      </c>
      <c r="D7" s="50">
        <f>VLOOKUP($A7,'Data Vlaue (Cr)'!$C:$FB,143)</f>
        <v>2157.81</v>
      </c>
      <c r="E7" s="50">
        <f>VLOOKUP($A7,'Data Vlaue (Cr)'!$C:$FB,144)</f>
        <v>165.63</v>
      </c>
      <c r="F7" s="50">
        <f>VLOOKUP($A7,'Data Vlaue (Cr)'!$C:$FB,146)*100</f>
        <v>1202.78</v>
      </c>
      <c r="G7" s="49">
        <f>VLOOKUP($A7,'Data Vlaue (Cr)'!$C:$FB,43)</f>
        <v>348</v>
      </c>
      <c r="H7" s="49">
        <f>VLOOKUP($A7,'Data Vlaue (Cr)'!$C:$FB,44)</f>
        <v>47</v>
      </c>
      <c r="I7" s="49">
        <f>VLOOKUP($A7,'Data Vlaue (Cr)'!$C:$FB,46)*100</f>
        <v>632.86</v>
      </c>
      <c r="J7" s="51">
        <f>VLOOKUP($A7,'Data Vlaue (Cr)'!$C:$FB,59)</f>
        <v>1079</v>
      </c>
      <c r="K7" s="51">
        <f>VLOOKUP($A7,'Data Vlaue (Cr)'!$C:$FB,60)</f>
        <v>78</v>
      </c>
      <c r="L7" s="51">
        <f>VLOOKUP($A7,'Data Vlaue (Cr)'!$C:$FB,62)*100</f>
        <v>1280.1299999999999</v>
      </c>
      <c r="M7" s="51">
        <f>VLOOKUP($A7,'Data Vlaue (Cr)'!$C:$FB,63)</f>
        <v>662</v>
      </c>
      <c r="N7" s="51">
        <f>VLOOKUP($A7,'Data Vlaue (Cr)'!$C:$FB,64)</f>
        <v>36</v>
      </c>
      <c r="O7" s="51">
        <f>VLOOKUP($A7,'Data Vlaue (Cr)'!$C:$FB,66)*100</f>
        <v>1747.4799999999998</v>
      </c>
    </row>
    <row r="8" spans="1:15" x14ac:dyDescent="0.25">
      <c r="A8" s="101" t="str">
        <f>'Data Vlaue (Cr)'!C3</f>
        <v>ABB</v>
      </c>
      <c r="B8" s="50">
        <f>VLOOKUP($A8,'Data Vlaue (Cr)'!$C:$FB,8)</f>
        <v>5171</v>
      </c>
      <c r="C8" s="50">
        <f>VLOOKUP($A8,'Data Vlaue (Cr)'!$C:$FB,11)*100</f>
        <v>-1.35</v>
      </c>
      <c r="D8" s="50">
        <f>VLOOKUP($A8,'Data Vlaue (Cr)'!$C:$FB,143)</f>
        <v>763.58</v>
      </c>
      <c r="E8" s="50">
        <f>VLOOKUP($A8,'Data Vlaue (Cr)'!$C:$FB,144)</f>
        <v>598.52</v>
      </c>
      <c r="F8" s="50">
        <f>VLOOKUP($A8,'Data Vlaue (Cr)'!$C:$FB,146)*100</f>
        <v>27.58</v>
      </c>
      <c r="G8" s="49">
        <f>VLOOKUP($A8,'Data Vlaue (Cr)'!$C:$FB,43)</f>
        <v>173</v>
      </c>
      <c r="H8" s="49">
        <f>VLOOKUP($A8,'Data Vlaue (Cr)'!$C:$FB,44)</f>
        <v>166</v>
      </c>
      <c r="I8" s="49">
        <f>VLOOKUP($A8,'Data Vlaue (Cr)'!$C:$FB,46)*100</f>
        <v>4.1399999999999997</v>
      </c>
      <c r="J8" s="51">
        <f>VLOOKUP($A8,'Data Vlaue (Cr)'!$C:$FB,59)</f>
        <v>381</v>
      </c>
      <c r="K8" s="51">
        <f>VLOOKUP($A8,'Data Vlaue (Cr)'!$C:$FB,60)</f>
        <v>271</v>
      </c>
      <c r="L8" s="51">
        <f>VLOOKUP($A8,'Data Vlaue (Cr)'!$C:$FB,62)*100</f>
        <v>40.36</v>
      </c>
      <c r="M8" s="51">
        <f>VLOOKUP($A8,'Data Vlaue (Cr)'!$C:$FB,63)</f>
        <v>191</v>
      </c>
      <c r="N8" s="51">
        <f>VLOOKUP($A8,'Data Vlaue (Cr)'!$C:$FB,64)</f>
        <v>141</v>
      </c>
      <c r="O8" s="51">
        <f>VLOOKUP($A8,'Data Vlaue (Cr)'!$C:$FB,66)*100</f>
        <v>35.56</v>
      </c>
    </row>
    <row r="9" spans="1:15" x14ac:dyDescent="0.25">
      <c r="A9" s="101" t="str">
        <f>'Data Vlaue (Cr)'!C4</f>
        <v>ABCAPITAL</v>
      </c>
      <c r="B9" s="50">
        <f>VLOOKUP($A9,'Data Vlaue (Cr)'!$C:$FB,8)</f>
        <v>346.8</v>
      </c>
      <c r="C9" s="50">
        <f>VLOOKUP($A9,'Data Vlaue (Cr)'!$C:$FB,11)*100</f>
        <v>-0.36</v>
      </c>
      <c r="D9" s="50">
        <f>VLOOKUP($A9,'Data Vlaue (Cr)'!$C:$FB,143)</f>
        <v>1949.71</v>
      </c>
      <c r="E9" s="50">
        <f>VLOOKUP($A9,'Data Vlaue (Cr)'!$C:$FB,144)</f>
        <v>1872.55</v>
      </c>
      <c r="F9" s="50">
        <f>VLOOKUP($A9,'Data Vlaue (Cr)'!$C:$FB,146)*100</f>
        <v>4.12</v>
      </c>
      <c r="G9" s="49">
        <f>VLOOKUP($A9,'Data Vlaue (Cr)'!$C:$FB,43)</f>
        <v>293</v>
      </c>
      <c r="H9" s="49">
        <f>VLOOKUP($A9,'Data Vlaue (Cr)'!$C:$FB,44)</f>
        <v>324</v>
      </c>
      <c r="I9" s="49">
        <f>VLOOKUP($A9,'Data Vlaue (Cr)'!$C:$FB,46)*100</f>
        <v>-9.5500000000000007</v>
      </c>
      <c r="J9" s="51">
        <f>VLOOKUP($A9,'Data Vlaue (Cr)'!$C:$FB,59)</f>
        <v>1037</v>
      </c>
      <c r="K9" s="51">
        <f>VLOOKUP($A9,'Data Vlaue (Cr)'!$C:$FB,60)</f>
        <v>1075</v>
      </c>
      <c r="L9" s="51">
        <f>VLOOKUP($A9,'Data Vlaue (Cr)'!$C:$FB,62)*100</f>
        <v>-3.5900000000000003</v>
      </c>
      <c r="M9" s="51">
        <f>VLOOKUP($A9,'Data Vlaue (Cr)'!$C:$FB,63)</f>
        <v>570</v>
      </c>
      <c r="N9" s="51">
        <f>VLOOKUP($A9,'Data Vlaue (Cr)'!$C:$FB,64)</f>
        <v>398</v>
      </c>
      <c r="O9" s="51">
        <f>VLOOKUP($A9,'Data Vlaue (Cr)'!$C:$FB,66)*100</f>
        <v>43.15</v>
      </c>
    </row>
    <row r="10" spans="1:15" x14ac:dyDescent="0.25">
      <c r="A10" s="101" t="str">
        <f>'Data Vlaue (Cr)'!C5</f>
        <v>ADANIENSOL</v>
      </c>
      <c r="B10" s="50">
        <f>VLOOKUP($A10,'Data Vlaue (Cr)'!$C:$FB,8)</f>
        <v>977.55</v>
      </c>
      <c r="C10" s="50">
        <f>VLOOKUP($A10,'Data Vlaue (Cr)'!$C:$FB,11)*100</f>
        <v>-1.68</v>
      </c>
      <c r="D10" s="50">
        <f>VLOOKUP($A10,'Data Vlaue (Cr)'!$C:$FB,143)</f>
        <v>743.03</v>
      </c>
      <c r="E10" s="50">
        <f>VLOOKUP($A10,'Data Vlaue (Cr)'!$C:$FB,144)</f>
        <v>650.71</v>
      </c>
      <c r="F10" s="50">
        <f>VLOOKUP($A10,'Data Vlaue (Cr)'!$C:$FB,146)*100</f>
        <v>14.19</v>
      </c>
      <c r="G10" s="49">
        <f>VLOOKUP($A10,'Data Vlaue (Cr)'!$C:$FB,43)</f>
        <v>127</v>
      </c>
      <c r="H10" s="49">
        <f>VLOOKUP($A10,'Data Vlaue (Cr)'!$C:$FB,44)</f>
        <v>89</v>
      </c>
      <c r="I10" s="49">
        <f>VLOOKUP($A10,'Data Vlaue (Cr)'!$C:$FB,46)*100</f>
        <v>42.6</v>
      </c>
      <c r="J10" s="51">
        <f>VLOOKUP($A10,'Data Vlaue (Cr)'!$C:$FB,59)</f>
        <v>372</v>
      </c>
      <c r="K10" s="51">
        <f>VLOOKUP($A10,'Data Vlaue (Cr)'!$C:$FB,60)</f>
        <v>311</v>
      </c>
      <c r="L10" s="51">
        <f>VLOOKUP($A10,'Data Vlaue (Cr)'!$C:$FB,62)*100</f>
        <v>19.66</v>
      </c>
      <c r="M10" s="51">
        <f>VLOOKUP($A10,'Data Vlaue (Cr)'!$C:$FB,63)</f>
        <v>224</v>
      </c>
      <c r="N10" s="51">
        <f>VLOOKUP($A10,'Data Vlaue (Cr)'!$C:$FB,64)</f>
        <v>226</v>
      </c>
      <c r="O10" s="51">
        <f>VLOOKUP($A10,'Data Vlaue (Cr)'!$C:$FB,66)*100</f>
        <v>-0.85000000000000009</v>
      </c>
    </row>
    <row r="11" spans="1:15" x14ac:dyDescent="0.25">
      <c r="A11" s="101" t="str">
        <f>'Data Vlaue (Cr)'!C6</f>
        <v>ADANIENT</v>
      </c>
      <c r="B11" s="50">
        <f>VLOOKUP($A11,'Data Vlaue (Cr)'!$C:$FB,8)</f>
        <v>2232.5</v>
      </c>
      <c r="C11" s="50">
        <f>VLOOKUP($A11,'Data Vlaue (Cr)'!$C:$FB,11)*100</f>
        <v>-0.69</v>
      </c>
      <c r="D11" s="50">
        <f>VLOOKUP($A11,'Data Vlaue (Cr)'!$C:$FB,143)</f>
        <v>3250.28</v>
      </c>
      <c r="E11" s="50">
        <f>VLOOKUP($A11,'Data Vlaue (Cr)'!$C:$FB,144)</f>
        <v>3308.27</v>
      </c>
      <c r="F11" s="50">
        <f>VLOOKUP($A11,'Data Vlaue (Cr)'!$C:$FB,146)*100</f>
        <v>-1.7500000000000002</v>
      </c>
      <c r="G11" s="49">
        <f>VLOOKUP($A11,'Data Vlaue (Cr)'!$C:$FB,43)</f>
        <v>423</v>
      </c>
      <c r="H11" s="49">
        <f>VLOOKUP($A11,'Data Vlaue (Cr)'!$C:$FB,44)</f>
        <v>490</v>
      </c>
      <c r="I11" s="49">
        <f>VLOOKUP($A11,'Data Vlaue (Cr)'!$C:$FB,46)*100</f>
        <v>-13.69</v>
      </c>
      <c r="J11" s="51">
        <f>VLOOKUP($A11,'Data Vlaue (Cr)'!$C:$FB,59)</f>
        <v>1865</v>
      </c>
      <c r="K11" s="51">
        <f>VLOOKUP($A11,'Data Vlaue (Cr)'!$C:$FB,60)</f>
        <v>1913</v>
      </c>
      <c r="L11" s="51">
        <f>VLOOKUP($A11,'Data Vlaue (Cr)'!$C:$FB,62)*100</f>
        <v>-2.5100000000000002</v>
      </c>
      <c r="M11" s="51">
        <f>VLOOKUP($A11,'Data Vlaue (Cr)'!$C:$FB,63)</f>
        <v>873</v>
      </c>
      <c r="N11" s="51">
        <f>VLOOKUP($A11,'Data Vlaue (Cr)'!$C:$FB,64)</f>
        <v>778</v>
      </c>
      <c r="O11" s="51">
        <f>VLOOKUP($A11,'Data Vlaue (Cr)'!$C:$FB,66)*100</f>
        <v>12.120000000000001</v>
      </c>
    </row>
    <row r="12" spans="1:15" x14ac:dyDescent="0.25">
      <c r="A12" s="101" t="str">
        <f>'Data Vlaue (Cr)'!C7</f>
        <v>ADANIGREEN</v>
      </c>
      <c r="B12" s="50">
        <f>VLOOKUP($A12,'Data Vlaue (Cr)'!$C:$FB,8)</f>
        <v>1020.7</v>
      </c>
      <c r="C12" s="50">
        <f>VLOOKUP($A12,'Data Vlaue (Cr)'!$C:$FB,11)*100</f>
        <v>-0.73</v>
      </c>
      <c r="D12" s="50">
        <f>VLOOKUP($A12,'Data Vlaue (Cr)'!$C:$FB,143)</f>
        <v>1766.78</v>
      </c>
      <c r="E12" s="50">
        <f>VLOOKUP($A12,'Data Vlaue (Cr)'!$C:$FB,144)</f>
        <v>2117.38</v>
      </c>
      <c r="F12" s="50">
        <f>VLOOKUP($A12,'Data Vlaue (Cr)'!$C:$FB,146)*100</f>
        <v>-16.559999999999999</v>
      </c>
      <c r="G12" s="49">
        <f>VLOOKUP($A12,'Data Vlaue (Cr)'!$C:$FB,43)</f>
        <v>194</v>
      </c>
      <c r="H12" s="49">
        <f>VLOOKUP($A12,'Data Vlaue (Cr)'!$C:$FB,44)</f>
        <v>226</v>
      </c>
      <c r="I12" s="49">
        <f>VLOOKUP($A12,'Data Vlaue (Cr)'!$C:$FB,46)*100</f>
        <v>-14.19</v>
      </c>
      <c r="J12" s="51">
        <f>VLOOKUP($A12,'Data Vlaue (Cr)'!$C:$FB,59)</f>
        <v>988</v>
      </c>
      <c r="K12" s="51">
        <f>VLOOKUP($A12,'Data Vlaue (Cr)'!$C:$FB,60)</f>
        <v>1045</v>
      </c>
      <c r="L12" s="51">
        <f>VLOOKUP($A12,'Data Vlaue (Cr)'!$C:$FB,62)*100</f>
        <v>-5.48</v>
      </c>
      <c r="M12" s="51">
        <f>VLOOKUP($A12,'Data Vlaue (Cr)'!$C:$FB,63)</f>
        <v>523</v>
      </c>
      <c r="N12" s="51">
        <f>VLOOKUP($A12,'Data Vlaue (Cr)'!$C:$FB,64)</f>
        <v>770</v>
      </c>
      <c r="O12" s="51">
        <f>VLOOKUP($A12,'Data Vlaue (Cr)'!$C:$FB,66)*100</f>
        <v>-32.049999999999997</v>
      </c>
    </row>
    <row r="13" spans="1:15" x14ac:dyDescent="0.25">
      <c r="A13" s="101" t="str">
        <f>'Data Vlaue (Cr)'!C8</f>
        <v>ADANIPORTS</v>
      </c>
      <c r="B13" s="50">
        <f>VLOOKUP($A13,'Data Vlaue (Cr)'!$C:$FB,8)</f>
        <v>1486.3</v>
      </c>
      <c r="C13" s="50">
        <f>VLOOKUP($A13,'Data Vlaue (Cr)'!$C:$FB,11)*100</f>
        <v>-0.85000000000000009</v>
      </c>
      <c r="D13" s="50">
        <f>VLOOKUP($A13,'Data Vlaue (Cr)'!$C:$FB,143)</f>
        <v>1825.39</v>
      </c>
      <c r="E13" s="50">
        <f>VLOOKUP($A13,'Data Vlaue (Cr)'!$C:$FB,144)</f>
        <v>1499.16</v>
      </c>
      <c r="F13" s="50">
        <f>VLOOKUP($A13,'Data Vlaue (Cr)'!$C:$FB,146)*100</f>
        <v>21.759999999999998</v>
      </c>
      <c r="G13" s="49">
        <f>VLOOKUP($A13,'Data Vlaue (Cr)'!$C:$FB,43)</f>
        <v>246</v>
      </c>
      <c r="H13" s="49">
        <f>VLOOKUP($A13,'Data Vlaue (Cr)'!$C:$FB,44)</f>
        <v>303</v>
      </c>
      <c r="I13" s="49">
        <f>VLOOKUP($A13,'Data Vlaue (Cr)'!$C:$FB,46)*100</f>
        <v>-18.88</v>
      </c>
      <c r="J13" s="51">
        <f>VLOOKUP($A13,'Data Vlaue (Cr)'!$C:$FB,59)</f>
        <v>1059</v>
      </c>
      <c r="K13" s="51">
        <f>VLOOKUP($A13,'Data Vlaue (Cr)'!$C:$FB,60)</f>
        <v>785</v>
      </c>
      <c r="L13" s="51">
        <f>VLOOKUP($A13,'Data Vlaue (Cr)'!$C:$FB,62)*100</f>
        <v>34.770000000000003</v>
      </c>
      <c r="M13" s="51">
        <f>VLOOKUP($A13,'Data Vlaue (Cr)'!$C:$FB,63)</f>
        <v>478</v>
      </c>
      <c r="N13" s="51">
        <f>VLOOKUP($A13,'Data Vlaue (Cr)'!$C:$FB,64)</f>
        <v>370</v>
      </c>
      <c r="O13" s="51">
        <f>VLOOKUP($A13,'Data Vlaue (Cr)'!$C:$FB,66)*100</f>
        <v>29.14</v>
      </c>
    </row>
    <row r="14" spans="1:15" x14ac:dyDescent="0.25">
      <c r="A14" s="101" t="str">
        <f>'Data Vlaue (Cr)'!C9</f>
        <v>ALKEM</v>
      </c>
      <c r="B14" s="50">
        <f>VLOOKUP($A14,'Data Vlaue (Cr)'!$C:$FB,8)</f>
        <v>5628.5</v>
      </c>
      <c r="C14" s="50">
        <f>VLOOKUP($A14,'Data Vlaue (Cr)'!$C:$FB,11)*100</f>
        <v>-0.62</v>
      </c>
      <c r="D14" s="50">
        <f>VLOOKUP($A14,'Data Vlaue (Cr)'!$C:$FB,143)</f>
        <v>370.92</v>
      </c>
      <c r="E14" s="50">
        <f>VLOOKUP($A14,'Data Vlaue (Cr)'!$C:$FB,144)</f>
        <v>242.34</v>
      </c>
      <c r="F14" s="50">
        <f>VLOOKUP($A14,'Data Vlaue (Cr)'!$C:$FB,146)*100</f>
        <v>53.059999999999995</v>
      </c>
      <c r="G14" s="49">
        <f>VLOOKUP($A14,'Data Vlaue (Cr)'!$C:$FB,43)</f>
        <v>127</v>
      </c>
      <c r="H14" s="49">
        <f>VLOOKUP($A14,'Data Vlaue (Cr)'!$C:$FB,44)</f>
        <v>62</v>
      </c>
      <c r="I14" s="49">
        <f>VLOOKUP($A14,'Data Vlaue (Cr)'!$C:$FB,46)*100</f>
        <v>104.89</v>
      </c>
      <c r="J14" s="51">
        <f>VLOOKUP($A14,'Data Vlaue (Cr)'!$C:$FB,59)</f>
        <v>170</v>
      </c>
      <c r="K14" s="51">
        <f>VLOOKUP($A14,'Data Vlaue (Cr)'!$C:$FB,60)</f>
        <v>134</v>
      </c>
      <c r="L14" s="51">
        <f>VLOOKUP($A14,'Data Vlaue (Cr)'!$C:$FB,62)*100</f>
        <v>26.400000000000002</v>
      </c>
      <c r="M14" s="51">
        <f>VLOOKUP($A14,'Data Vlaue (Cr)'!$C:$FB,63)</f>
        <v>71</v>
      </c>
      <c r="N14" s="51">
        <f>VLOOKUP($A14,'Data Vlaue (Cr)'!$C:$FB,64)</f>
        <v>43</v>
      </c>
      <c r="O14" s="51">
        <f>VLOOKUP($A14,'Data Vlaue (Cr)'!$C:$FB,66)*100</f>
        <v>65.349999999999994</v>
      </c>
    </row>
    <row r="15" spans="1:15" x14ac:dyDescent="0.25">
      <c r="A15" s="101" t="str">
        <f>'Data Vlaue (Cr)'!C10</f>
        <v>AMBER</v>
      </c>
      <c r="B15" s="50">
        <f>VLOOKUP($A15,'Data Vlaue (Cr)'!$C:$FB,8)</f>
        <v>6580.5</v>
      </c>
      <c r="C15" s="50">
        <f>VLOOKUP($A15,'Data Vlaue (Cr)'!$C:$FB,11)*100</f>
        <v>-2.94</v>
      </c>
      <c r="D15" s="50">
        <f>VLOOKUP($A15,'Data Vlaue (Cr)'!$C:$FB,143)</f>
        <v>2250.46</v>
      </c>
      <c r="E15" s="50">
        <f>VLOOKUP($A15,'Data Vlaue (Cr)'!$C:$FB,144)</f>
        <v>1427.93</v>
      </c>
      <c r="F15" s="50">
        <f>VLOOKUP($A15,'Data Vlaue (Cr)'!$C:$FB,146)*100</f>
        <v>57.599999999999994</v>
      </c>
      <c r="G15" s="49">
        <f>VLOOKUP($A15,'Data Vlaue (Cr)'!$C:$FB,43)</f>
        <v>222</v>
      </c>
      <c r="H15" s="49">
        <f>VLOOKUP($A15,'Data Vlaue (Cr)'!$C:$FB,44)</f>
        <v>133</v>
      </c>
      <c r="I15" s="49">
        <f>VLOOKUP($A15,'Data Vlaue (Cr)'!$C:$FB,46)*100</f>
        <v>66.55</v>
      </c>
      <c r="J15" s="51">
        <f>VLOOKUP($A15,'Data Vlaue (Cr)'!$C:$FB,59)</f>
        <v>1093</v>
      </c>
      <c r="K15" s="51">
        <f>VLOOKUP($A15,'Data Vlaue (Cr)'!$C:$FB,60)</f>
        <v>788</v>
      </c>
      <c r="L15" s="51">
        <f>VLOOKUP($A15,'Data Vlaue (Cr)'!$C:$FB,62)*100</f>
        <v>38.800000000000004</v>
      </c>
      <c r="M15" s="51">
        <f>VLOOKUP($A15,'Data Vlaue (Cr)'!$C:$FB,63)</f>
        <v>870</v>
      </c>
      <c r="N15" s="51">
        <f>VLOOKUP($A15,'Data Vlaue (Cr)'!$C:$FB,64)</f>
        <v>434</v>
      </c>
      <c r="O15" s="51">
        <f>VLOOKUP($A15,'Data Vlaue (Cr)'!$C:$FB,66)*100</f>
        <v>100.49</v>
      </c>
    </row>
    <row r="16" spans="1:15" x14ac:dyDescent="0.25">
      <c r="A16" s="101" t="str">
        <f>'Data Vlaue (Cr)'!C11</f>
        <v>AMBUJACEM</v>
      </c>
      <c r="B16" s="50">
        <f>VLOOKUP($A16,'Data Vlaue (Cr)'!$C:$FB,8)</f>
        <v>541.29999999999995</v>
      </c>
      <c r="C16" s="50">
        <f>VLOOKUP($A16,'Data Vlaue (Cr)'!$C:$FB,11)*100</f>
        <v>-1.35</v>
      </c>
      <c r="D16" s="50">
        <f>VLOOKUP($A16,'Data Vlaue (Cr)'!$C:$FB,143)</f>
        <v>560.54</v>
      </c>
      <c r="E16" s="50">
        <f>VLOOKUP($A16,'Data Vlaue (Cr)'!$C:$FB,144)</f>
        <v>816.52</v>
      </c>
      <c r="F16" s="50">
        <f>VLOOKUP($A16,'Data Vlaue (Cr)'!$C:$FB,146)*100</f>
        <v>-31.35</v>
      </c>
      <c r="G16" s="49">
        <f>VLOOKUP($A16,'Data Vlaue (Cr)'!$C:$FB,43)</f>
        <v>126</v>
      </c>
      <c r="H16" s="49">
        <f>VLOOKUP($A16,'Data Vlaue (Cr)'!$C:$FB,44)</f>
        <v>177</v>
      </c>
      <c r="I16" s="49">
        <f>VLOOKUP($A16,'Data Vlaue (Cr)'!$C:$FB,46)*100</f>
        <v>-28.87</v>
      </c>
      <c r="J16" s="51">
        <f>VLOOKUP($A16,'Data Vlaue (Cr)'!$C:$FB,59)</f>
        <v>292</v>
      </c>
      <c r="K16" s="51">
        <f>VLOOKUP($A16,'Data Vlaue (Cr)'!$C:$FB,60)</f>
        <v>387</v>
      </c>
      <c r="L16" s="51">
        <f>VLOOKUP($A16,'Data Vlaue (Cr)'!$C:$FB,62)*100</f>
        <v>-24.48</v>
      </c>
      <c r="M16" s="51">
        <f>VLOOKUP($A16,'Data Vlaue (Cr)'!$C:$FB,63)</f>
        <v>131</v>
      </c>
      <c r="N16" s="51">
        <f>VLOOKUP($A16,'Data Vlaue (Cr)'!$C:$FB,64)</f>
        <v>233</v>
      </c>
      <c r="O16" s="51">
        <f>VLOOKUP($A16,'Data Vlaue (Cr)'!$C:$FB,66)*100</f>
        <v>-43.81</v>
      </c>
    </row>
    <row r="17" spans="1:15" x14ac:dyDescent="0.25">
      <c r="A17" s="101" t="str">
        <f>'Data Vlaue (Cr)'!C12</f>
        <v>ANGELONE</v>
      </c>
      <c r="B17" s="50">
        <f>VLOOKUP($A17,'Data Vlaue (Cr)'!$C:$FB,8)</f>
        <v>2504.6</v>
      </c>
      <c r="C17" s="50">
        <f>VLOOKUP($A17,'Data Vlaue (Cr)'!$C:$FB,11)*100</f>
        <v>-1.0999999999999999</v>
      </c>
      <c r="D17" s="50">
        <f>VLOOKUP($A17,'Data Vlaue (Cr)'!$C:$FB,143)</f>
        <v>1672.35</v>
      </c>
      <c r="E17" s="50">
        <f>VLOOKUP($A17,'Data Vlaue (Cr)'!$C:$FB,144)</f>
        <v>1632.95</v>
      </c>
      <c r="F17" s="50">
        <f>VLOOKUP($A17,'Data Vlaue (Cr)'!$C:$FB,146)*100</f>
        <v>2.41</v>
      </c>
      <c r="G17" s="49">
        <f>VLOOKUP($A17,'Data Vlaue (Cr)'!$C:$FB,43)</f>
        <v>231</v>
      </c>
      <c r="H17" s="49">
        <f>VLOOKUP($A17,'Data Vlaue (Cr)'!$C:$FB,44)</f>
        <v>220</v>
      </c>
      <c r="I17" s="49">
        <f>VLOOKUP($A17,'Data Vlaue (Cr)'!$C:$FB,46)*100</f>
        <v>4.75</v>
      </c>
      <c r="J17" s="51">
        <f>VLOOKUP($A17,'Data Vlaue (Cr)'!$C:$FB,59)</f>
        <v>965</v>
      </c>
      <c r="K17" s="51">
        <f>VLOOKUP($A17,'Data Vlaue (Cr)'!$C:$FB,60)</f>
        <v>876</v>
      </c>
      <c r="L17" s="51">
        <f>VLOOKUP($A17,'Data Vlaue (Cr)'!$C:$FB,62)*100</f>
        <v>10.08</v>
      </c>
      <c r="M17" s="51">
        <f>VLOOKUP($A17,'Data Vlaue (Cr)'!$C:$FB,63)</f>
        <v>389</v>
      </c>
      <c r="N17" s="51">
        <f>VLOOKUP($A17,'Data Vlaue (Cr)'!$C:$FB,64)</f>
        <v>447</v>
      </c>
      <c r="O17" s="51">
        <f>VLOOKUP($A17,'Data Vlaue (Cr)'!$C:$FB,66)*100</f>
        <v>-12.959999999999999</v>
      </c>
    </row>
    <row r="18" spans="1:15" x14ac:dyDescent="0.25">
      <c r="A18" s="101" t="str">
        <f>'Data Vlaue (Cr)'!C13</f>
        <v>APLAPOLLO</v>
      </c>
      <c r="B18" s="50">
        <f>VLOOKUP($A18,'Data Vlaue (Cr)'!$C:$FB,8)</f>
        <v>1764.5</v>
      </c>
      <c r="C18" s="50">
        <f>VLOOKUP($A18,'Data Vlaue (Cr)'!$C:$FB,11)*100</f>
        <v>1.82</v>
      </c>
      <c r="D18" s="50">
        <f>VLOOKUP($A18,'Data Vlaue (Cr)'!$C:$FB,143)</f>
        <v>1640.58</v>
      </c>
      <c r="E18" s="50">
        <f>VLOOKUP($A18,'Data Vlaue (Cr)'!$C:$FB,144)</f>
        <v>232.53</v>
      </c>
      <c r="F18" s="50">
        <f>VLOOKUP($A18,'Data Vlaue (Cr)'!$C:$FB,146)*100</f>
        <v>605.54</v>
      </c>
      <c r="G18" s="49">
        <f>VLOOKUP($A18,'Data Vlaue (Cr)'!$C:$FB,43)</f>
        <v>229</v>
      </c>
      <c r="H18" s="49">
        <f>VLOOKUP($A18,'Data Vlaue (Cr)'!$C:$FB,44)</f>
        <v>99</v>
      </c>
      <c r="I18" s="49">
        <f>VLOOKUP($A18,'Data Vlaue (Cr)'!$C:$FB,46)*100</f>
        <v>131.97</v>
      </c>
      <c r="J18" s="51">
        <f>VLOOKUP($A18,'Data Vlaue (Cr)'!$C:$FB,59)</f>
        <v>1057</v>
      </c>
      <c r="K18" s="51">
        <f>VLOOKUP($A18,'Data Vlaue (Cr)'!$C:$FB,60)</f>
        <v>97</v>
      </c>
      <c r="L18" s="51">
        <f>VLOOKUP($A18,'Data Vlaue (Cr)'!$C:$FB,62)*100</f>
        <v>988.27</v>
      </c>
      <c r="M18" s="51">
        <f>VLOOKUP($A18,'Data Vlaue (Cr)'!$C:$FB,63)</f>
        <v>339</v>
      </c>
      <c r="N18" s="51">
        <f>VLOOKUP($A18,'Data Vlaue (Cr)'!$C:$FB,64)</f>
        <v>38</v>
      </c>
      <c r="O18" s="51">
        <f>VLOOKUP($A18,'Data Vlaue (Cr)'!$C:$FB,66)*100</f>
        <v>783.36</v>
      </c>
    </row>
    <row r="19" spans="1:15" x14ac:dyDescent="0.25">
      <c r="A19" s="101" t="str">
        <f>'Data Vlaue (Cr)'!C14</f>
        <v>APOLLOHOSP</v>
      </c>
      <c r="B19" s="50">
        <f>VLOOKUP($A19,'Data Vlaue (Cr)'!$C:$FB,8)</f>
        <v>6921.5</v>
      </c>
      <c r="C19" s="50">
        <f>VLOOKUP($A19,'Data Vlaue (Cr)'!$C:$FB,11)*100</f>
        <v>-1.8399999999999999</v>
      </c>
      <c r="D19" s="50">
        <f>VLOOKUP($A19,'Data Vlaue (Cr)'!$C:$FB,143)</f>
        <v>3625.48</v>
      </c>
      <c r="E19" s="50">
        <f>VLOOKUP($A19,'Data Vlaue (Cr)'!$C:$FB,144)</f>
        <v>2868.77</v>
      </c>
      <c r="F19" s="50">
        <f>VLOOKUP($A19,'Data Vlaue (Cr)'!$C:$FB,146)*100</f>
        <v>26.38</v>
      </c>
      <c r="G19" s="49">
        <f>VLOOKUP($A19,'Data Vlaue (Cr)'!$C:$FB,43)</f>
        <v>366</v>
      </c>
      <c r="H19" s="49">
        <f>VLOOKUP($A19,'Data Vlaue (Cr)'!$C:$FB,44)</f>
        <v>286</v>
      </c>
      <c r="I19" s="49">
        <f>VLOOKUP($A19,'Data Vlaue (Cr)'!$C:$FB,46)*100</f>
        <v>27.83</v>
      </c>
      <c r="J19" s="51">
        <f>VLOOKUP($A19,'Data Vlaue (Cr)'!$C:$FB,59)</f>
        <v>2045</v>
      </c>
      <c r="K19" s="51">
        <f>VLOOKUP($A19,'Data Vlaue (Cr)'!$C:$FB,60)</f>
        <v>1977</v>
      </c>
      <c r="L19" s="51">
        <f>VLOOKUP($A19,'Data Vlaue (Cr)'!$C:$FB,62)*100</f>
        <v>3.44</v>
      </c>
      <c r="M19" s="51">
        <f>VLOOKUP($A19,'Data Vlaue (Cr)'!$C:$FB,63)</f>
        <v>1107</v>
      </c>
      <c r="N19" s="51">
        <f>VLOOKUP($A19,'Data Vlaue (Cr)'!$C:$FB,64)</f>
        <v>481</v>
      </c>
      <c r="O19" s="51">
        <f>VLOOKUP($A19,'Data Vlaue (Cr)'!$C:$FB,66)*100</f>
        <v>129.95000000000002</v>
      </c>
    </row>
    <row r="20" spans="1:15" x14ac:dyDescent="0.25">
      <c r="A20" s="101" t="str">
        <f>'Data Vlaue (Cr)'!C15</f>
        <v>ASHOKLEY</v>
      </c>
      <c r="B20" s="50">
        <f>VLOOKUP($A20,'Data Vlaue (Cr)'!$C:$FB,8)</f>
        <v>166.14</v>
      </c>
      <c r="C20" s="50">
        <f>VLOOKUP($A20,'Data Vlaue (Cr)'!$C:$FB,11)*100</f>
        <v>-0.96</v>
      </c>
      <c r="D20" s="50">
        <f>VLOOKUP($A20,'Data Vlaue (Cr)'!$C:$FB,143)</f>
        <v>2066.5500000000002</v>
      </c>
      <c r="E20" s="50">
        <f>VLOOKUP($A20,'Data Vlaue (Cr)'!$C:$FB,144)</f>
        <v>3681.28</v>
      </c>
      <c r="F20" s="50">
        <f>VLOOKUP($A20,'Data Vlaue (Cr)'!$C:$FB,146)*100</f>
        <v>-43.86</v>
      </c>
      <c r="G20" s="49">
        <f>VLOOKUP($A20,'Data Vlaue (Cr)'!$C:$FB,43)</f>
        <v>367</v>
      </c>
      <c r="H20" s="49">
        <f>VLOOKUP($A20,'Data Vlaue (Cr)'!$C:$FB,44)</f>
        <v>534</v>
      </c>
      <c r="I20" s="49">
        <f>VLOOKUP($A20,'Data Vlaue (Cr)'!$C:$FB,46)*100</f>
        <v>-31.3</v>
      </c>
      <c r="J20" s="51">
        <f>VLOOKUP($A20,'Data Vlaue (Cr)'!$C:$FB,59)</f>
        <v>1017</v>
      </c>
      <c r="K20" s="51">
        <f>VLOOKUP($A20,'Data Vlaue (Cr)'!$C:$FB,60)</f>
        <v>2098</v>
      </c>
      <c r="L20" s="51">
        <f>VLOOKUP($A20,'Data Vlaue (Cr)'!$C:$FB,62)*100</f>
        <v>-51.53</v>
      </c>
      <c r="M20" s="51">
        <f>VLOOKUP($A20,'Data Vlaue (Cr)'!$C:$FB,63)</f>
        <v>673</v>
      </c>
      <c r="N20" s="51">
        <f>VLOOKUP($A20,'Data Vlaue (Cr)'!$C:$FB,64)</f>
        <v>1002</v>
      </c>
      <c r="O20" s="51">
        <f>VLOOKUP($A20,'Data Vlaue (Cr)'!$C:$FB,66)*100</f>
        <v>-32.800000000000004</v>
      </c>
    </row>
    <row r="21" spans="1:15" x14ac:dyDescent="0.25">
      <c r="A21" s="101" t="str">
        <f>'Data Vlaue (Cr)'!C16</f>
        <v>ASIANPAINT</v>
      </c>
      <c r="B21" s="50">
        <f>VLOOKUP($A21,'Data Vlaue (Cr)'!$C:$FB,8)</f>
        <v>2785.7</v>
      </c>
      <c r="C21" s="50">
        <f>VLOOKUP($A21,'Data Vlaue (Cr)'!$C:$FB,11)*100</f>
        <v>-0.19</v>
      </c>
      <c r="D21" s="50">
        <f>VLOOKUP($A21,'Data Vlaue (Cr)'!$C:$FB,143)</f>
        <v>2897.44</v>
      </c>
      <c r="E21" s="50">
        <f>VLOOKUP($A21,'Data Vlaue (Cr)'!$C:$FB,144)</f>
        <v>4444.55</v>
      </c>
      <c r="F21" s="50">
        <f>VLOOKUP($A21,'Data Vlaue (Cr)'!$C:$FB,146)*100</f>
        <v>-34.81</v>
      </c>
      <c r="G21" s="49">
        <f>VLOOKUP($A21,'Data Vlaue (Cr)'!$C:$FB,43)</f>
        <v>332</v>
      </c>
      <c r="H21" s="49">
        <f>VLOOKUP($A21,'Data Vlaue (Cr)'!$C:$FB,44)</f>
        <v>379</v>
      </c>
      <c r="I21" s="49">
        <f>VLOOKUP($A21,'Data Vlaue (Cr)'!$C:$FB,46)*100</f>
        <v>-12.23</v>
      </c>
      <c r="J21" s="51">
        <f>VLOOKUP($A21,'Data Vlaue (Cr)'!$C:$FB,59)</f>
        <v>1815</v>
      </c>
      <c r="K21" s="51">
        <f>VLOOKUP($A21,'Data Vlaue (Cr)'!$C:$FB,60)</f>
        <v>2968</v>
      </c>
      <c r="L21" s="51">
        <f>VLOOKUP($A21,'Data Vlaue (Cr)'!$C:$FB,62)*100</f>
        <v>-38.85</v>
      </c>
      <c r="M21" s="51">
        <f>VLOOKUP($A21,'Data Vlaue (Cr)'!$C:$FB,63)</f>
        <v>692</v>
      </c>
      <c r="N21" s="51">
        <f>VLOOKUP($A21,'Data Vlaue (Cr)'!$C:$FB,64)</f>
        <v>1004</v>
      </c>
      <c r="O21" s="51">
        <f>VLOOKUP($A21,'Data Vlaue (Cr)'!$C:$FB,66)*100</f>
        <v>-31.03</v>
      </c>
    </row>
    <row r="22" spans="1:15" x14ac:dyDescent="0.25">
      <c r="A22" s="101" t="str">
        <f>'Data Vlaue (Cr)'!C17</f>
        <v>ASTRAL</v>
      </c>
      <c r="B22" s="50">
        <f>VLOOKUP($A22,'Data Vlaue (Cr)'!$C:$FB,8)</f>
        <v>1428.9</v>
      </c>
      <c r="C22" s="50">
        <f>VLOOKUP($A22,'Data Vlaue (Cr)'!$C:$FB,11)*100</f>
        <v>-2.3199999999999998</v>
      </c>
      <c r="D22" s="50">
        <f>VLOOKUP($A22,'Data Vlaue (Cr)'!$C:$FB,143)</f>
        <v>1270.31</v>
      </c>
      <c r="E22" s="50">
        <f>VLOOKUP($A22,'Data Vlaue (Cr)'!$C:$FB,144)</f>
        <v>3545.94</v>
      </c>
      <c r="F22" s="50">
        <f>VLOOKUP($A22,'Data Vlaue (Cr)'!$C:$FB,146)*100</f>
        <v>-64.180000000000007</v>
      </c>
      <c r="G22" s="49">
        <f>VLOOKUP($A22,'Data Vlaue (Cr)'!$C:$FB,43)</f>
        <v>179</v>
      </c>
      <c r="H22" s="49">
        <f>VLOOKUP($A22,'Data Vlaue (Cr)'!$C:$FB,44)</f>
        <v>516</v>
      </c>
      <c r="I22" s="49">
        <f>VLOOKUP($A22,'Data Vlaue (Cr)'!$C:$FB,46)*100</f>
        <v>-65.28</v>
      </c>
      <c r="J22" s="51">
        <f>VLOOKUP($A22,'Data Vlaue (Cr)'!$C:$FB,59)</f>
        <v>616</v>
      </c>
      <c r="K22" s="51">
        <f>VLOOKUP($A22,'Data Vlaue (Cr)'!$C:$FB,60)</f>
        <v>2029</v>
      </c>
      <c r="L22" s="51">
        <f>VLOOKUP($A22,'Data Vlaue (Cr)'!$C:$FB,62)*100</f>
        <v>-69.62</v>
      </c>
      <c r="M22" s="51">
        <f>VLOOKUP($A22,'Data Vlaue (Cr)'!$C:$FB,63)</f>
        <v>442</v>
      </c>
      <c r="N22" s="51">
        <f>VLOOKUP($A22,'Data Vlaue (Cr)'!$C:$FB,64)</f>
        <v>885</v>
      </c>
      <c r="O22" s="51">
        <f>VLOOKUP($A22,'Data Vlaue (Cr)'!$C:$FB,66)*100</f>
        <v>-50.11</v>
      </c>
    </row>
    <row r="23" spans="1:15" x14ac:dyDescent="0.25">
      <c r="A23" s="101" t="str">
        <f>'Data Vlaue (Cr)'!C18</f>
        <v>AUBANK</v>
      </c>
      <c r="B23" s="50">
        <f>VLOOKUP($A23,'Data Vlaue (Cr)'!$C:$FB,8)</f>
        <v>990.3</v>
      </c>
      <c r="C23" s="50">
        <f>VLOOKUP($A23,'Data Vlaue (Cr)'!$C:$FB,11)*100</f>
        <v>0.9900000000000001</v>
      </c>
      <c r="D23" s="50">
        <f>VLOOKUP($A23,'Data Vlaue (Cr)'!$C:$FB,143)</f>
        <v>3347.69</v>
      </c>
      <c r="E23" s="50">
        <f>VLOOKUP($A23,'Data Vlaue (Cr)'!$C:$FB,144)</f>
        <v>1237.6400000000001</v>
      </c>
      <c r="F23" s="50">
        <f>VLOOKUP($A23,'Data Vlaue (Cr)'!$C:$FB,146)*100</f>
        <v>170.49</v>
      </c>
      <c r="G23" s="49">
        <f>VLOOKUP($A23,'Data Vlaue (Cr)'!$C:$FB,43)</f>
        <v>631</v>
      </c>
      <c r="H23" s="49">
        <f>VLOOKUP($A23,'Data Vlaue (Cr)'!$C:$FB,44)</f>
        <v>336</v>
      </c>
      <c r="I23" s="49">
        <f>VLOOKUP($A23,'Data Vlaue (Cr)'!$C:$FB,46)*100</f>
        <v>87.48</v>
      </c>
      <c r="J23" s="51">
        <f>VLOOKUP($A23,'Data Vlaue (Cr)'!$C:$FB,59)</f>
        <v>1892</v>
      </c>
      <c r="K23" s="51">
        <f>VLOOKUP($A23,'Data Vlaue (Cr)'!$C:$FB,60)</f>
        <v>522</v>
      </c>
      <c r="L23" s="51">
        <f>VLOOKUP($A23,'Data Vlaue (Cr)'!$C:$FB,62)*100</f>
        <v>262.81</v>
      </c>
      <c r="M23" s="51">
        <f>VLOOKUP($A23,'Data Vlaue (Cr)'!$C:$FB,63)</f>
        <v>772</v>
      </c>
      <c r="N23" s="51">
        <f>VLOOKUP($A23,'Data Vlaue (Cr)'!$C:$FB,64)</f>
        <v>377</v>
      </c>
      <c r="O23" s="51">
        <f>VLOOKUP($A23,'Data Vlaue (Cr)'!$C:$FB,66)*100</f>
        <v>104.69</v>
      </c>
    </row>
    <row r="24" spans="1:15" x14ac:dyDescent="0.25">
      <c r="A24" s="101" t="str">
        <f>'Data Vlaue (Cr)'!C19</f>
        <v>AUROPHARMA</v>
      </c>
      <c r="B24" s="50">
        <f>VLOOKUP($A24,'Data Vlaue (Cr)'!$C:$FB,8)</f>
        <v>1193</v>
      </c>
      <c r="C24" s="50">
        <f>VLOOKUP($A24,'Data Vlaue (Cr)'!$C:$FB,11)*100</f>
        <v>1.26</v>
      </c>
      <c r="D24" s="50">
        <f>VLOOKUP($A24,'Data Vlaue (Cr)'!$C:$FB,143)</f>
        <v>715.18</v>
      </c>
      <c r="E24" s="50">
        <f>VLOOKUP($A24,'Data Vlaue (Cr)'!$C:$FB,144)</f>
        <v>687.13</v>
      </c>
      <c r="F24" s="50">
        <f>VLOOKUP($A24,'Data Vlaue (Cr)'!$C:$FB,146)*100</f>
        <v>4.08</v>
      </c>
      <c r="G24" s="49">
        <f>VLOOKUP($A24,'Data Vlaue (Cr)'!$C:$FB,43)</f>
        <v>195</v>
      </c>
      <c r="H24" s="49">
        <f>VLOOKUP($A24,'Data Vlaue (Cr)'!$C:$FB,44)</f>
        <v>183</v>
      </c>
      <c r="I24" s="49">
        <f>VLOOKUP($A24,'Data Vlaue (Cr)'!$C:$FB,46)*100</f>
        <v>6.88</v>
      </c>
      <c r="J24" s="51">
        <f>VLOOKUP($A24,'Data Vlaue (Cr)'!$C:$FB,59)</f>
        <v>379</v>
      </c>
      <c r="K24" s="51">
        <f>VLOOKUP($A24,'Data Vlaue (Cr)'!$C:$FB,60)</f>
        <v>277</v>
      </c>
      <c r="L24" s="51">
        <f>VLOOKUP($A24,'Data Vlaue (Cr)'!$C:$FB,62)*100</f>
        <v>36.51</v>
      </c>
      <c r="M24" s="51">
        <f>VLOOKUP($A24,'Data Vlaue (Cr)'!$C:$FB,63)</f>
        <v>135</v>
      </c>
      <c r="N24" s="51">
        <f>VLOOKUP($A24,'Data Vlaue (Cr)'!$C:$FB,64)</f>
        <v>222</v>
      </c>
      <c r="O24" s="51">
        <f>VLOOKUP($A24,'Data Vlaue (Cr)'!$C:$FB,66)*100</f>
        <v>-38.97</v>
      </c>
    </row>
    <row r="25" spans="1:15" x14ac:dyDescent="0.25">
      <c r="A25" s="101" t="str">
        <f>'Data Vlaue (Cr)'!C20</f>
        <v>AXISBANK</v>
      </c>
      <c r="B25" s="50">
        <f>VLOOKUP($A25,'Data Vlaue (Cr)'!$C:$FB,8)</f>
        <v>1224.7</v>
      </c>
      <c r="C25" s="50">
        <f>VLOOKUP($A25,'Data Vlaue (Cr)'!$C:$FB,11)*100</f>
        <v>0.42</v>
      </c>
      <c r="D25" s="50">
        <f>VLOOKUP($A25,'Data Vlaue (Cr)'!$C:$FB,143)</f>
        <v>12400.16</v>
      </c>
      <c r="E25" s="50">
        <f>VLOOKUP($A25,'Data Vlaue (Cr)'!$C:$FB,144)</f>
        <v>28492.63</v>
      </c>
      <c r="F25" s="50">
        <f>VLOOKUP($A25,'Data Vlaue (Cr)'!$C:$FB,146)*100</f>
        <v>-56.48</v>
      </c>
      <c r="G25" s="49">
        <f>VLOOKUP($A25,'Data Vlaue (Cr)'!$C:$FB,43)</f>
        <v>1115</v>
      </c>
      <c r="H25" s="49">
        <f>VLOOKUP($A25,'Data Vlaue (Cr)'!$C:$FB,44)</f>
        <v>3183</v>
      </c>
      <c r="I25" s="49">
        <f>VLOOKUP($A25,'Data Vlaue (Cr)'!$C:$FB,46)*100</f>
        <v>-64.959999999999994</v>
      </c>
      <c r="J25" s="51">
        <f>VLOOKUP($A25,'Data Vlaue (Cr)'!$C:$FB,59)</f>
        <v>6713</v>
      </c>
      <c r="K25" s="51">
        <f>VLOOKUP($A25,'Data Vlaue (Cr)'!$C:$FB,60)</f>
        <v>13708</v>
      </c>
      <c r="L25" s="51">
        <f>VLOOKUP($A25,'Data Vlaue (Cr)'!$C:$FB,62)*100</f>
        <v>-51.03</v>
      </c>
      <c r="M25" s="51">
        <f>VLOOKUP($A25,'Data Vlaue (Cr)'!$C:$FB,63)</f>
        <v>4417</v>
      </c>
      <c r="N25" s="51">
        <f>VLOOKUP($A25,'Data Vlaue (Cr)'!$C:$FB,64)</f>
        <v>10913</v>
      </c>
      <c r="O25" s="51">
        <f>VLOOKUP($A25,'Data Vlaue (Cr)'!$C:$FB,66)*100</f>
        <v>-59.519999999999996</v>
      </c>
    </row>
    <row r="26" spans="1:15" x14ac:dyDescent="0.25">
      <c r="A26" s="101" t="str">
        <f>'Data Vlaue (Cr)'!C21</f>
        <v>BAJAJ-AUTO</v>
      </c>
      <c r="B26" s="50">
        <f>VLOOKUP($A26,'Data Vlaue (Cr)'!$C:$FB,8)</f>
        <v>8895</v>
      </c>
      <c r="C26" s="50">
        <f>VLOOKUP($A26,'Data Vlaue (Cr)'!$C:$FB,11)*100</f>
        <v>-1.25</v>
      </c>
      <c r="D26" s="50">
        <f>VLOOKUP($A26,'Data Vlaue (Cr)'!$C:$FB,143)</f>
        <v>3841.16</v>
      </c>
      <c r="E26" s="50">
        <f>VLOOKUP($A26,'Data Vlaue (Cr)'!$C:$FB,144)</f>
        <v>3032.37</v>
      </c>
      <c r="F26" s="50">
        <f>VLOOKUP($A26,'Data Vlaue (Cr)'!$C:$FB,146)*100</f>
        <v>26.669999999999998</v>
      </c>
      <c r="G26" s="49">
        <f>VLOOKUP($A26,'Data Vlaue (Cr)'!$C:$FB,43)</f>
        <v>517</v>
      </c>
      <c r="H26" s="49">
        <f>VLOOKUP($A26,'Data Vlaue (Cr)'!$C:$FB,44)</f>
        <v>356</v>
      </c>
      <c r="I26" s="49">
        <f>VLOOKUP($A26,'Data Vlaue (Cr)'!$C:$FB,46)*100</f>
        <v>44.98</v>
      </c>
      <c r="J26" s="51">
        <f>VLOOKUP($A26,'Data Vlaue (Cr)'!$C:$FB,59)</f>
        <v>1875</v>
      </c>
      <c r="K26" s="51">
        <f>VLOOKUP($A26,'Data Vlaue (Cr)'!$C:$FB,60)</f>
        <v>1797</v>
      </c>
      <c r="L26" s="51">
        <f>VLOOKUP($A26,'Data Vlaue (Cr)'!$C:$FB,62)*100</f>
        <v>4.32</v>
      </c>
      <c r="M26" s="51">
        <f>VLOOKUP($A26,'Data Vlaue (Cr)'!$C:$FB,63)</f>
        <v>1376</v>
      </c>
      <c r="N26" s="51">
        <f>VLOOKUP($A26,'Data Vlaue (Cr)'!$C:$FB,64)</f>
        <v>810</v>
      </c>
      <c r="O26" s="51">
        <f>VLOOKUP($A26,'Data Vlaue (Cr)'!$C:$FB,66)*100</f>
        <v>69.849999999999994</v>
      </c>
    </row>
    <row r="27" spans="1:15" x14ac:dyDescent="0.25">
      <c r="A27" s="101" t="str">
        <f>'Data Vlaue (Cr)'!C22</f>
        <v>BAJAJFINSV</v>
      </c>
      <c r="B27" s="50">
        <f>VLOOKUP($A27,'Data Vlaue (Cr)'!$C:$FB,8)</f>
        <v>2021.2</v>
      </c>
      <c r="C27" s="50">
        <f>VLOOKUP($A27,'Data Vlaue (Cr)'!$C:$FB,11)*100</f>
        <v>-0.69</v>
      </c>
      <c r="D27" s="50">
        <f>VLOOKUP($A27,'Data Vlaue (Cr)'!$C:$FB,143)</f>
        <v>1783.47</v>
      </c>
      <c r="E27" s="50">
        <f>VLOOKUP($A27,'Data Vlaue (Cr)'!$C:$FB,144)</f>
        <v>1687.87</v>
      </c>
      <c r="F27" s="50">
        <f>VLOOKUP($A27,'Data Vlaue (Cr)'!$C:$FB,146)*100</f>
        <v>5.66</v>
      </c>
      <c r="G27" s="49">
        <f>VLOOKUP($A27,'Data Vlaue (Cr)'!$C:$FB,43)</f>
        <v>301</v>
      </c>
      <c r="H27" s="49">
        <f>VLOOKUP($A27,'Data Vlaue (Cr)'!$C:$FB,44)</f>
        <v>342</v>
      </c>
      <c r="I27" s="49">
        <f>VLOOKUP($A27,'Data Vlaue (Cr)'!$C:$FB,46)*100</f>
        <v>-12.11</v>
      </c>
      <c r="J27" s="51">
        <f>VLOOKUP($A27,'Data Vlaue (Cr)'!$C:$FB,59)</f>
        <v>866</v>
      </c>
      <c r="K27" s="51">
        <f>VLOOKUP($A27,'Data Vlaue (Cr)'!$C:$FB,60)</f>
        <v>793</v>
      </c>
      <c r="L27" s="51">
        <f>VLOOKUP($A27,'Data Vlaue (Cr)'!$C:$FB,62)*100</f>
        <v>9.2299999999999986</v>
      </c>
      <c r="M27" s="51">
        <f>VLOOKUP($A27,'Data Vlaue (Cr)'!$C:$FB,63)</f>
        <v>583</v>
      </c>
      <c r="N27" s="51">
        <f>VLOOKUP($A27,'Data Vlaue (Cr)'!$C:$FB,64)</f>
        <v>508</v>
      </c>
      <c r="O27" s="51">
        <f>VLOOKUP($A27,'Data Vlaue (Cr)'!$C:$FB,66)*100</f>
        <v>14.69</v>
      </c>
    </row>
    <row r="28" spans="1:15" x14ac:dyDescent="0.25">
      <c r="A28" s="101" t="str">
        <f>'Data Vlaue (Cr)'!C23</f>
        <v>BAJFINANCE</v>
      </c>
      <c r="B28" s="50">
        <f>VLOOKUP($A28,'Data Vlaue (Cr)'!$C:$FB,8)</f>
        <v>999.6</v>
      </c>
      <c r="C28" s="50">
        <f>VLOOKUP($A28,'Data Vlaue (Cr)'!$C:$FB,11)*100</f>
        <v>0.12</v>
      </c>
      <c r="D28" s="50">
        <f>VLOOKUP($A28,'Data Vlaue (Cr)'!$C:$FB,143)</f>
        <v>4887.41</v>
      </c>
      <c r="E28" s="50">
        <f>VLOOKUP($A28,'Data Vlaue (Cr)'!$C:$FB,144)</f>
        <v>3986.7</v>
      </c>
      <c r="F28" s="50">
        <f>VLOOKUP($A28,'Data Vlaue (Cr)'!$C:$FB,146)*100</f>
        <v>22.59</v>
      </c>
      <c r="G28" s="49">
        <f>VLOOKUP($A28,'Data Vlaue (Cr)'!$C:$FB,43)</f>
        <v>966</v>
      </c>
      <c r="H28" s="49">
        <f>VLOOKUP($A28,'Data Vlaue (Cr)'!$C:$FB,44)</f>
        <v>824</v>
      </c>
      <c r="I28" s="49">
        <f>VLOOKUP($A28,'Data Vlaue (Cr)'!$C:$FB,46)*100</f>
        <v>17.260000000000002</v>
      </c>
      <c r="J28" s="51">
        <f>VLOOKUP($A28,'Data Vlaue (Cr)'!$C:$FB,59)</f>
        <v>2594</v>
      </c>
      <c r="K28" s="51">
        <f>VLOOKUP($A28,'Data Vlaue (Cr)'!$C:$FB,60)</f>
        <v>2097</v>
      </c>
      <c r="L28" s="51">
        <f>VLOOKUP($A28,'Data Vlaue (Cr)'!$C:$FB,62)*100</f>
        <v>23.71</v>
      </c>
      <c r="M28" s="51">
        <f>VLOOKUP($A28,'Data Vlaue (Cr)'!$C:$FB,63)</f>
        <v>1220</v>
      </c>
      <c r="N28" s="51">
        <f>VLOOKUP($A28,'Data Vlaue (Cr)'!$C:$FB,64)</f>
        <v>959</v>
      </c>
      <c r="O28" s="51">
        <f>VLOOKUP($A28,'Data Vlaue (Cr)'!$C:$FB,66)*100</f>
        <v>27.27</v>
      </c>
    </row>
    <row r="29" spans="1:15" x14ac:dyDescent="0.25">
      <c r="A29" s="101" t="str">
        <f>'Data Vlaue (Cr)'!C24</f>
        <v>BANDHANBNK</v>
      </c>
      <c r="B29" s="50">
        <f>VLOOKUP($A29,'Data Vlaue (Cr)'!$C:$FB,8)</f>
        <v>147.84</v>
      </c>
      <c r="C29" s="50">
        <f>VLOOKUP($A29,'Data Vlaue (Cr)'!$C:$FB,11)*100</f>
        <v>-1.0999999999999999</v>
      </c>
      <c r="D29" s="50">
        <f>VLOOKUP($A29,'Data Vlaue (Cr)'!$C:$FB,143)</f>
        <v>36.18</v>
      </c>
      <c r="E29" s="50">
        <f>VLOOKUP($A29,'Data Vlaue (Cr)'!$C:$FB,144)</f>
        <v>19.34</v>
      </c>
      <c r="F29" s="50">
        <f>VLOOKUP($A29,'Data Vlaue (Cr)'!$C:$FB,146)*100</f>
        <v>87.06</v>
      </c>
      <c r="G29" s="49">
        <f>VLOOKUP($A29,'Data Vlaue (Cr)'!$C:$FB,43)</f>
        <v>5</v>
      </c>
      <c r="H29" s="49">
        <f>VLOOKUP($A29,'Data Vlaue (Cr)'!$C:$FB,44)</f>
        <v>9</v>
      </c>
      <c r="I29" s="49">
        <f>VLOOKUP($A29,'Data Vlaue (Cr)'!$C:$FB,46)*100</f>
        <v>-46.82</v>
      </c>
      <c r="J29" s="51">
        <f>VLOOKUP($A29,'Data Vlaue (Cr)'!$C:$FB,59)</f>
        <v>25</v>
      </c>
      <c r="K29" s="51">
        <f>VLOOKUP($A29,'Data Vlaue (Cr)'!$C:$FB,60)</f>
        <v>7</v>
      </c>
      <c r="L29" s="51">
        <f>VLOOKUP($A29,'Data Vlaue (Cr)'!$C:$FB,62)*100</f>
        <v>252.63</v>
      </c>
      <c r="M29" s="51">
        <f>VLOOKUP($A29,'Data Vlaue (Cr)'!$C:$FB,63)</f>
        <v>4</v>
      </c>
      <c r="N29" s="51">
        <f>VLOOKUP($A29,'Data Vlaue (Cr)'!$C:$FB,64)</f>
        <v>2</v>
      </c>
      <c r="O29" s="51">
        <f>VLOOKUP($A29,'Data Vlaue (Cr)'!$C:$FB,66)*100</f>
        <v>79.069999999999993</v>
      </c>
    </row>
    <row r="30" spans="1:15" x14ac:dyDescent="0.25">
      <c r="A30" s="101" t="str">
        <f>'Data Vlaue (Cr)'!C25</f>
        <v>BANKBARODA</v>
      </c>
      <c r="B30" s="50">
        <f>VLOOKUP($A30,'Data Vlaue (Cr)'!$C:$FB,8)</f>
        <v>287.60000000000002</v>
      </c>
      <c r="C30" s="50">
        <f>VLOOKUP($A30,'Data Vlaue (Cr)'!$C:$FB,11)*100</f>
        <v>1.68</v>
      </c>
      <c r="D30" s="50">
        <f>VLOOKUP($A30,'Data Vlaue (Cr)'!$C:$FB,143)</f>
        <v>3563.96</v>
      </c>
      <c r="E30" s="50">
        <f>VLOOKUP($A30,'Data Vlaue (Cr)'!$C:$FB,144)</f>
        <v>2127.1799999999998</v>
      </c>
      <c r="F30" s="50">
        <f>VLOOKUP($A30,'Data Vlaue (Cr)'!$C:$FB,146)*100</f>
        <v>67.540000000000006</v>
      </c>
      <c r="G30" s="49">
        <f>VLOOKUP($A30,'Data Vlaue (Cr)'!$C:$FB,43)</f>
        <v>557</v>
      </c>
      <c r="H30" s="49">
        <f>VLOOKUP($A30,'Data Vlaue (Cr)'!$C:$FB,44)</f>
        <v>372</v>
      </c>
      <c r="I30" s="49">
        <f>VLOOKUP($A30,'Data Vlaue (Cr)'!$C:$FB,46)*100</f>
        <v>49.78</v>
      </c>
      <c r="J30" s="51">
        <f>VLOOKUP($A30,'Data Vlaue (Cr)'!$C:$FB,59)</f>
        <v>1947</v>
      </c>
      <c r="K30" s="51">
        <f>VLOOKUP($A30,'Data Vlaue (Cr)'!$C:$FB,60)</f>
        <v>1220</v>
      </c>
      <c r="L30" s="51">
        <f>VLOOKUP($A30,'Data Vlaue (Cr)'!$C:$FB,62)*100</f>
        <v>59.589999999999996</v>
      </c>
      <c r="M30" s="51">
        <f>VLOOKUP($A30,'Data Vlaue (Cr)'!$C:$FB,63)</f>
        <v>1018</v>
      </c>
      <c r="N30" s="51">
        <f>VLOOKUP($A30,'Data Vlaue (Cr)'!$C:$FB,64)</f>
        <v>523</v>
      </c>
      <c r="O30" s="51">
        <f>VLOOKUP($A30,'Data Vlaue (Cr)'!$C:$FB,66)*100</f>
        <v>94.78</v>
      </c>
    </row>
    <row r="31" spans="1:15" x14ac:dyDescent="0.25">
      <c r="A31" s="101" t="str">
        <f>'Data Vlaue (Cr)'!C26</f>
        <v>BANKINDIA</v>
      </c>
      <c r="B31" s="50">
        <f>VLOOKUP($A31,'Data Vlaue (Cr)'!$C:$FB,8)</f>
        <v>141.96</v>
      </c>
      <c r="C31" s="50">
        <f>VLOOKUP($A31,'Data Vlaue (Cr)'!$C:$FB,11)*100</f>
        <v>1.8499999999999999</v>
      </c>
      <c r="D31" s="50">
        <f>VLOOKUP($A31,'Data Vlaue (Cr)'!$C:$FB,143)</f>
        <v>820.37</v>
      </c>
      <c r="E31" s="50">
        <f>VLOOKUP($A31,'Data Vlaue (Cr)'!$C:$FB,144)</f>
        <v>280.99</v>
      </c>
      <c r="F31" s="50">
        <f>VLOOKUP($A31,'Data Vlaue (Cr)'!$C:$FB,146)*100</f>
        <v>191.96</v>
      </c>
      <c r="G31" s="49">
        <f>VLOOKUP($A31,'Data Vlaue (Cr)'!$C:$FB,43)</f>
        <v>157</v>
      </c>
      <c r="H31" s="49">
        <f>VLOOKUP($A31,'Data Vlaue (Cr)'!$C:$FB,44)</f>
        <v>99</v>
      </c>
      <c r="I31" s="49">
        <f>VLOOKUP($A31,'Data Vlaue (Cr)'!$C:$FB,46)*100</f>
        <v>57.87</v>
      </c>
      <c r="J31" s="51">
        <f>VLOOKUP($A31,'Data Vlaue (Cr)'!$C:$FB,59)</f>
        <v>480</v>
      </c>
      <c r="K31" s="51">
        <f>VLOOKUP($A31,'Data Vlaue (Cr)'!$C:$FB,60)</f>
        <v>137</v>
      </c>
      <c r="L31" s="51">
        <f>VLOOKUP($A31,'Data Vlaue (Cr)'!$C:$FB,62)*100</f>
        <v>251.54000000000002</v>
      </c>
      <c r="M31" s="51">
        <f>VLOOKUP($A31,'Data Vlaue (Cr)'!$C:$FB,63)</f>
        <v>173</v>
      </c>
      <c r="N31" s="51">
        <f>VLOOKUP($A31,'Data Vlaue (Cr)'!$C:$FB,64)</f>
        <v>42</v>
      </c>
      <c r="O31" s="51">
        <f>VLOOKUP($A31,'Data Vlaue (Cr)'!$C:$FB,66)*100</f>
        <v>313.81</v>
      </c>
    </row>
    <row r="32" spans="1:15" x14ac:dyDescent="0.25">
      <c r="A32" s="101" t="str">
        <f>'Data Vlaue (Cr)'!C27</f>
        <v>BANKNIFTY</v>
      </c>
      <c r="B32" s="50">
        <f>VLOOKUP($A32,'Data Vlaue (Cr)'!$C:$FB,8)</f>
        <v>58926.75</v>
      </c>
      <c r="C32" s="50">
        <f>VLOOKUP($A32,'Data Vlaue (Cr)'!$C:$FB,11)*100</f>
        <v>-0.18</v>
      </c>
      <c r="D32" s="50">
        <f>VLOOKUP($A32,'Data Vlaue (Cr)'!$C:$FB,143)</f>
        <v>582125.37</v>
      </c>
      <c r="E32" s="50">
        <f>VLOOKUP($A32,'Data Vlaue (Cr)'!$C:$FB,144)</f>
        <v>535744.82999999996</v>
      </c>
      <c r="F32" s="50">
        <f>VLOOKUP($A32,'Data Vlaue (Cr)'!$C:$FB,146)*100</f>
        <v>8.66</v>
      </c>
      <c r="G32" s="49">
        <f>VLOOKUP($A32,'Data Vlaue (Cr)'!$C:$FB,43)</f>
        <v>4549</v>
      </c>
      <c r="H32" s="49">
        <f>VLOOKUP($A32,'Data Vlaue (Cr)'!$C:$FB,44)</f>
        <v>5592</v>
      </c>
      <c r="I32" s="49">
        <f>VLOOKUP($A32,'Data Vlaue (Cr)'!$C:$FB,46)*100</f>
        <v>-18.66</v>
      </c>
      <c r="J32" s="51">
        <f>VLOOKUP($A32,'Data Vlaue (Cr)'!$C:$FB,59)</f>
        <v>293592</v>
      </c>
      <c r="K32" s="51">
        <f>VLOOKUP($A32,'Data Vlaue (Cr)'!$C:$FB,60)</f>
        <v>270506</v>
      </c>
      <c r="L32" s="51">
        <f>VLOOKUP($A32,'Data Vlaue (Cr)'!$C:$FB,62)*100</f>
        <v>8.5299999999999994</v>
      </c>
      <c r="M32" s="51">
        <f>VLOOKUP($A32,'Data Vlaue (Cr)'!$C:$FB,63)</f>
        <v>282519</v>
      </c>
      <c r="N32" s="51">
        <f>VLOOKUP($A32,'Data Vlaue (Cr)'!$C:$FB,64)</f>
        <v>256034</v>
      </c>
      <c r="O32" s="51">
        <f>VLOOKUP($A32,'Data Vlaue (Cr)'!$C:$FB,66)*100</f>
        <v>10.34</v>
      </c>
    </row>
    <row r="33" spans="1:15" x14ac:dyDescent="0.25">
      <c r="A33" s="101" t="str">
        <f>'Data Vlaue (Cr)'!C28</f>
        <v>BDL</v>
      </c>
      <c r="B33" s="50">
        <f>VLOOKUP($A33,'Data Vlaue (Cr)'!$C:$FB,8)</f>
        <v>1324.3</v>
      </c>
      <c r="C33" s="50">
        <f>VLOOKUP($A33,'Data Vlaue (Cr)'!$C:$FB,11)*100</f>
        <v>-2.31</v>
      </c>
      <c r="D33" s="50">
        <f>VLOOKUP($A33,'Data Vlaue (Cr)'!$C:$FB,143)</f>
        <v>2459.65</v>
      </c>
      <c r="E33" s="50">
        <f>VLOOKUP($A33,'Data Vlaue (Cr)'!$C:$FB,144)</f>
        <v>2501.94</v>
      </c>
      <c r="F33" s="50">
        <f>VLOOKUP($A33,'Data Vlaue (Cr)'!$C:$FB,146)*100</f>
        <v>-1.69</v>
      </c>
      <c r="G33" s="49">
        <f>VLOOKUP($A33,'Data Vlaue (Cr)'!$C:$FB,43)</f>
        <v>186</v>
      </c>
      <c r="H33" s="49">
        <f>VLOOKUP($A33,'Data Vlaue (Cr)'!$C:$FB,44)</f>
        <v>242</v>
      </c>
      <c r="I33" s="49">
        <f>VLOOKUP($A33,'Data Vlaue (Cr)'!$C:$FB,46)*100</f>
        <v>-23.27</v>
      </c>
      <c r="J33" s="51">
        <f>VLOOKUP($A33,'Data Vlaue (Cr)'!$C:$FB,59)</f>
        <v>1312</v>
      </c>
      <c r="K33" s="51">
        <f>VLOOKUP($A33,'Data Vlaue (Cr)'!$C:$FB,60)</f>
        <v>1271</v>
      </c>
      <c r="L33" s="51">
        <f>VLOOKUP($A33,'Data Vlaue (Cr)'!$C:$FB,62)*100</f>
        <v>3.26</v>
      </c>
      <c r="M33" s="51">
        <f>VLOOKUP($A33,'Data Vlaue (Cr)'!$C:$FB,63)</f>
        <v>828</v>
      </c>
      <c r="N33" s="51">
        <f>VLOOKUP($A33,'Data Vlaue (Cr)'!$C:$FB,64)</f>
        <v>809</v>
      </c>
      <c r="O33" s="51">
        <f>VLOOKUP($A33,'Data Vlaue (Cr)'!$C:$FB,66)*100</f>
        <v>2.35</v>
      </c>
    </row>
    <row r="34" spans="1:15" x14ac:dyDescent="0.25">
      <c r="A34" s="101" t="str">
        <f>'Data Vlaue (Cr)'!C29</f>
        <v>BEL</v>
      </c>
      <c r="B34" s="50">
        <f>VLOOKUP($A34,'Data Vlaue (Cr)'!$C:$FB,8)</f>
        <v>385.6</v>
      </c>
      <c r="C34" s="50">
        <f>VLOOKUP($A34,'Data Vlaue (Cr)'!$C:$FB,11)*100</f>
        <v>-0.62</v>
      </c>
      <c r="D34" s="50">
        <f>VLOOKUP($A34,'Data Vlaue (Cr)'!$C:$FB,143)</f>
        <v>4234.9799999999996</v>
      </c>
      <c r="E34" s="50">
        <f>VLOOKUP($A34,'Data Vlaue (Cr)'!$C:$FB,144)</f>
        <v>4620.3599999999997</v>
      </c>
      <c r="F34" s="50">
        <f>VLOOKUP($A34,'Data Vlaue (Cr)'!$C:$FB,146)*100</f>
        <v>-8.34</v>
      </c>
      <c r="G34" s="49">
        <f>VLOOKUP($A34,'Data Vlaue (Cr)'!$C:$FB,43)</f>
        <v>552</v>
      </c>
      <c r="H34" s="49">
        <f>VLOOKUP($A34,'Data Vlaue (Cr)'!$C:$FB,44)</f>
        <v>560</v>
      </c>
      <c r="I34" s="49">
        <f>VLOOKUP($A34,'Data Vlaue (Cr)'!$C:$FB,46)*100</f>
        <v>-1.5</v>
      </c>
      <c r="J34" s="51">
        <f>VLOOKUP($A34,'Data Vlaue (Cr)'!$C:$FB,59)</f>
        <v>2529</v>
      </c>
      <c r="K34" s="51">
        <f>VLOOKUP($A34,'Data Vlaue (Cr)'!$C:$FB,60)</f>
        <v>2705</v>
      </c>
      <c r="L34" s="51">
        <f>VLOOKUP($A34,'Data Vlaue (Cr)'!$C:$FB,62)*100</f>
        <v>-6.5100000000000007</v>
      </c>
      <c r="M34" s="51">
        <f>VLOOKUP($A34,'Data Vlaue (Cr)'!$C:$FB,63)</f>
        <v>997</v>
      </c>
      <c r="N34" s="51">
        <f>VLOOKUP($A34,'Data Vlaue (Cr)'!$C:$FB,64)</f>
        <v>1160</v>
      </c>
      <c r="O34" s="51">
        <f>VLOOKUP($A34,'Data Vlaue (Cr)'!$C:$FB,66)*100</f>
        <v>-14.06</v>
      </c>
    </row>
    <row r="35" spans="1:15" x14ac:dyDescent="0.25">
      <c r="A35" s="101" t="str">
        <f>'Data Vlaue (Cr)'!C30</f>
        <v>BHARATFORG</v>
      </c>
      <c r="B35" s="50">
        <f>VLOOKUP($A35,'Data Vlaue (Cr)'!$C:$FB,8)</f>
        <v>1413.3</v>
      </c>
      <c r="C35" s="50">
        <f>VLOOKUP($A35,'Data Vlaue (Cr)'!$C:$FB,11)*100</f>
        <v>-0.28999999999999998</v>
      </c>
      <c r="D35" s="50">
        <f>VLOOKUP($A35,'Data Vlaue (Cr)'!$C:$FB,143)</f>
        <v>953.08</v>
      </c>
      <c r="E35" s="50">
        <f>VLOOKUP($A35,'Data Vlaue (Cr)'!$C:$FB,144)</f>
        <v>1231.22</v>
      </c>
      <c r="F35" s="50">
        <f>VLOOKUP($A35,'Data Vlaue (Cr)'!$C:$FB,146)*100</f>
        <v>-22.59</v>
      </c>
      <c r="G35" s="49">
        <f>VLOOKUP($A35,'Data Vlaue (Cr)'!$C:$FB,43)</f>
        <v>195</v>
      </c>
      <c r="H35" s="49">
        <f>VLOOKUP($A35,'Data Vlaue (Cr)'!$C:$FB,44)</f>
        <v>207</v>
      </c>
      <c r="I35" s="49">
        <f>VLOOKUP($A35,'Data Vlaue (Cr)'!$C:$FB,46)*100</f>
        <v>-5.83</v>
      </c>
      <c r="J35" s="51">
        <f>VLOOKUP($A35,'Data Vlaue (Cr)'!$C:$FB,59)</f>
        <v>522</v>
      </c>
      <c r="K35" s="51">
        <f>VLOOKUP($A35,'Data Vlaue (Cr)'!$C:$FB,60)</f>
        <v>739</v>
      </c>
      <c r="L35" s="51">
        <f>VLOOKUP($A35,'Data Vlaue (Cr)'!$C:$FB,62)*100</f>
        <v>-29.39</v>
      </c>
      <c r="M35" s="51">
        <f>VLOOKUP($A35,'Data Vlaue (Cr)'!$C:$FB,63)</f>
        <v>228</v>
      </c>
      <c r="N35" s="51">
        <f>VLOOKUP($A35,'Data Vlaue (Cr)'!$C:$FB,64)</f>
        <v>267</v>
      </c>
      <c r="O35" s="51">
        <f>VLOOKUP($A35,'Data Vlaue (Cr)'!$C:$FB,66)*100</f>
        <v>-14.7</v>
      </c>
    </row>
    <row r="36" spans="1:15" x14ac:dyDescent="0.25">
      <c r="A36" s="101" t="str">
        <f>'Data Vlaue (Cr)'!C31</f>
        <v>BHARTIARTL</v>
      </c>
      <c r="B36" s="50">
        <f>VLOOKUP($A36,'Data Vlaue (Cr)'!$C:$FB,8)</f>
        <v>2108</v>
      </c>
      <c r="C36" s="50">
        <f>VLOOKUP($A36,'Data Vlaue (Cr)'!$C:$FB,11)*100</f>
        <v>0.28999999999999998</v>
      </c>
      <c r="D36" s="50">
        <f>VLOOKUP($A36,'Data Vlaue (Cr)'!$C:$FB,143)</f>
        <v>7923.78</v>
      </c>
      <c r="E36" s="50">
        <f>VLOOKUP($A36,'Data Vlaue (Cr)'!$C:$FB,144)</f>
        <v>13963.81</v>
      </c>
      <c r="F36" s="50">
        <f>VLOOKUP($A36,'Data Vlaue (Cr)'!$C:$FB,146)*100</f>
        <v>-43.25</v>
      </c>
      <c r="G36" s="49">
        <f>VLOOKUP($A36,'Data Vlaue (Cr)'!$C:$FB,43)</f>
        <v>851</v>
      </c>
      <c r="H36" s="49">
        <f>VLOOKUP($A36,'Data Vlaue (Cr)'!$C:$FB,44)</f>
        <v>1167</v>
      </c>
      <c r="I36" s="49">
        <f>VLOOKUP($A36,'Data Vlaue (Cr)'!$C:$FB,46)*100</f>
        <v>-27.07</v>
      </c>
      <c r="J36" s="51">
        <f>VLOOKUP($A36,'Data Vlaue (Cr)'!$C:$FB,59)</f>
        <v>4634</v>
      </c>
      <c r="K36" s="51">
        <f>VLOOKUP($A36,'Data Vlaue (Cr)'!$C:$FB,60)</f>
        <v>8857</v>
      </c>
      <c r="L36" s="51">
        <f>VLOOKUP($A36,'Data Vlaue (Cr)'!$C:$FB,62)*100</f>
        <v>-47.68</v>
      </c>
      <c r="M36" s="51">
        <f>VLOOKUP($A36,'Data Vlaue (Cr)'!$C:$FB,63)</f>
        <v>2365</v>
      </c>
      <c r="N36" s="51">
        <f>VLOOKUP($A36,'Data Vlaue (Cr)'!$C:$FB,64)</f>
        <v>3826</v>
      </c>
      <c r="O36" s="51">
        <f>VLOOKUP($A36,'Data Vlaue (Cr)'!$C:$FB,66)*100</f>
        <v>-38.18</v>
      </c>
    </row>
    <row r="37" spans="1:15" x14ac:dyDescent="0.25">
      <c r="A37" s="101" t="str">
        <f>'Data Vlaue (Cr)'!C32</f>
        <v>BHEL</v>
      </c>
      <c r="B37" s="50">
        <f>VLOOKUP($A37,'Data Vlaue (Cr)'!$C:$FB,8)</f>
        <v>277.85000000000002</v>
      </c>
      <c r="C37" s="50">
        <f>VLOOKUP($A37,'Data Vlaue (Cr)'!$C:$FB,11)*100</f>
        <v>-0.54</v>
      </c>
      <c r="D37" s="50">
        <f>VLOOKUP($A37,'Data Vlaue (Cr)'!$C:$FB,143)</f>
        <v>1745.71</v>
      </c>
      <c r="E37" s="50">
        <f>VLOOKUP($A37,'Data Vlaue (Cr)'!$C:$FB,144)</f>
        <v>2324.19</v>
      </c>
      <c r="F37" s="50">
        <f>VLOOKUP($A37,'Data Vlaue (Cr)'!$C:$FB,146)*100</f>
        <v>-24.89</v>
      </c>
      <c r="G37" s="49">
        <f>VLOOKUP($A37,'Data Vlaue (Cr)'!$C:$FB,43)</f>
        <v>222</v>
      </c>
      <c r="H37" s="49">
        <f>VLOOKUP($A37,'Data Vlaue (Cr)'!$C:$FB,44)</f>
        <v>358</v>
      </c>
      <c r="I37" s="49">
        <f>VLOOKUP($A37,'Data Vlaue (Cr)'!$C:$FB,46)*100</f>
        <v>-37.79</v>
      </c>
      <c r="J37" s="51">
        <f>VLOOKUP($A37,'Data Vlaue (Cr)'!$C:$FB,59)</f>
        <v>1113</v>
      </c>
      <c r="K37" s="51">
        <f>VLOOKUP($A37,'Data Vlaue (Cr)'!$C:$FB,60)</f>
        <v>1285</v>
      </c>
      <c r="L37" s="51">
        <f>VLOOKUP($A37,'Data Vlaue (Cr)'!$C:$FB,62)*100</f>
        <v>-13.43</v>
      </c>
      <c r="M37" s="51">
        <f>VLOOKUP($A37,'Data Vlaue (Cr)'!$C:$FB,63)</f>
        <v>357</v>
      </c>
      <c r="N37" s="51">
        <f>VLOOKUP($A37,'Data Vlaue (Cr)'!$C:$FB,64)</f>
        <v>606</v>
      </c>
      <c r="O37" s="51">
        <f>VLOOKUP($A37,'Data Vlaue (Cr)'!$C:$FB,66)*100</f>
        <v>-41.06</v>
      </c>
    </row>
    <row r="38" spans="1:15" x14ac:dyDescent="0.25">
      <c r="A38" s="101" t="str">
        <f>'Data Vlaue (Cr)'!C33</f>
        <v>BIOCON</v>
      </c>
      <c r="B38" s="50">
        <f>VLOOKUP($A38,'Data Vlaue (Cr)'!$C:$FB,8)</f>
        <v>386.1</v>
      </c>
      <c r="C38" s="50">
        <f>VLOOKUP($A38,'Data Vlaue (Cr)'!$C:$FB,11)*100</f>
        <v>0.31</v>
      </c>
      <c r="D38" s="50">
        <f>VLOOKUP($A38,'Data Vlaue (Cr)'!$C:$FB,143)</f>
        <v>1130.8</v>
      </c>
      <c r="E38" s="50">
        <f>VLOOKUP($A38,'Data Vlaue (Cr)'!$C:$FB,144)</f>
        <v>1000.07</v>
      </c>
      <c r="F38" s="50">
        <f>VLOOKUP($A38,'Data Vlaue (Cr)'!$C:$FB,146)*100</f>
        <v>13.07</v>
      </c>
      <c r="G38" s="49">
        <f>VLOOKUP($A38,'Data Vlaue (Cr)'!$C:$FB,43)</f>
        <v>143</v>
      </c>
      <c r="H38" s="49">
        <f>VLOOKUP($A38,'Data Vlaue (Cr)'!$C:$FB,44)</f>
        <v>144</v>
      </c>
      <c r="I38" s="49">
        <f>VLOOKUP($A38,'Data Vlaue (Cr)'!$C:$FB,46)*100</f>
        <v>-0.33999999999999997</v>
      </c>
      <c r="J38" s="51">
        <f>VLOOKUP($A38,'Data Vlaue (Cr)'!$C:$FB,59)</f>
        <v>713</v>
      </c>
      <c r="K38" s="51">
        <f>VLOOKUP($A38,'Data Vlaue (Cr)'!$C:$FB,60)</f>
        <v>608</v>
      </c>
      <c r="L38" s="51">
        <f>VLOOKUP($A38,'Data Vlaue (Cr)'!$C:$FB,62)*100</f>
        <v>17.25</v>
      </c>
      <c r="M38" s="51">
        <f>VLOOKUP($A38,'Data Vlaue (Cr)'!$C:$FB,63)</f>
        <v>241</v>
      </c>
      <c r="N38" s="51">
        <f>VLOOKUP($A38,'Data Vlaue (Cr)'!$C:$FB,64)</f>
        <v>221</v>
      </c>
      <c r="O38" s="51">
        <f>VLOOKUP($A38,'Data Vlaue (Cr)'!$C:$FB,66)*100</f>
        <v>9.0300000000000011</v>
      </c>
    </row>
    <row r="39" spans="1:15" x14ac:dyDescent="0.25">
      <c r="A39" s="101" t="str">
        <f>'Data Vlaue (Cr)'!C34</f>
        <v>BLUESTARCO</v>
      </c>
      <c r="B39" s="50">
        <f>VLOOKUP($A39,'Data Vlaue (Cr)'!$C:$FB,8)</f>
        <v>1826.8</v>
      </c>
      <c r="C39" s="50">
        <f>VLOOKUP($A39,'Data Vlaue (Cr)'!$C:$FB,11)*100</f>
        <v>0.62</v>
      </c>
      <c r="D39" s="50">
        <f>VLOOKUP($A39,'Data Vlaue (Cr)'!$C:$FB,143)</f>
        <v>284.22000000000003</v>
      </c>
      <c r="E39" s="50">
        <f>VLOOKUP($A39,'Data Vlaue (Cr)'!$C:$FB,144)</f>
        <v>256.31</v>
      </c>
      <c r="F39" s="50">
        <f>VLOOKUP($A39,'Data Vlaue (Cr)'!$C:$FB,146)*100</f>
        <v>10.89</v>
      </c>
      <c r="G39" s="49">
        <f>VLOOKUP($A39,'Data Vlaue (Cr)'!$C:$FB,43)</f>
        <v>48</v>
      </c>
      <c r="H39" s="49">
        <f>VLOOKUP($A39,'Data Vlaue (Cr)'!$C:$FB,44)</f>
        <v>72</v>
      </c>
      <c r="I39" s="49">
        <f>VLOOKUP($A39,'Data Vlaue (Cr)'!$C:$FB,46)*100</f>
        <v>-32.700000000000003</v>
      </c>
      <c r="J39" s="51">
        <f>VLOOKUP($A39,'Data Vlaue (Cr)'!$C:$FB,59)</f>
        <v>188</v>
      </c>
      <c r="K39" s="51">
        <f>VLOOKUP($A39,'Data Vlaue (Cr)'!$C:$FB,60)</f>
        <v>129</v>
      </c>
      <c r="L39" s="51">
        <f>VLOOKUP($A39,'Data Vlaue (Cr)'!$C:$FB,62)*100</f>
        <v>46.239999999999995</v>
      </c>
      <c r="M39" s="51">
        <f>VLOOKUP($A39,'Data Vlaue (Cr)'!$C:$FB,63)</f>
        <v>43</v>
      </c>
      <c r="N39" s="51">
        <f>VLOOKUP($A39,'Data Vlaue (Cr)'!$C:$FB,64)</f>
        <v>54</v>
      </c>
      <c r="O39" s="51">
        <f>VLOOKUP($A39,'Data Vlaue (Cr)'!$C:$FB,66)*100</f>
        <v>-19.670000000000002</v>
      </c>
    </row>
    <row r="40" spans="1:15" x14ac:dyDescent="0.25">
      <c r="A40" s="101" t="str">
        <f>'Data Vlaue (Cr)'!C35</f>
        <v>BOSCHLTD</v>
      </c>
      <c r="B40" s="50">
        <f>VLOOKUP($A40,'Data Vlaue (Cr)'!$C:$FB,8)</f>
        <v>35975</v>
      </c>
      <c r="C40" s="50">
        <f>VLOOKUP($A40,'Data Vlaue (Cr)'!$C:$FB,11)*100</f>
        <v>-0.70000000000000007</v>
      </c>
      <c r="D40" s="50">
        <f>VLOOKUP($A40,'Data Vlaue (Cr)'!$C:$FB,143)</f>
        <v>692.94</v>
      </c>
      <c r="E40" s="50">
        <f>VLOOKUP($A40,'Data Vlaue (Cr)'!$C:$FB,144)</f>
        <v>440.63</v>
      </c>
      <c r="F40" s="50">
        <f>VLOOKUP($A40,'Data Vlaue (Cr)'!$C:$FB,146)*100</f>
        <v>57.26</v>
      </c>
      <c r="G40" s="49">
        <f>VLOOKUP($A40,'Data Vlaue (Cr)'!$C:$FB,43)</f>
        <v>75</v>
      </c>
      <c r="H40" s="49">
        <f>VLOOKUP($A40,'Data Vlaue (Cr)'!$C:$FB,44)</f>
        <v>75</v>
      </c>
      <c r="I40" s="49">
        <f>VLOOKUP($A40,'Data Vlaue (Cr)'!$C:$FB,46)*100</f>
        <v>-0.24</v>
      </c>
      <c r="J40" s="51">
        <f>VLOOKUP($A40,'Data Vlaue (Cr)'!$C:$FB,59)</f>
        <v>507</v>
      </c>
      <c r="K40" s="51">
        <f>VLOOKUP($A40,'Data Vlaue (Cr)'!$C:$FB,60)</f>
        <v>254</v>
      </c>
      <c r="L40" s="51">
        <f>VLOOKUP($A40,'Data Vlaue (Cr)'!$C:$FB,62)*100</f>
        <v>99.36</v>
      </c>
      <c r="M40" s="51">
        <f>VLOOKUP($A40,'Data Vlaue (Cr)'!$C:$FB,63)</f>
        <v>76</v>
      </c>
      <c r="N40" s="51">
        <f>VLOOKUP($A40,'Data Vlaue (Cr)'!$C:$FB,64)</f>
        <v>97</v>
      </c>
      <c r="O40" s="51">
        <f>VLOOKUP($A40,'Data Vlaue (Cr)'!$C:$FB,66)*100</f>
        <v>-22.009999999999998</v>
      </c>
    </row>
    <row r="41" spans="1:15" x14ac:dyDescent="0.25">
      <c r="A41" s="101" t="str">
        <f>'Data Vlaue (Cr)'!C36</f>
        <v>BPCL</v>
      </c>
      <c r="B41" s="50">
        <f>VLOOKUP($A41,'Data Vlaue (Cr)'!$C:$FB,8)</f>
        <v>368.35</v>
      </c>
      <c r="C41" s="50">
        <f>VLOOKUP($A41,'Data Vlaue (Cr)'!$C:$FB,11)*100</f>
        <v>0.05</v>
      </c>
      <c r="D41" s="50">
        <f>VLOOKUP($A41,'Data Vlaue (Cr)'!$C:$FB,143)</f>
        <v>2547.4</v>
      </c>
      <c r="E41" s="50">
        <f>VLOOKUP($A41,'Data Vlaue (Cr)'!$C:$FB,144)</f>
        <v>1884.58</v>
      </c>
      <c r="F41" s="50">
        <f>VLOOKUP($A41,'Data Vlaue (Cr)'!$C:$FB,146)*100</f>
        <v>35.17</v>
      </c>
      <c r="G41" s="49">
        <f>VLOOKUP($A41,'Data Vlaue (Cr)'!$C:$FB,43)</f>
        <v>234</v>
      </c>
      <c r="H41" s="49">
        <f>VLOOKUP($A41,'Data Vlaue (Cr)'!$C:$FB,44)</f>
        <v>237</v>
      </c>
      <c r="I41" s="49">
        <f>VLOOKUP($A41,'Data Vlaue (Cr)'!$C:$FB,46)*100</f>
        <v>-1.1400000000000001</v>
      </c>
      <c r="J41" s="51">
        <f>VLOOKUP($A41,'Data Vlaue (Cr)'!$C:$FB,59)</f>
        <v>1786</v>
      </c>
      <c r="K41" s="51">
        <f>VLOOKUP($A41,'Data Vlaue (Cr)'!$C:$FB,60)</f>
        <v>1264</v>
      </c>
      <c r="L41" s="51">
        <f>VLOOKUP($A41,'Data Vlaue (Cr)'!$C:$FB,62)*100</f>
        <v>41.3</v>
      </c>
      <c r="M41" s="51">
        <f>VLOOKUP($A41,'Data Vlaue (Cr)'!$C:$FB,63)</f>
        <v>478</v>
      </c>
      <c r="N41" s="51">
        <f>VLOOKUP($A41,'Data Vlaue (Cr)'!$C:$FB,64)</f>
        <v>358</v>
      </c>
      <c r="O41" s="51">
        <f>VLOOKUP($A41,'Data Vlaue (Cr)'!$C:$FB,66)*100</f>
        <v>33.520000000000003</v>
      </c>
    </row>
    <row r="42" spans="1:15" x14ac:dyDescent="0.25">
      <c r="A42" s="101" t="str">
        <f>'Data Vlaue (Cr)'!C37</f>
        <v>BRITANNIA</v>
      </c>
      <c r="B42" s="50">
        <f>VLOOKUP($A42,'Data Vlaue (Cr)'!$C:$FB,8)</f>
        <v>6096</v>
      </c>
      <c r="C42" s="50">
        <f>VLOOKUP($A42,'Data Vlaue (Cr)'!$C:$FB,11)*100</f>
        <v>0.49</v>
      </c>
      <c r="D42" s="50">
        <f>VLOOKUP($A42,'Data Vlaue (Cr)'!$C:$FB,143)</f>
        <v>1802.61</v>
      </c>
      <c r="E42" s="50">
        <f>VLOOKUP($A42,'Data Vlaue (Cr)'!$C:$FB,144)</f>
        <v>4573.71</v>
      </c>
      <c r="F42" s="50">
        <f>VLOOKUP($A42,'Data Vlaue (Cr)'!$C:$FB,146)*100</f>
        <v>-60.589999999999996</v>
      </c>
      <c r="G42" s="49">
        <f>VLOOKUP($A42,'Data Vlaue (Cr)'!$C:$FB,43)</f>
        <v>151</v>
      </c>
      <c r="H42" s="49">
        <f>VLOOKUP($A42,'Data Vlaue (Cr)'!$C:$FB,44)</f>
        <v>289</v>
      </c>
      <c r="I42" s="49">
        <f>VLOOKUP($A42,'Data Vlaue (Cr)'!$C:$FB,46)*100</f>
        <v>-47.8</v>
      </c>
      <c r="J42" s="51">
        <f>VLOOKUP($A42,'Data Vlaue (Cr)'!$C:$FB,59)</f>
        <v>1195</v>
      </c>
      <c r="K42" s="51">
        <f>VLOOKUP($A42,'Data Vlaue (Cr)'!$C:$FB,60)</f>
        <v>3123</v>
      </c>
      <c r="L42" s="51">
        <f>VLOOKUP($A42,'Data Vlaue (Cr)'!$C:$FB,62)*100</f>
        <v>-61.739999999999995</v>
      </c>
      <c r="M42" s="51">
        <f>VLOOKUP($A42,'Data Vlaue (Cr)'!$C:$FB,63)</f>
        <v>434</v>
      </c>
      <c r="N42" s="51">
        <f>VLOOKUP($A42,'Data Vlaue (Cr)'!$C:$FB,64)</f>
        <v>1100</v>
      </c>
      <c r="O42" s="51">
        <f>VLOOKUP($A42,'Data Vlaue (Cr)'!$C:$FB,66)*100</f>
        <v>-60.529999999999994</v>
      </c>
    </row>
    <row r="43" spans="1:15" x14ac:dyDescent="0.25">
      <c r="A43" s="101" t="str">
        <f>'Data Vlaue (Cr)'!C38</f>
        <v>BSE</v>
      </c>
      <c r="B43" s="50">
        <f>VLOOKUP($A43,'Data Vlaue (Cr)'!$C:$FB,8)</f>
        <v>2630.5</v>
      </c>
      <c r="C43" s="50">
        <f>VLOOKUP($A43,'Data Vlaue (Cr)'!$C:$FB,11)*100</f>
        <v>0.94000000000000006</v>
      </c>
      <c r="D43" s="50">
        <f>VLOOKUP($A43,'Data Vlaue (Cr)'!$C:$FB,143)</f>
        <v>11584.29</v>
      </c>
      <c r="E43" s="50">
        <f>VLOOKUP($A43,'Data Vlaue (Cr)'!$C:$FB,144)</f>
        <v>12256.6</v>
      </c>
      <c r="F43" s="50">
        <f>VLOOKUP($A43,'Data Vlaue (Cr)'!$C:$FB,146)*100</f>
        <v>-5.4899999999999993</v>
      </c>
      <c r="G43" s="49">
        <f>VLOOKUP($A43,'Data Vlaue (Cr)'!$C:$FB,43)</f>
        <v>1072</v>
      </c>
      <c r="H43" s="49">
        <f>VLOOKUP($A43,'Data Vlaue (Cr)'!$C:$FB,44)</f>
        <v>1154</v>
      </c>
      <c r="I43" s="49">
        <f>VLOOKUP($A43,'Data Vlaue (Cr)'!$C:$FB,46)*100</f>
        <v>-7.08</v>
      </c>
      <c r="J43" s="51">
        <f>VLOOKUP($A43,'Data Vlaue (Cr)'!$C:$FB,59)</f>
        <v>6610</v>
      </c>
      <c r="K43" s="51">
        <f>VLOOKUP($A43,'Data Vlaue (Cr)'!$C:$FB,60)</f>
        <v>6386</v>
      </c>
      <c r="L43" s="51">
        <f>VLOOKUP($A43,'Data Vlaue (Cr)'!$C:$FB,62)*100</f>
        <v>3.52</v>
      </c>
      <c r="M43" s="51">
        <f>VLOOKUP($A43,'Data Vlaue (Cr)'!$C:$FB,63)</f>
        <v>3519</v>
      </c>
      <c r="N43" s="51">
        <f>VLOOKUP($A43,'Data Vlaue (Cr)'!$C:$FB,64)</f>
        <v>4361</v>
      </c>
      <c r="O43" s="51">
        <f>VLOOKUP($A43,'Data Vlaue (Cr)'!$C:$FB,66)*100</f>
        <v>-19.3</v>
      </c>
    </row>
    <row r="44" spans="1:15" x14ac:dyDescent="0.25">
      <c r="A44" s="101" t="str">
        <f>'Data Vlaue (Cr)'!C39</f>
        <v>CAMS</v>
      </c>
      <c r="B44" s="50">
        <f>VLOOKUP($A44,'Data Vlaue (Cr)'!$C:$FB,8)</f>
        <v>733.8</v>
      </c>
      <c r="C44" s="50">
        <f>VLOOKUP($A44,'Data Vlaue (Cr)'!$C:$FB,11)*100</f>
        <v>-2.65</v>
      </c>
      <c r="D44" s="50">
        <f>VLOOKUP($A44,'Data Vlaue (Cr)'!$C:$FB,143)</f>
        <v>640.08000000000004</v>
      </c>
      <c r="E44" s="50">
        <f>VLOOKUP($A44,'Data Vlaue (Cr)'!$C:$FB,144)</f>
        <v>276.32</v>
      </c>
      <c r="F44" s="50">
        <f>VLOOKUP($A44,'Data Vlaue (Cr)'!$C:$FB,146)*100</f>
        <v>131.64000000000001</v>
      </c>
      <c r="G44" s="49">
        <f>VLOOKUP($A44,'Data Vlaue (Cr)'!$C:$FB,43)</f>
        <v>188</v>
      </c>
      <c r="H44" s="49">
        <f>VLOOKUP($A44,'Data Vlaue (Cr)'!$C:$FB,44)</f>
        <v>91</v>
      </c>
      <c r="I44" s="49">
        <f>VLOOKUP($A44,'Data Vlaue (Cr)'!$C:$FB,46)*100</f>
        <v>107.49</v>
      </c>
      <c r="J44" s="51">
        <f>VLOOKUP($A44,'Data Vlaue (Cr)'!$C:$FB,59)</f>
        <v>223</v>
      </c>
      <c r="K44" s="51">
        <f>VLOOKUP($A44,'Data Vlaue (Cr)'!$C:$FB,60)</f>
        <v>139</v>
      </c>
      <c r="L44" s="51">
        <f>VLOOKUP($A44,'Data Vlaue (Cr)'!$C:$FB,62)*100</f>
        <v>60.089999999999996</v>
      </c>
      <c r="M44" s="51">
        <f>VLOOKUP($A44,'Data Vlaue (Cr)'!$C:$FB,63)</f>
        <v>210</v>
      </c>
      <c r="N44" s="51">
        <f>VLOOKUP($A44,'Data Vlaue (Cr)'!$C:$FB,64)</f>
        <v>33</v>
      </c>
      <c r="O44" s="51">
        <f>VLOOKUP($A44,'Data Vlaue (Cr)'!$C:$FB,66)*100</f>
        <v>531.79</v>
      </c>
    </row>
    <row r="45" spans="1:15" x14ac:dyDescent="0.25">
      <c r="A45" s="101" t="str">
        <f>'Data Vlaue (Cr)'!C40</f>
        <v>CANBK</v>
      </c>
      <c r="B45" s="50">
        <f>VLOOKUP($A45,'Data Vlaue (Cr)'!$C:$FB,8)</f>
        <v>150.21</v>
      </c>
      <c r="C45" s="50">
        <f>VLOOKUP($A45,'Data Vlaue (Cr)'!$C:$FB,11)*100</f>
        <v>2.0699999999999998</v>
      </c>
      <c r="D45" s="50">
        <f>VLOOKUP($A45,'Data Vlaue (Cr)'!$C:$FB,143)</f>
        <v>5990.55</v>
      </c>
      <c r="E45" s="50">
        <f>VLOOKUP($A45,'Data Vlaue (Cr)'!$C:$FB,144)</f>
        <v>1828.17</v>
      </c>
      <c r="F45" s="50">
        <f>VLOOKUP($A45,'Data Vlaue (Cr)'!$C:$FB,146)*100</f>
        <v>227.68</v>
      </c>
      <c r="G45" s="49">
        <f>VLOOKUP($A45,'Data Vlaue (Cr)'!$C:$FB,43)</f>
        <v>810</v>
      </c>
      <c r="H45" s="49">
        <f>VLOOKUP($A45,'Data Vlaue (Cr)'!$C:$FB,44)</f>
        <v>441</v>
      </c>
      <c r="I45" s="49">
        <f>VLOOKUP($A45,'Data Vlaue (Cr)'!$C:$FB,46)*100</f>
        <v>83.84</v>
      </c>
      <c r="J45" s="51">
        <f>VLOOKUP($A45,'Data Vlaue (Cr)'!$C:$FB,59)</f>
        <v>3440</v>
      </c>
      <c r="K45" s="51">
        <f>VLOOKUP($A45,'Data Vlaue (Cr)'!$C:$FB,60)</f>
        <v>867</v>
      </c>
      <c r="L45" s="51">
        <f>VLOOKUP($A45,'Data Vlaue (Cr)'!$C:$FB,62)*100</f>
        <v>296.87</v>
      </c>
      <c r="M45" s="51">
        <f>VLOOKUP($A45,'Data Vlaue (Cr)'!$C:$FB,63)</f>
        <v>1681</v>
      </c>
      <c r="N45" s="51">
        <f>VLOOKUP($A45,'Data Vlaue (Cr)'!$C:$FB,64)</f>
        <v>532</v>
      </c>
      <c r="O45" s="51">
        <f>VLOOKUP($A45,'Data Vlaue (Cr)'!$C:$FB,66)*100</f>
        <v>215.77</v>
      </c>
    </row>
    <row r="46" spans="1:15" x14ac:dyDescent="0.25">
      <c r="A46" s="101" t="str">
        <f>'Data Vlaue (Cr)'!C41</f>
        <v>CDSL</v>
      </c>
      <c r="B46" s="50">
        <f>VLOOKUP($A46,'Data Vlaue (Cr)'!$C:$FB,8)</f>
        <v>1477.3</v>
      </c>
      <c r="C46" s="50">
        <f>VLOOKUP($A46,'Data Vlaue (Cr)'!$C:$FB,11)*100</f>
        <v>-1.59</v>
      </c>
      <c r="D46" s="50">
        <f>VLOOKUP($A46,'Data Vlaue (Cr)'!$C:$FB,143)</f>
        <v>2075</v>
      </c>
      <c r="E46" s="50">
        <f>VLOOKUP($A46,'Data Vlaue (Cr)'!$C:$FB,144)</f>
        <v>1303.98</v>
      </c>
      <c r="F46" s="50">
        <f>VLOOKUP($A46,'Data Vlaue (Cr)'!$C:$FB,146)*100</f>
        <v>59.13</v>
      </c>
      <c r="G46" s="49">
        <f>VLOOKUP($A46,'Data Vlaue (Cr)'!$C:$FB,43)</f>
        <v>294</v>
      </c>
      <c r="H46" s="49">
        <f>VLOOKUP($A46,'Data Vlaue (Cr)'!$C:$FB,44)</f>
        <v>174</v>
      </c>
      <c r="I46" s="49">
        <f>VLOOKUP($A46,'Data Vlaue (Cr)'!$C:$FB,46)*100</f>
        <v>68.97</v>
      </c>
      <c r="J46" s="51">
        <f>VLOOKUP($A46,'Data Vlaue (Cr)'!$C:$FB,59)</f>
        <v>1248</v>
      </c>
      <c r="K46" s="51">
        <f>VLOOKUP($A46,'Data Vlaue (Cr)'!$C:$FB,60)</f>
        <v>798</v>
      </c>
      <c r="L46" s="51">
        <f>VLOOKUP($A46,'Data Vlaue (Cr)'!$C:$FB,62)*100</f>
        <v>56.289999999999992</v>
      </c>
      <c r="M46" s="51">
        <f>VLOOKUP($A46,'Data Vlaue (Cr)'!$C:$FB,63)</f>
        <v>432</v>
      </c>
      <c r="N46" s="51">
        <f>VLOOKUP($A46,'Data Vlaue (Cr)'!$C:$FB,64)</f>
        <v>257</v>
      </c>
      <c r="O46" s="51">
        <f>VLOOKUP($A46,'Data Vlaue (Cr)'!$C:$FB,66)*100</f>
        <v>68.39</v>
      </c>
    </row>
    <row r="47" spans="1:15" x14ac:dyDescent="0.25">
      <c r="A47" s="101" t="str">
        <f>'Data Vlaue (Cr)'!C42</f>
        <v>CGPOWER</v>
      </c>
      <c r="B47" s="50">
        <f>VLOOKUP($A47,'Data Vlaue (Cr)'!$C:$FB,8)</f>
        <v>670.4</v>
      </c>
      <c r="C47" s="50">
        <f>VLOOKUP($A47,'Data Vlaue (Cr)'!$C:$FB,11)*100</f>
        <v>-0.38999999999999996</v>
      </c>
      <c r="D47" s="50">
        <f>VLOOKUP($A47,'Data Vlaue (Cr)'!$C:$FB,143)</f>
        <v>3465.9</v>
      </c>
      <c r="E47" s="50">
        <f>VLOOKUP($A47,'Data Vlaue (Cr)'!$C:$FB,144)</f>
        <v>500.29</v>
      </c>
      <c r="F47" s="50">
        <f>VLOOKUP($A47,'Data Vlaue (Cr)'!$C:$FB,146)*100</f>
        <v>592.78000000000009</v>
      </c>
      <c r="G47" s="49">
        <f>VLOOKUP($A47,'Data Vlaue (Cr)'!$C:$FB,43)</f>
        <v>371</v>
      </c>
      <c r="H47" s="49">
        <f>VLOOKUP($A47,'Data Vlaue (Cr)'!$C:$FB,44)</f>
        <v>158</v>
      </c>
      <c r="I47" s="49">
        <f>VLOOKUP($A47,'Data Vlaue (Cr)'!$C:$FB,46)*100</f>
        <v>135.13999999999999</v>
      </c>
      <c r="J47" s="51">
        <f>VLOOKUP($A47,'Data Vlaue (Cr)'!$C:$FB,59)</f>
        <v>2422</v>
      </c>
      <c r="K47" s="51">
        <f>VLOOKUP($A47,'Data Vlaue (Cr)'!$C:$FB,60)</f>
        <v>257</v>
      </c>
      <c r="L47" s="51">
        <f>VLOOKUP($A47,'Data Vlaue (Cr)'!$C:$FB,62)*100</f>
        <v>843.02</v>
      </c>
      <c r="M47" s="51">
        <f>VLOOKUP($A47,'Data Vlaue (Cr)'!$C:$FB,63)</f>
        <v>527</v>
      </c>
      <c r="N47" s="51">
        <f>VLOOKUP($A47,'Data Vlaue (Cr)'!$C:$FB,64)</f>
        <v>76</v>
      </c>
      <c r="O47" s="51">
        <f>VLOOKUP($A47,'Data Vlaue (Cr)'!$C:$FB,66)*100</f>
        <v>597.28000000000009</v>
      </c>
    </row>
    <row r="48" spans="1:15" x14ac:dyDescent="0.25">
      <c r="A48" s="101" t="str">
        <f>'Data Vlaue (Cr)'!C43</f>
        <v>CHOLAFIN</v>
      </c>
      <c r="B48" s="50">
        <f>VLOOKUP($A48,'Data Vlaue (Cr)'!$C:$FB,8)</f>
        <v>1673.5</v>
      </c>
      <c r="C48" s="50">
        <f>VLOOKUP($A48,'Data Vlaue (Cr)'!$C:$FB,11)*100</f>
        <v>-2.44</v>
      </c>
      <c r="D48" s="50">
        <f>VLOOKUP($A48,'Data Vlaue (Cr)'!$C:$FB,143)</f>
        <v>4199.88</v>
      </c>
      <c r="E48" s="50">
        <f>VLOOKUP($A48,'Data Vlaue (Cr)'!$C:$FB,144)</f>
        <v>1043.07</v>
      </c>
      <c r="F48" s="50">
        <f>VLOOKUP($A48,'Data Vlaue (Cr)'!$C:$FB,146)*100</f>
        <v>302.64000000000004</v>
      </c>
      <c r="G48" s="49">
        <f>VLOOKUP($A48,'Data Vlaue (Cr)'!$C:$FB,43)</f>
        <v>510</v>
      </c>
      <c r="H48" s="49">
        <f>VLOOKUP($A48,'Data Vlaue (Cr)'!$C:$FB,44)</f>
        <v>217</v>
      </c>
      <c r="I48" s="49">
        <f>VLOOKUP($A48,'Data Vlaue (Cr)'!$C:$FB,46)*100</f>
        <v>135.12</v>
      </c>
      <c r="J48" s="51">
        <f>VLOOKUP($A48,'Data Vlaue (Cr)'!$C:$FB,59)</f>
        <v>2185</v>
      </c>
      <c r="K48" s="51">
        <f>VLOOKUP($A48,'Data Vlaue (Cr)'!$C:$FB,60)</f>
        <v>571</v>
      </c>
      <c r="L48" s="51">
        <f>VLOOKUP($A48,'Data Vlaue (Cr)'!$C:$FB,62)*100</f>
        <v>282.96999999999997</v>
      </c>
      <c r="M48" s="51">
        <f>VLOOKUP($A48,'Data Vlaue (Cr)'!$C:$FB,63)</f>
        <v>1388</v>
      </c>
      <c r="N48" s="51">
        <f>VLOOKUP($A48,'Data Vlaue (Cr)'!$C:$FB,64)</f>
        <v>212</v>
      </c>
      <c r="O48" s="51">
        <f>VLOOKUP($A48,'Data Vlaue (Cr)'!$C:$FB,66)*100</f>
        <v>555.03</v>
      </c>
    </row>
    <row r="49" spans="1:15" x14ac:dyDescent="0.25">
      <c r="A49" s="101" t="str">
        <f>'Data Vlaue (Cr)'!C44</f>
        <v>CIPLA</v>
      </c>
      <c r="B49" s="50">
        <f>VLOOKUP($A49,'Data Vlaue (Cr)'!$C:$FB,8)</f>
        <v>1496.9</v>
      </c>
      <c r="C49" s="50">
        <f>VLOOKUP($A49,'Data Vlaue (Cr)'!$C:$FB,11)*100</f>
        <v>-0.18</v>
      </c>
      <c r="D49" s="50">
        <f>VLOOKUP($A49,'Data Vlaue (Cr)'!$C:$FB,143)</f>
        <v>964.28</v>
      </c>
      <c r="E49" s="50">
        <f>VLOOKUP($A49,'Data Vlaue (Cr)'!$C:$FB,144)</f>
        <v>853.86</v>
      </c>
      <c r="F49" s="50">
        <f>VLOOKUP($A49,'Data Vlaue (Cr)'!$C:$FB,146)*100</f>
        <v>12.93</v>
      </c>
      <c r="G49" s="49">
        <f>VLOOKUP($A49,'Data Vlaue (Cr)'!$C:$FB,43)</f>
        <v>212</v>
      </c>
      <c r="H49" s="49">
        <f>VLOOKUP($A49,'Data Vlaue (Cr)'!$C:$FB,44)</f>
        <v>172</v>
      </c>
      <c r="I49" s="49">
        <f>VLOOKUP($A49,'Data Vlaue (Cr)'!$C:$FB,46)*100</f>
        <v>23.419999999999998</v>
      </c>
      <c r="J49" s="51">
        <f>VLOOKUP($A49,'Data Vlaue (Cr)'!$C:$FB,59)</f>
        <v>536</v>
      </c>
      <c r="K49" s="51">
        <f>VLOOKUP($A49,'Data Vlaue (Cr)'!$C:$FB,60)</f>
        <v>480</v>
      </c>
      <c r="L49" s="51">
        <f>VLOOKUP($A49,'Data Vlaue (Cr)'!$C:$FB,62)*100</f>
        <v>11.53</v>
      </c>
      <c r="M49" s="51">
        <f>VLOOKUP($A49,'Data Vlaue (Cr)'!$C:$FB,63)</f>
        <v>202</v>
      </c>
      <c r="N49" s="51">
        <f>VLOOKUP($A49,'Data Vlaue (Cr)'!$C:$FB,64)</f>
        <v>186</v>
      </c>
      <c r="O49" s="51">
        <f>VLOOKUP($A49,'Data Vlaue (Cr)'!$C:$FB,66)*100</f>
        <v>8.58</v>
      </c>
    </row>
    <row r="50" spans="1:15" x14ac:dyDescent="0.25">
      <c r="A50" s="101" t="str">
        <f>'Data Vlaue (Cr)'!C45</f>
        <v>COALINDIA</v>
      </c>
      <c r="B50" s="50">
        <f>VLOOKUP($A50,'Data Vlaue (Cr)'!$C:$FB,8)</f>
        <v>384.75</v>
      </c>
      <c r="C50" s="50">
        <f>VLOOKUP($A50,'Data Vlaue (Cr)'!$C:$FB,11)*100</f>
        <v>0.83</v>
      </c>
      <c r="D50" s="50">
        <f>VLOOKUP($A50,'Data Vlaue (Cr)'!$C:$FB,143)</f>
        <v>902.16</v>
      </c>
      <c r="E50" s="50">
        <f>VLOOKUP($A50,'Data Vlaue (Cr)'!$C:$FB,144)</f>
        <v>948.22</v>
      </c>
      <c r="F50" s="50">
        <f>VLOOKUP($A50,'Data Vlaue (Cr)'!$C:$FB,146)*100</f>
        <v>-4.8599999999999994</v>
      </c>
      <c r="G50" s="49">
        <f>VLOOKUP($A50,'Data Vlaue (Cr)'!$C:$FB,43)</f>
        <v>171</v>
      </c>
      <c r="H50" s="49">
        <f>VLOOKUP($A50,'Data Vlaue (Cr)'!$C:$FB,44)</f>
        <v>201</v>
      </c>
      <c r="I50" s="49">
        <f>VLOOKUP($A50,'Data Vlaue (Cr)'!$C:$FB,46)*100</f>
        <v>-14.69</v>
      </c>
      <c r="J50" s="51">
        <f>VLOOKUP($A50,'Data Vlaue (Cr)'!$C:$FB,59)</f>
        <v>461</v>
      </c>
      <c r="K50" s="51">
        <f>VLOOKUP($A50,'Data Vlaue (Cr)'!$C:$FB,60)</f>
        <v>442</v>
      </c>
      <c r="L50" s="51">
        <f>VLOOKUP($A50,'Data Vlaue (Cr)'!$C:$FB,62)*100</f>
        <v>4.29</v>
      </c>
      <c r="M50" s="51">
        <f>VLOOKUP($A50,'Data Vlaue (Cr)'!$C:$FB,63)</f>
        <v>266</v>
      </c>
      <c r="N50" s="51">
        <f>VLOOKUP($A50,'Data Vlaue (Cr)'!$C:$FB,64)</f>
        <v>305</v>
      </c>
      <c r="O50" s="51">
        <f>VLOOKUP($A50,'Data Vlaue (Cr)'!$C:$FB,66)*100</f>
        <v>-12.989999999999998</v>
      </c>
    </row>
    <row r="51" spans="1:15" x14ac:dyDescent="0.25">
      <c r="A51" s="101" t="str">
        <f>'Data Vlaue (Cr)'!C46</f>
        <v>COFORGE</v>
      </c>
      <c r="B51" s="50">
        <f>VLOOKUP($A51,'Data Vlaue (Cr)'!$C:$FB,8)</f>
        <v>1844.7</v>
      </c>
      <c r="C51" s="50">
        <f>VLOOKUP($A51,'Data Vlaue (Cr)'!$C:$FB,11)*100</f>
        <v>-1.18</v>
      </c>
      <c r="D51" s="50">
        <f>VLOOKUP($A51,'Data Vlaue (Cr)'!$C:$FB,143)</f>
        <v>2887.06</v>
      </c>
      <c r="E51" s="50">
        <f>VLOOKUP($A51,'Data Vlaue (Cr)'!$C:$FB,144)</f>
        <v>2197.08</v>
      </c>
      <c r="F51" s="50">
        <f>VLOOKUP($A51,'Data Vlaue (Cr)'!$C:$FB,146)*100</f>
        <v>31.4</v>
      </c>
      <c r="G51" s="49">
        <f>VLOOKUP($A51,'Data Vlaue (Cr)'!$C:$FB,43)</f>
        <v>430</v>
      </c>
      <c r="H51" s="49">
        <f>VLOOKUP($A51,'Data Vlaue (Cr)'!$C:$FB,44)</f>
        <v>363</v>
      </c>
      <c r="I51" s="49">
        <f>VLOOKUP($A51,'Data Vlaue (Cr)'!$C:$FB,46)*100</f>
        <v>18.420000000000002</v>
      </c>
      <c r="J51" s="51">
        <f>VLOOKUP($A51,'Data Vlaue (Cr)'!$C:$FB,59)</f>
        <v>1682</v>
      </c>
      <c r="K51" s="51">
        <f>VLOOKUP($A51,'Data Vlaue (Cr)'!$C:$FB,60)</f>
        <v>1322</v>
      </c>
      <c r="L51" s="51">
        <f>VLOOKUP($A51,'Data Vlaue (Cr)'!$C:$FB,62)*100</f>
        <v>27.29</v>
      </c>
      <c r="M51" s="51">
        <f>VLOOKUP($A51,'Data Vlaue (Cr)'!$C:$FB,63)</f>
        <v>685</v>
      </c>
      <c r="N51" s="51">
        <f>VLOOKUP($A51,'Data Vlaue (Cr)'!$C:$FB,64)</f>
        <v>443</v>
      </c>
      <c r="O51" s="51">
        <f>VLOOKUP($A51,'Data Vlaue (Cr)'!$C:$FB,66)*100</f>
        <v>54.55</v>
      </c>
    </row>
    <row r="52" spans="1:15" x14ac:dyDescent="0.25">
      <c r="A52" s="101" t="str">
        <f>'Data Vlaue (Cr)'!C47</f>
        <v>COLPAL</v>
      </c>
      <c r="B52" s="50">
        <f>VLOOKUP($A52,'Data Vlaue (Cr)'!$C:$FB,8)</f>
        <v>2087.4</v>
      </c>
      <c r="C52" s="50">
        <f>VLOOKUP($A52,'Data Vlaue (Cr)'!$C:$FB,11)*100</f>
        <v>-3.38</v>
      </c>
      <c r="D52" s="50">
        <f>VLOOKUP($A52,'Data Vlaue (Cr)'!$C:$FB,143)</f>
        <v>1804.13</v>
      </c>
      <c r="E52" s="50">
        <f>VLOOKUP($A52,'Data Vlaue (Cr)'!$C:$FB,144)</f>
        <v>1229.67</v>
      </c>
      <c r="F52" s="50">
        <f>VLOOKUP($A52,'Data Vlaue (Cr)'!$C:$FB,146)*100</f>
        <v>46.72</v>
      </c>
      <c r="G52" s="49">
        <f>VLOOKUP($A52,'Data Vlaue (Cr)'!$C:$FB,43)</f>
        <v>418</v>
      </c>
      <c r="H52" s="49">
        <f>VLOOKUP($A52,'Data Vlaue (Cr)'!$C:$FB,44)</f>
        <v>182</v>
      </c>
      <c r="I52" s="49">
        <f>VLOOKUP($A52,'Data Vlaue (Cr)'!$C:$FB,46)*100</f>
        <v>129.74</v>
      </c>
      <c r="J52" s="51">
        <f>VLOOKUP($A52,'Data Vlaue (Cr)'!$C:$FB,59)</f>
        <v>760</v>
      </c>
      <c r="K52" s="51">
        <f>VLOOKUP($A52,'Data Vlaue (Cr)'!$C:$FB,60)</f>
        <v>814</v>
      </c>
      <c r="L52" s="51">
        <f>VLOOKUP($A52,'Data Vlaue (Cr)'!$C:$FB,62)*100</f>
        <v>-6.61</v>
      </c>
      <c r="M52" s="51">
        <f>VLOOKUP($A52,'Data Vlaue (Cr)'!$C:$FB,63)</f>
        <v>575</v>
      </c>
      <c r="N52" s="51">
        <f>VLOOKUP($A52,'Data Vlaue (Cr)'!$C:$FB,64)</f>
        <v>165</v>
      </c>
      <c r="O52" s="51">
        <f>VLOOKUP($A52,'Data Vlaue (Cr)'!$C:$FB,66)*100</f>
        <v>247.23000000000002</v>
      </c>
    </row>
    <row r="53" spans="1:15" x14ac:dyDescent="0.25">
      <c r="A53" s="101" t="str">
        <f>'Data Vlaue (Cr)'!C48</f>
        <v>CONCOR</v>
      </c>
      <c r="B53" s="50">
        <f>VLOOKUP($A53,'Data Vlaue (Cr)'!$C:$FB,8)</f>
        <v>496.35</v>
      </c>
      <c r="C53" s="50">
        <f>VLOOKUP($A53,'Data Vlaue (Cr)'!$C:$FB,11)*100</f>
        <v>-0.65</v>
      </c>
      <c r="D53" s="50">
        <f>VLOOKUP($A53,'Data Vlaue (Cr)'!$C:$FB,143)</f>
        <v>530.32000000000005</v>
      </c>
      <c r="E53" s="50">
        <f>VLOOKUP($A53,'Data Vlaue (Cr)'!$C:$FB,144)</f>
        <v>573.69000000000005</v>
      </c>
      <c r="F53" s="50">
        <f>VLOOKUP($A53,'Data Vlaue (Cr)'!$C:$FB,146)*100</f>
        <v>-7.5600000000000005</v>
      </c>
      <c r="G53" s="49">
        <f>VLOOKUP($A53,'Data Vlaue (Cr)'!$C:$FB,43)</f>
        <v>133</v>
      </c>
      <c r="H53" s="49">
        <f>VLOOKUP($A53,'Data Vlaue (Cr)'!$C:$FB,44)</f>
        <v>154</v>
      </c>
      <c r="I53" s="49">
        <f>VLOOKUP($A53,'Data Vlaue (Cr)'!$C:$FB,46)*100</f>
        <v>-13.62</v>
      </c>
      <c r="J53" s="51">
        <f>VLOOKUP($A53,'Data Vlaue (Cr)'!$C:$FB,59)</f>
        <v>266</v>
      </c>
      <c r="K53" s="51">
        <f>VLOOKUP($A53,'Data Vlaue (Cr)'!$C:$FB,60)</f>
        <v>298</v>
      </c>
      <c r="L53" s="51">
        <f>VLOOKUP($A53,'Data Vlaue (Cr)'!$C:$FB,62)*100</f>
        <v>-10.66</v>
      </c>
      <c r="M53" s="51">
        <f>VLOOKUP($A53,'Data Vlaue (Cr)'!$C:$FB,63)</f>
        <v>117</v>
      </c>
      <c r="N53" s="51">
        <f>VLOOKUP($A53,'Data Vlaue (Cr)'!$C:$FB,64)</f>
        <v>105</v>
      </c>
      <c r="O53" s="51">
        <f>VLOOKUP($A53,'Data Vlaue (Cr)'!$C:$FB,66)*100</f>
        <v>11.61</v>
      </c>
    </row>
    <row r="54" spans="1:15" x14ac:dyDescent="0.25">
      <c r="A54" s="101" t="str">
        <f>'Data Vlaue (Cr)'!C49</f>
        <v>CROMPTON</v>
      </c>
      <c r="B54" s="50">
        <f>VLOOKUP($A54,'Data Vlaue (Cr)'!$C:$FB,8)</f>
        <v>249.15</v>
      </c>
      <c r="C54" s="50">
        <f>VLOOKUP($A54,'Data Vlaue (Cr)'!$C:$FB,11)*100</f>
        <v>-1.31</v>
      </c>
      <c r="D54" s="50">
        <f>VLOOKUP($A54,'Data Vlaue (Cr)'!$C:$FB,143)</f>
        <v>563.4</v>
      </c>
      <c r="E54" s="50">
        <f>VLOOKUP($A54,'Data Vlaue (Cr)'!$C:$FB,144)</f>
        <v>258.29000000000002</v>
      </c>
      <c r="F54" s="50">
        <f>VLOOKUP($A54,'Data Vlaue (Cr)'!$C:$FB,146)*100</f>
        <v>118.13</v>
      </c>
      <c r="G54" s="49">
        <f>VLOOKUP($A54,'Data Vlaue (Cr)'!$C:$FB,43)</f>
        <v>114</v>
      </c>
      <c r="H54" s="49">
        <f>VLOOKUP($A54,'Data Vlaue (Cr)'!$C:$FB,44)</f>
        <v>67</v>
      </c>
      <c r="I54" s="49">
        <f>VLOOKUP($A54,'Data Vlaue (Cr)'!$C:$FB,46)*100</f>
        <v>70.5</v>
      </c>
      <c r="J54" s="51">
        <f>VLOOKUP($A54,'Data Vlaue (Cr)'!$C:$FB,59)</f>
        <v>322</v>
      </c>
      <c r="K54" s="51">
        <f>VLOOKUP($A54,'Data Vlaue (Cr)'!$C:$FB,60)</f>
        <v>138</v>
      </c>
      <c r="L54" s="51">
        <f>VLOOKUP($A54,'Data Vlaue (Cr)'!$C:$FB,62)*100</f>
        <v>132.76</v>
      </c>
      <c r="M54" s="51">
        <f>VLOOKUP($A54,'Data Vlaue (Cr)'!$C:$FB,63)</f>
        <v>94</v>
      </c>
      <c r="N54" s="51">
        <f>VLOOKUP($A54,'Data Vlaue (Cr)'!$C:$FB,64)</f>
        <v>41</v>
      </c>
      <c r="O54" s="51">
        <f>VLOOKUP($A54,'Data Vlaue (Cr)'!$C:$FB,66)*100</f>
        <v>129.07</v>
      </c>
    </row>
    <row r="55" spans="1:15" x14ac:dyDescent="0.25">
      <c r="A55" s="101" t="str">
        <f>'Data Vlaue (Cr)'!C50</f>
        <v>CUMMINSIND</v>
      </c>
      <c r="B55" s="50">
        <f>VLOOKUP($A55,'Data Vlaue (Cr)'!$C:$FB,8)</f>
        <v>4512.7</v>
      </c>
      <c r="C55" s="50">
        <f>VLOOKUP($A55,'Data Vlaue (Cr)'!$C:$FB,11)*100</f>
        <v>0.41000000000000003</v>
      </c>
      <c r="D55" s="50">
        <f>VLOOKUP($A55,'Data Vlaue (Cr)'!$C:$FB,143)</f>
        <v>1207.32</v>
      </c>
      <c r="E55" s="50">
        <f>VLOOKUP($A55,'Data Vlaue (Cr)'!$C:$FB,144)</f>
        <v>908.47</v>
      </c>
      <c r="F55" s="50">
        <f>VLOOKUP($A55,'Data Vlaue (Cr)'!$C:$FB,146)*100</f>
        <v>32.9</v>
      </c>
      <c r="G55" s="49">
        <f>VLOOKUP($A55,'Data Vlaue (Cr)'!$C:$FB,43)</f>
        <v>125</v>
      </c>
      <c r="H55" s="49">
        <f>VLOOKUP($A55,'Data Vlaue (Cr)'!$C:$FB,44)</f>
        <v>156</v>
      </c>
      <c r="I55" s="49">
        <f>VLOOKUP($A55,'Data Vlaue (Cr)'!$C:$FB,46)*100</f>
        <v>-20.010000000000002</v>
      </c>
      <c r="J55" s="51">
        <f>VLOOKUP($A55,'Data Vlaue (Cr)'!$C:$FB,59)</f>
        <v>799</v>
      </c>
      <c r="K55" s="51">
        <f>VLOOKUP($A55,'Data Vlaue (Cr)'!$C:$FB,60)</f>
        <v>473</v>
      </c>
      <c r="L55" s="51">
        <f>VLOOKUP($A55,'Data Vlaue (Cr)'!$C:$FB,62)*100</f>
        <v>68.92</v>
      </c>
      <c r="M55" s="51">
        <f>VLOOKUP($A55,'Data Vlaue (Cr)'!$C:$FB,63)</f>
        <v>267</v>
      </c>
      <c r="N55" s="51">
        <f>VLOOKUP($A55,'Data Vlaue (Cr)'!$C:$FB,64)</f>
        <v>264</v>
      </c>
      <c r="O55" s="51">
        <f>VLOOKUP($A55,'Data Vlaue (Cr)'!$C:$FB,66)*100</f>
        <v>1.27</v>
      </c>
    </row>
    <row r="56" spans="1:15" x14ac:dyDescent="0.25">
      <c r="A56" s="101" t="str">
        <f>'Data Vlaue (Cr)'!C51</f>
        <v>CYIENT</v>
      </c>
      <c r="B56" s="50">
        <f>VLOOKUP($A56,'Data Vlaue (Cr)'!$C:$FB,8)</f>
        <v>1138.8</v>
      </c>
      <c r="C56" s="50">
        <f>VLOOKUP($A56,'Data Vlaue (Cr)'!$C:$FB,11)*100</f>
        <v>-0.96</v>
      </c>
      <c r="D56" s="50">
        <f>VLOOKUP($A56,'Data Vlaue (Cr)'!$C:$FB,143)</f>
        <v>1766.69</v>
      </c>
      <c r="E56" s="50">
        <f>VLOOKUP($A56,'Data Vlaue (Cr)'!$C:$FB,144)</f>
        <v>155.51</v>
      </c>
      <c r="F56" s="50">
        <f>VLOOKUP($A56,'Data Vlaue (Cr)'!$C:$FB,146)*100</f>
        <v>1036.0900000000001</v>
      </c>
      <c r="G56" s="49">
        <f>VLOOKUP($A56,'Data Vlaue (Cr)'!$C:$FB,43)</f>
        <v>280</v>
      </c>
      <c r="H56" s="49">
        <f>VLOOKUP($A56,'Data Vlaue (Cr)'!$C:$FB,44)</f>
        <v>49</v>
      </c>
      <c r="I56" s="49">
        <f>VLOOKUP($A56,'Data Vlaue (Cr)'!$C:$FB,46)*100</f>
        <v>476.99999999999994</v>
      </c>
      <c r="J56" s="51">
        <f>VLOOKUP($A56,'Data Vlaue (Cr)'!$C:$FB,59)</f>
        <v>826</v>
      </c>
      <c r="K56" s="51">
        <f>VLOOKUP($A56,'Data Vlaue (Cr)'!$C:$FB,60)</f>
        <v>64</v>
      </c>
      <c r="L56" s="51">
        <f>VLOOKUP($A56,'Data Vlaue (Cr)'!$C:$FB,62)*100</f>
        <v>1192.48</v>
      </c>
      <c r="M56" s="51">
        <f>VLOOKUP($A56,'Data Vlaue (Cr)'!$C:$FB,63)</f>
        <v>623</v>
      </c>
      <c r="N56" s="51">
        <f>VLOOKUP($A56,'Data Vlaue (Cr)'!$C:$FB,64)</f>
        <v>39</v>
      </c>
      <c r="O56" s="51">
        <f>VLOOKUP($A56,'Data Vlaue (Cr)'!$C:$FB,66)*100</f>
        <v>1491.44</v>
      </c>
    </row>
    <row r="57" spans="1:15" x14ac:dyDescent="0.25">
      <c r="A57" s="101" t="str">
        <f>'Data Vlaue (Cr)'!C52</f>
        <v>DABUR</v>
      </c>
      <c r="B57" s="50">
        <f>VLOOKUP($A57,'Data Vlaue (Cr)'!$C:$FB,8)</f>
        <v>494.15</v>
      </c>
      <c r="C57" s="50">
        <f>VLOOKUP($A57,'Data Vlaue (Cr)'!$C:$FB,11)*100</f>
        <v>-0.61</v>
      </c>
      <c r="D57" s="50">
        <f>VLOOKUP($A57,'Data Vlaue (Cr)'!$C:$FB,143)</f>
        <v>606.49</v>
      </c>
      <c r="E57" s="50">
        <f>VLOOKUP($A57,'Data Vlaue (Cr)'!$C:$FB,144)</f>
        <v>1614.03</v>
      </c>
      <c r="F57" s="50">
        <f>VLOOKUP($A57,'Data Vlaue (Cr)'!$C:$FB,146)*100</f>
        <v>-62.419999999999995</v>
      </c>
      <c r="G57" s="49">
        <f>VLOOKUP($A57,'Data Vlaue (Cr)'!$C:$FB,43)</f>
        <v>101</v>
      </c>
      <c r="H57" s="49">
        <f>VLOOKUP($A57,'Data Vlaue (Cr)'!$C:$FB,44)</f>
        <v>174</v>
      </c>
      <c r="I57" s="49">
        <f>VLOOKUP($A57,'Data Vlaue (Cr)'!$C:$FB,46)*100</f>
        <v>-42</v>
      </c>
      <c r="J57" s="51">
        <f>VLOOKUP($A57,'Data Vlaue (Cr)'!$C:$FB,59)</f>
        <v>362</v>
      </c>
      <c r="K57" s="51">
        <f>VLOOKUP($A57,'Data Vlaue (Cr)'!$C:$FB,60)</f>
        <v>1076</v>
      </c>
      <c r="L57" s="51">
        <f>VLOOKUP($A57,'Data Vlaue (Cr)'!$C:$FB,62)*100</f>
        <v>-66.400000000000006</v>
      </c>
      <c r="M57" s="51">
        <f>VLOOKUP($A57,'Data Vlaue (Cr)'!$C:$FB,63)</f>
        <v>130</v>
      </c>
      <c r="N57" s="51">
        <f>VLOOKUP($A57,'Data Vlaue (Cr)'!$C:$FB,64)</f>
        <v>317</v>
      </c>
      <c r="O57" s="51">
        <f>VLOOKUP($A57,'Data Vlaue (Cr)'!$C:$FB,66)*100</f>
        <v>-59.019999999999996</v>
      </c>
    </row>
    <row r="58" spans="1:15" x14ac:dyDescent="0.25">
      <c r="A58" s="101" t="str">
        <f>'Data Vlaue (Cr)'!C53</f>
        <v>DALBHARAT</v>
      </c>
      <c r="B58" s="50">
        <f>VLOOKUP($A58,'Data Vlaue (Cr)'!$C:$FB,8)</f>
        <v>2073.9</v>
      </c>
      <c r="C58" s="50">
        <f>VLOOKUP($A58,'Data Vlaue (Cr)'!$C:$FB,11)*100</f>
        <v>0.36</v>
      </c>
      <c r="D58" s="50">
        <f>VLOOKUP($A58,'Data Vlaue (Cr)'!$C:$FB,143)</f>
        <v>479.79</v>
      </c>
      <c r="E58" s="50">
        <f>VLOOKUP($A58,'Data Vlaue (Cr)'!$C:$FB,144)</f>
        <v>628.79</v>
      </c>
      <c r="F58" s="50">
        <f>VLOOKUP($A58,'Data Vlaue (Cr)'!$C:$FB,146)*100</f>
        <v>-23.7</v>
      </c>
      <c r="G58" s="49">
        <f>VLOOKUP($A58,'Data Vlaue (Cr)'!$C:$FB,43)</f>
        <v>127</v>
      </c>
      <c r="H58" s="49">
        <f>VLOOKUP($A58,'Data Vlaue (Cr)'!$C:$FB,44)</f>
        <v>135</v>
      </c>
      <c r="I58" s="49">
        <f>VLOOKUP($A58,'Data Vlaue (Cr)'!$C:$FB,46)*100</f>
        <v>-6.1</v>
      </c>
      <c r="J58" s="51">
        <f>VLOOKUP($A58,'Data Vlaue (Cr)'!$C:$FB,59)</f>
        <v>250</v>
      </c>
      <c r="K58" s="51">
        <f>VLOOKUP($A58,'Data Vlaue (Cr)'!$C:$FB,60)</f>
        <v>294</v>
      </c>
      <c r="L58" s="51">
        <f>VLOOKUP($A58,'Data Vlaue (Cr)'!$C:$FB,62)*100</f>
        <v>-15.07</v>
      </c>
      <c r="M58" s="51">
        <f>VLOOKUP($A58,'Data Vlaue (Cr)'!$C:$FB,63)</f>
        <v>99</v>
      </c>
      <c r="N58" s="51">
        <f>VLOOKUP($A58,'Data Vlaue (Cr)'!$C:$FB,64)</f>
        <v>187</v>
      </c>
      <c r="O58" s="51">
        <f>VLOOKUP($A58,'Data Vlaue (Cr)'!$C:$FB,66)*100</f>
        <v>-46.97</v>
      </c>
    </row>
    <row r="59" spans="1:15" x14ac:dyDescent="0.25">
      <c r="A59" s="101" t="str">
        <f>'Data Vlaue (Cr)'!C54</f>
        <v>DELHIVERY</v>
      </c>
      <c r="B59" s="50">
        <f>VLOOKUP($A59,'Data Vlaue (Cr)'!$C:$FB,8)</f>
        <v>399.8</v>
      </c>
      <c r="C59" s="50">
        <f>VLOOKUP($A59,'Data Vlaue (Cr)'!$C:$FB,11)*100</f>
        <v>-0.5</v>
      </c>
      <c r="D59" s="50">
        <f>VLOOKUP($A59,'Data Vlaue (Cr)'!$C:$FB,143)</f>
        <v>544.28</v>
      </c>
      <c r="E59" s="50">
        <f>VLOOKUP($A59,'Data Vlaue (Cr)'!$C:$FB,144)</f>
        <v>718.5</v>
      </c>
      <c r="F59" s="50">
        <f>VLOOKUP($A59,'Data Vlaue (Cr)'!$C:$FB,146)*100</f>
        <v>-24.25</v>
      </c>
      <c r="G59" s="49">
        <f>VLOOKUP($A59,'Data Vlaue (Cr)'!$C:$FB,43)</f>
        <v>95</v>
      </c>
      <c r="H59" s="49">
        <f>VLOOKUP($A59,'Data Vlaue (Cr)'!$C:$FB,44)</f>
        <v>123</v>
      </c>
      <c r="I59" s="49">
        <f>VLOOKUP($A59,'Data Vlaue (Cr)'!$C:$FB,46)*100</f>
        <v>-22.82</v>
      </c>
      <c r="J59" s="51">
        <f>VLOOKUP($A59,'Data Vlaue (Cr)'!$C:$FB,59)</f>
        <v>290</v>
      </c>
      <c r="K59" s="51">
        <f>VLOOKUP($A59,'Data Vlaue (Cr)'!$C:$FB,60)</f>
        <v>385</v>
      </c>
      <c r="L59" s="51">
        <f>VLOOKUP($A59,'Data Vlaue (Cr)'!$C:$FB,62)*100</f>
        <v>-24.81</v>
      </c>
      <c r="M59" s="51">
        <f>VLOOKUP($A59,'Data Vlaue (Cr)'!$C:$FB,63)</f>
        <v>144</v>
      </c>
      <c r="N59" s="51">
        <f>VLOOKUP($A59,'Data Vlaue (Cr)'!$C:$FB,64)</f>
        <v>183</v>
      </c>
      <c r="O59" s="51">
        <f>VLOOKUP($A59,'Data Vlaue (Cr)'!$C:$FB,66)*100</f>
        <v>-21.32</v>
      </c>
    </row>
    <row r="60" spans="1:15" x14ac:dyDescent="0.25">
      <c r="A60" s="101" t="str">
        <f>'Data Vlaue (Cr)'!C55</f>
        <v>DIVISLAB</v>
      </c>
      <c r="B60" s="50">
        <f>VLOOKUP($A60,'Data Vlaue (Cr)'!$C:$FB,8)</f>
        <v>6293</v>
      </c>
      <c r="C60" s="50">
        <f>VLOOKUP($A60,'Data Vlaue (Cr)'!$C:$FB,11)*100</f>
        <v>-0.67</v>
      </c>
      <c r="D60" s="50">
        <f>VLOOKUP($A60,'Data Vlaue (Cr)'!$C:$FB,143)</f>
        <v>604.74</v>
      </c>
      <c r="E60" s="50">
        <f>VLOOKUP($A60,'Data Vlaue (Cr)'!$C:$FB,144)</f>
        <v>630.83000000000004</v>
      </c>
      <c r="F60" s="50">
        <f>VLOOKUP($A60,'Data Vlaue (Cr)'!$C:$FB,146)*100</f>
        <v>-4.1399999999999997</v>
      </c>
      <c r="G60" s="49">
        <f>VLOOKUP($A60,'Data Vlaue (Cr)'!$C:$FB,43)</f>
        <v>109</v>
      </c>
      <c r="H60" s="49">
        <f>VLOOKUP($A60,'Data Vlaue (Cr)'!$C:$FB,44)</f>
        <v>151</v>
      </c>
      <c r="I60" s="49">
        <f>VLOOKUP($A60,'Data Vlaue (Cr)'!$C:$FB,46)*100</f>
        <v>-28.299999999999997</v>
      </c>
      <c r="J60" s="51">
        <f>VLOOKUP($A60,'Data Vlaue (Cr)'!$C:$FB,59)</f>
        <v>334</v>
      </c>
      <c r="K60" s="51">
        <f>VLOOKUP($A60,'Data Vlaue (Cr)'!$C:$FB,60)</f>
        <v>308</v>
      </c>
      <c r="L60" s="51">
        <f>VLOOKUP($A60,'Data Vlaue (Cr)'!$C:$FB,62)*100</f>
        <v>8.15</v>
      </c>
      <c r="M60" s="51">
        <f>VLOOKUP($A60,'Data Vlaue (Cr)'!$C:$FB,63)</f>
        <v>149</v>
      </c>
      <c r="N60" s="51">
        <f>VLOOKUP($A60,'Data Vlaue (Cr)'!$C:$FB,64)</f>
        <v>155</v>
      </c>
      <c r="O60" s="51">
        <f>VLOOKUP($A60,'Data Vlaue (Cr)'!$C:$FB,66)*100</f>
        <v>-4.3</v>
      </c>
    </row>
    <row r="61" spans="1:15" x14ac:dyDescent="0.25">
      <c r="A61" s="101" t="str">
        <f>'Data Vlaue (Cr)'!C56</f>
        <v>DIXON</v>
      </c>
      <c r="B61" s="50">
        <f>VLOOKUP($A61,'Data Vlaue (Cr)'!$C:$FB,8)</f>
        <v>13274</v>
      </c>
      <c r="C61" s="50">
        <f>VLOOKUP($A61,'Data Vlaue (Cr)'!$C:$FB,11)*100</f>
        <v>-2.6</v>
      </c>
      <c r="D61" s="50">
        <f>VLOOKUP($A61,'Data Vlaue (Cr)'!$C:$FB,143)</f>
        <v>17078.03</v>
      </c>
      <c r="E61" s="50">
        <f>VLOOKUP($A61,'Data Vlaue (Cr)'!$C:$FB,144)</f>
        <v>12277.02</v>
      </c>
      <c r="F61" s="50">
        <f>VLOOKUP($A61,'Data Vlaue (Cr)'!$C:$FB,146)*100</f>
        <v>39.11</v>
      </c>
      <c r="G61" s="49">
        <f>VLOOKUP($A61,'Data Vlaue (Cr)'!$C:$FB,43)</f>
        <v>926</v>
      </c>
      <c r="H61" s="49">
        <f>VLOOKUP($A61,'Data Vlaue (Cr)'!$C:$FB,44)</f>
        <v>666</v>
      </c>
      <c r="I61" s="49">
        <f>VLOOKUP($A61,'Data Vlaue (Cr)'!$C:$FB,46)*100</f>
        <v>39.050000000000004</v>
      </c>
      <c r="J61" s="51">
        <f>VLOOKUP($A61,'Data Vlaue (Cr)'!$C:$FB,59)</f>
        <v>7555</v>
      </c>
      <c r="K61" s="51">
        <f>VLOOKUP($A61,'Data Vlaue (Cr)'!$C:$FB,60)</f>
        <v>6325</v>
      </c>
      <c r="L61" s="51">
        <f>VLOOKUP($A61,'Data Vlaue (Cr)'!$C:$FB,62)*100</f>
        <v>19.439999999999998</v>
      </c>
      <c r="M61" s="51">
        <f>VLOOKUP($A61,'Data Vlaue (Cr)'!$C:$FB,63)</f>
        <v>8212</v>
      </c>
      <c r="N61" s="51">
        <f>VLOOKUP($A61,'Data Vlaue (Cr)'!$C:$FB,64)</f>
        <v>4710</v>
      </c>
      <c r="O61" s="51">
        <f>VLOOKUP($A61,'Data Vlaue (Cr)'!$C:$FB,66)*100</f>
        <v>74.339999999999989</v>
      </c>
    </row>
    <row r="62" spans="1:15" x14ac:dyDescent="0.25">
      <c r="A62" s="101" t="str">
        <f>'Data Vlaue (Cr)'!C57</f>
        <v>DLF</v>
      </c>
      <c r="B62" s="50">
        <f>VLOOKUP($A62,'Data Vlaue (Cr)'!$C:$FB,8)</f>
        <v>683.1</v>
      </c>
      <c r="C62" s="50">
        <f>VLOOKUP($A62,'Data Vlaue (Cr)'!$C:$FB,11)*100</f>
        <v>-1.28</v>
      </c>
      <c r="D62" s="50">
        <f>VLOOKUP($A62,'Data Vlaue (Cr)'!$C:$FB,143)</f>
        <v>2102.59</v>
      </c>
      <c r="E62" s="50">
        <f>VLOOKUP($A62,'Data Vlaue (Cr)'!$C:$FB,144)</f>
        <v>1390.14</v>
      </c>
      <c r="F62" s="50">
        <f>VLOOKUP($A62,'Data Vlaue (Cr)'!$C:$FB,146)*100</f>
        <v>51.249999999999993</v>
      </c>
      <c r="G62" s="49">
        <f>VLOOKUP($A62,'Data Vlaue (Cr)'!$C:$FB,43)</f>
        <v>324</v>
      </c>
      <c r="H62" s="49">
        <f>VLOOKUP($A62,'Data Vlaue (Cr)'!$C:$FB,44)</f>
        <v>218</v>
      </c>
      <c r="I62" s="49">
        <f>VLOOKUP($A62,'Data Vlaue (Cr)'!$C:$FB,46)*100</f>
        <v>48.230000000000004</v>
      </c>
      <c r="J62" s="51">
        <f>VLOOKUP($A62,'Data Vlaue (Cr)'!$C:$FB,59)</f>
        <v>1232</v>
      </c>
      <c r="K62" s="51">
        <f>VLOOKUP($A62,'Data Vlaue (Cr)'!$C:$FB,60)</f>
        <v>871</v>
      </c>
      <c r="L62" s="51">
        <f>VLOOKUP($A62,'Data Vlaue (Cr)'!$C:$FB,62)*100</f>
        <v>41.38</v>
      </c>
      <c r="M62" s="51">
        <f>VLOOKUP($A62,'Data Vlaue (Cr)'!$C:$FB,63)</f>
        <v>478</v>
      </c>
      <c r="N62" s="51">
        <f>VLOOKUP($A62,'Data Vlaue (Cr)'!$C:$FB,64)</f>
        <v>245</v>
      </c>
      <c r="O62" s="51">
        <f>VLOOKUP($A62,'Data Vlaue (Cr)'!$C:$FB,66)*100</f>
        <v>95.64</v>
      </c>
    </row>
    <row r="63" spans="1:15" x14ac:dyDescent="0.25">
      <c r="A63" s="101" t="str">
        <f>'Data Vlaue (Cr)'!C58</f>
        <v>DMART</v>
      </c>
      <c r="B63" s="50">
        <f>VLOOKUP($A63,'Data Vlaue (Cr)'!$C:$FB,8)</f>
        <v>3826.2</v>
      </c>
      <c r="C63" s="50">
        <f>VLOOKUP($A63,'Data Vlaue (Cr)'!$C:$FB,11)*100</f>
        <v>-0.79</v>
      </c>
      <c r="D63" s="50">
        <f>VLOOKUP($A63,'Data Vlaue (Cr)'!$C:$FB,143)</f>
        <v>1302.3599999999999</v>
      </c>
      <c r="E63" s="50">
        <f>VLOOKUP($A63,'Data Vlaue (Cr)'!$C:$FB,144)</f>
        <v>4795.84</v>
      </c>
      <c r="F63" s="50">
        <f>VLOOKUP($A63,'Data Vlaue (Cr)'!$C:$FB,146)*100</f>
        <v>-72.84</v>
      </c>
      <c r="G63" s="49">
        <f>VLOOKUP($A63,'Data Vlaue (Cr)'!$C:$FB,43)</f>
        <v>249</v>
      </c>
      <c r="H63" s="49">
        <f>VLOOKUP($A63,'Data Vlaue (Cr)'!$C:$FB,44)</f>
        <v>370</v>
      </c>
      <c r="I63" s="49">
        <f>VLOOKUP($A63,'Data Vlaue (Cr)'!$C:$FB,46)*100</f>
        <v>-32.6</v>
      </c>
      <c r="J63" s="51">
        <f>VLOOKUP($A63,'Data Vlaue (Cr)'!$C:$FB,59)</f>
        <v>726</v>
      </c>
      <c r="K63" s="51">
        <f>VLOOKUP($A63,'Data Vlaue (Cr)'!$C:$FB,60)</f>
        <v>3289</v>
      </c>
      <c r="L63" s="51">
        <f>VLOOKUP($A63,'Data Vlaue (Cr)'!$C:$FB,62)*100</f>
        <v>-77.929999999999993</v>
      </c>
      <c r="M63" s="51">
        <f>VLOOKUP($A63,'Data Vlaue (Cr)'!$C:$FB,63)</f>
        <v>294</v>
      </c>
      <c r="N63" s="51">
        <f>VLOOKUP($A63,'Data Vlaue (Cr)'!$C:$FB,64)</f>
        <v>967</v>
      </c>
      <c r="O63" s="51">
        <f>VLOOKUP($A63,'Data Vlaue (Cr)'!$C:$FB,66)*100</f>
        <v>-69.63000000000001</v>
      </c>
    </row>
    <row r="64" spans="1:15" x14ac:dyDescent="0.25">
      <c r="A64" s="101" t="str">
        <f>'Data Vlaue (Cr)'!C59</f>
        <v>DRREDDY</v>
      </c>
      <c r="B64" s="50">
        <f>VLOOKUP($A64,'Data Vlaue (Cr)'!$C:$FB,8)</f>
        <v>1272</v>
      </c>
      <c r="C64" s="50">
        <f>VLOOKUP($A64,'Data Vlaue (Cr)'!$C:$FB,11)*100</f>
        <v>-0.38</v>
      </c>
      <c r="D64" s="50">
        <f>VLOOKUP($A64,'Data Vlaue (Cr)'!$C:$FB,143)</f>
        <v>837.16</v>
      </c>
      <c r="E64" s="50">
        <f>VLOOKUP($A64,'Data Vlaue (Cr)'!$C:$FB,144)</f>
        <v>750.02</v>
      </c>
      <c r="F64" s="50">
        <f>VLOOKUP($A64,'Data Vlaue (Cr)'!$C:$FB,146)*100</f>
        <v>11.62</v>
      </c>
      <c r="G64" s="49">
        <f>VLOOKUP($A64,'Data Vlaue (Cr)'!$C:$FB,43)</f>
        <v>167</v>
      </c>
      <c r="H64" s="49">
        <f>VLOOKUP($A64,'Data Vlaue (Cr)'!$C:$FB,44)</f>
        <v>141</v>
      </c>
      <c r="I64" s="49">
        <f>VLOOKUP($A64,'Data Vlaue (Cr)'!$C:$FB,46)*100</f>
        <v>17.78</v>
      </c>
      <c r="J64" s="51">
        <f>VLOOKUP($A64,'Data Vlaue (Cr)'!$C:$FB,59)</f>
        <v>433</v>
      </c>
      <c r="K64" s="51">
        <f>VLOOKUP($A64,'Data Vlaue (Cr)'!$C:$FB,60)</f>
        <v>393</v>
      </c>
      <c r="L64" s="51">
        <f>VLOOKUP($A64,'Data Vlaue (Cr)'!$C:$FB,62)*100</f>
        <v>10.100000000000001</v>
      </c>
      <c r="M64" s="51">
        <f>VLOOKUP($A64,'Data Vlaue (Cr)'!$C:$FB,63)</f>
        <v>229</v>
      </c>
      <c r="N64" s="51">
        <f>VLOOKUP($A64,'Data Vlaue (Cr)'!$C:$FB,64)</f>
        <v>206</v>
      </c>
      <c r="O64" s="51">
        <f>VLOOKUP($A64,'Data Vlaue (Cr)'!$C:$FB,66)*100</f>
        <v>11.05</v>
      </c>
    </row>
    <row r="65" spans="1:15" x14ac:dyDescent="0.25">
      <c r="A65" s="101" t="str">
        <f>'Data Vlaue (Cr)'!C60</f>
        <v>EICHERMOT</v>
      </c>
      <c r="B65" s="50">
        <f>VLOOKUP($A65,'Data Vlaue (Cr)'!$C:$FB,8)</f>
        <v>7134.5</v>
      </c>
      <c r="C65" s="50">
        <f>VLOOKUP($A65,'Data Vlaue (Cr)'!$C:$FB,11)*100</f>
        <v>1.03</v>
      </c>
      <c r="D65" s="50">
        <f>VLOOKUP($A65,'Data Vlaue (Cr)'!$C:$FB,143)</f>
        <v>5903</v>
      </c>
      <c r="E65" s="50">
        <f>VLOOKUP($A65,'Data Vlaue (Cr)'!$C:$FB,144)</f>
        <v>3989.09</v>
      </c>
      <c r="F65" s="50">
        <f>VLOOKUP($A65,'Data Vlaue (Cr)'!$C:$FB,146)*100</f>
        <v>47.980000000000004</v>
      </c>
      <c r="G65" s="49">
        <f>VLOOKUP($A65,'Data Vlaue (Cr)'!$C:$FB,43)</f>
        <v>721</v>
      </c>
      <c r="H65" s="49">
        <f>VLOOKUP($A65,'Data Vlaue (Cr)'!$C:$FB,44)</f>
        <v>438</v>
      </c>
      <c r="I65" s="49">
        <f>VLOOKUP($A65,'Data Vlaue (Cr)'!$C:$FB,46)*100</f>
        <v>64.570000000000007</v>
      </c>
      <c r="J65" s="51">
        <f>VLOOKUP($A65,'Data Vlaue (Cr)'!$C:$FB,59)</f>
        <v>3394</v>
      </c>
      <c r="K65" s="51">
        <f>VLOOKUP($A65,'Data Vlaue (Cr)'!$C:$FB,60)</f>
        <v>1919</v>
      </c>
      <c r="L65" s="51">
        <f>VLOOKUP($A65,'Data Vlaue (Cr)'!$C:$FB,62)*100</f>
        <v>76.89</v>
      </c>
      <c r="M65" s="51">
        <f>VLOOKUP($A65,'Data Vlaue (Cr)'!$C:$FB,63)</f>
        <v>1796</v>
      </c>
      <c r="N65" s="51">
        <f>VLOOKUP($A65,'Data Vlaue (Cr)'!$C:$FB,64)</f>
        <v>1630</v>
      </c>
      <c r="O65" s="51">
        <f>VLOOKUP($A65,'Data Vlaue (Cr)'!$C:$FB,66)*100</f>
        <v>10.17</v>
      </c>
    </row>
    <row r="66" spans="1:15" x14ac:dyDescent="0.25">
      <c r="A66" s="101" t="str">
        <f>'Data Vlaue (Cr)'!C61</f>
        <v>ETERNAL</v>
      </c>
      <c r="B66" s="50">
        <f>VLOOKUP($A66,'Data Vlaue (Cr)'!$C:$FB,8)</f>
        <v>284.45</v>
      </c>
      <c r="C66" s="50">
        <f>VLOOKUP($A66,'Data Vlaue (Cr)'!$C:$FB,11)*100</f>
        <v>0</v>
      </c>
      <c r="D66" s="50">
        <f>VLOOKUP($A66,'Data Vlaue (Cr)'!$C:$FB,143)</f>
        <v>5575.63</v>
      </c>
      <c r="E66" s="50">
        <f>VLOOKUP($A66,'Data Vlaue (Cr)'!$C:$FB,144)</f>
        <v>15944.9</v>
      </c>
      <c r="F66" s="50">
        <f>VLOOKUP($A66,'Data Vlaue (Cr)'!$C:$FB,146)*100</f>
        <v>-65.03</v>
      </c>
      <c r="G66" s="49">
        <f>VLOOKUP($A66,'Data Vlaue (Cr)'!$C:$FB,43)</f>
        <v>752</v>
      </c>
      <c r="H66" s="49">
        <f>VLOOKUP($A66,'Data Vlaue (Cr)'!$C:$FB,44)</f>
        <v>1827</v>
      </c>
      <c r="I66" s="49">
        <f>VLOOKUP($A66,'Data Vlaue (Cr)'!$C:$FB,46)*100</f>
        <v>-58.85</v>
      </c>
      <c r="J66" s="51">
        <f>VLOOKUP($A66,'Data Vlaue (Cr)'!$C:$FB,59)</f>
        <v>2917</v>
      </c>
      <c r="K66" s="51">
        <f>VLOOKUP($A66,'Data Vlaue (Cr)'!$C:$FB,60)</f>
        <v>7749</v>
      </c>
      <c r="L66" s="51">
        <f>VLOOKUP($A66,'Data Vlaue (Cr)'!$C:$FB,62)*100</f>
        <v>-62.360000000000007</v>
      </c>
      <c r="M66" s="51">
        <f>VLOOKUP($A66,'Data Vlaue (Cr)'!$C:$FB,63)</f>
        <v>1742</v>
      </c>
      <c r="N66" s="51">
        <f>VLOOKUP($A66,'Data Vlaue (Cr)'!$C:$FB,64)</f>
        <v>5822</v>
      </c>
      <c r="O66" s="51">
        <f>VLOOKUP($A66,'Data Vlaue (Cr)'!$C:$FB,66)*100</f>
        <v>-70.08</v>
      </c>
    </row>
    <row r="67" spans="1:15" x14ac:dyDescent="0.25">
      <c r="A67" s="101" t="str">
        <f>'Data Vlaue (Cr)'!C62</f>
        <v>EXIDEIND</v>
      </c>
      <c r="B67" s="50">
        <f>VLOOKUP($A67,'Data Vlaue (Cr)'!$C:$FB,8)</f>
        <v>363.8</v>
      </c>
      <c r="C67" s="50">
        <f>VLOOKUP($A67,'Data Vlaue (Cr)'!$C:$FB,11)*100</f>
        <v>-0.67</v>
      </c>
      <c r="D67" s="50">
        <f>VLOOKUP($A67,'Data Vlaue (Cr)'!$C:$FB,143)</f>
        <v>616.24</v>
      </c>
      <c r="E67" s="50">
        <f>VLOOKUP($A67,'Data Vlaue (Cr)'!$C:$FB,144)</f>
        <v>748.26</v>
      </c>
      <c r="F67" s="50">
        <f>VLOOKUP($A67,'Data Vlaue (Cr)'!$C:$FB,146)*100</f>
        <v>-17.64</v>
      </c>
      <c r="G67" s="49">
        <f>VLOOKUP($A67,'Data Vlaue (Cr)'!$C:$FB,43)</f>
        <v>75</v>
      </c>
      <c r="H67" s="49">
        <f>VLOOKUP($A67,'Data Vlaue (Cr)'!$C:$FB,44)</f>
        <v>119</v>
      </c>
      <c r="I67" s="49">
        <f>VLOOKUP($A67,'Data Vlaue (Cr)'!$C:$FB,46)*100</f>
        <v>-36.6</v>
      </c>
      <c r="J67" s="51">
        <f>VLOOKUP($A67,'Data Vlaue (Cr)'!$C:$FB,59)</f>
        <v>373</v>
      </c>
      <c r="K67" s="51">
        <f>VLOOKUP($A67,'Data Vlaue (Cr)'!$C:$FB,60)</f>
        <v>431</v>
      </c>
      <c r="L67" s="51">
        <f>VLOOKUP($A67,'Data Vlaue (Cr)'!$C:$FB,62)*100</f>
        <v>-13.389999999999999</v>
      </c>
      <c r="M67" s="51">
        <f>VLOOKUP($A67,'Data Vlaue (Cr)'!$C:$FB,63)</f>
        <v>154</v>
      </c>
      <c r="N67" s="51">
        <f>VLOOKUP($A67,'Data Vlaue (Cr)'!$C:$FB,64)</f>
        <v>172</v>
      </c>
      <c r="O67" s="51">
        <f>VLOOKUP($A67,'Data Vlaue (Cr)'!$C:$FB,66)*100</f>
        <v>-10.6</v>
      </c>
    </row>
    <row r="68" spans="1:15" x14ac:dyDescent="0.25">
      <c r="A68" s="101" t="str">
        <f>'Data Vlaue (Cr)'!C63</f>
        <v>FEDERALBNK</v>
      </c>
      <c r="B68" s="50">
        <f>VLOOKUP($A68,'Data Vlaue (Cr)'!$C:$FB,8)</f>
        <v>263.60000000000002</v>
      </c>
      <c r="C68" s="50">
        <f>VLOOKUP($A68,'Data Vlaue (Cr)'!$C:$FB,11)*100</f>
        <v>0.53</v>
      </c>
      <c r="D68" s="50">
        <f>VLOOKUP($A68,'Data Vlaue (Cr)'!$C:$FB,143)</f>
        <v>2333.02</v>
      </c>
      <c r="E68" s="50">
        <f>VLOOKUP($A68,'Data Vlaue (Cr)'!$C:$FB,144)</f>
        <v>2584.8000000000002</v>
      </c>
      <c r="F68" s="50">
        <f>VLOOKUP($A68,'Data Vlaue (Cr)'!$C:$FB,146)*100</f>
        <v>-9.74</v>
      </c>
      <c r="G68" s="49">
        <f>VLOOKUP($A68,'Data Vlaue (Cr)'!$C:$FB,43)</f>
        <v>309</v>
      </c>
      <c r="H68" s="49">
        <f>VLOOKUP($A68,'Data Vlaue (Cr)'!$C:$FB,44)</f>
        <v>415</v>
      </c>
      <c r="I68" s="49">
        <f>VLOOKUP($A68,'Data Vlaue (Cr)'!$C:$FB,46)*100</f>
        <v>-25.669999999999998</v>
      </c>
      <c r="J68" s="51">
        <f>VLOOKUP($A68,'Data Vlaue (Cr)'!$C:$FB,59)</f>
        <v>1261</v>
      </c>
      <c r="K68" s="51">
        <f>VLOOKUP($A68,'Data Vlaue (Cr)'!$C:$FB,60)</f>
        <v>1380</v>
      </c>
      <c r="L68" s="51">
        <f>VLOOKUP($A68,'Data Vlaue (Cr)'!$C:$FB,62)*100</f>
        <v>-8.61</v>
      </c>
      <c r="M68" s="51">
        <f>VLOOKUP($A68,'Data Vlaue (Cr)'!$C:$FB,63)</f>
        <v>739</v>
      </c>
      <c r="N68" s="51">
        <f>VLOOKUP($A68,'Data Vlaue (Cr)'!$C:$FB,64)</f>
        <v>756</v>
      </c>
      <c r="O68" s="51">
        <f>VLOOKUP($A68,'Data Vlaue (Cr)'!$C:$FB,66)*100</f>
        <v>-2.27</v>
      </c>
    </row>
    <row r="69" spans="1:15" x14ac:dyDescent="0.25">
      <c r="A69" s="101" t="str">
        <f>'Data Vlaue (Cr)'!C64</f>
        <v>FINNIFTY</v>
      </c>
      <c r="B69" s="50">
        <f>VLOOKUP($A69,'Data Vlaue (Cr)'!$C:$FB,8)</f>
        <v>27251.95</v>
      </c>
      <c r="C69" s="50">
        <f>VLOOKUP($A69,'Data Vlaue (Cr)'!$C:$FB,11)*100</f>
        <v>-0.49</v>
      </c>
      <c r="D69" s="50">
        <f>VLOOKUP($A69,'Data Vlaue (Cr)'!$C:$FB,143)</f>
        <v>8283.74</v>
      </c>
      <c r="E69" s="50">
        <f>VLOOKUP($A69,'Data Vlaue (Cr)'!$C:$FB,144)</f>
        <v>6338.44</v>
      </c>
      <c r="F69" s="50">
        <f>VLOOKUP($A69,'Data Vlaue (Cr)'!$C:$FB,146)*100</f>
        <v>30.69</v>
      </c>
      <c r="G69" s="49">
        <f>VLOOKUP($A69,'Data Vlaue (Cr)'!$C:$FB,43)</f>
        <v>76</v>
      </c>
      <c r="H69" s="49">
        <f>VLOOKUP($A69,'Data Vlaue (Cr)'!$C:$FB,44)</f>
        <v>66</v>
      </c>
      <c r="I69" s="49">
        <f>VLOOKUP($A69,'Data Vlaue (Cr)'!$C:$FB,46)*100</f>
        <v>14.82</v>
      </c>
      <c r="J69" s="51">
        <f>VLOOKUP($A69,'Data Vlaue (Cr)'!$C:$FB,59)</f>
        <v>4898</v>
      </c>
      <c r="K69" s="51">
        <f>VLOOKUP($A69,'Data Vlaue (Cr)'!$C:$FB,60)</f>
        <v>3637</v>
      </c>
      <c r="L69" s="51">
        <f>VLOOKUP($A69,'Data Vlaue (Cr)'!$C:$FB,62)*100</f>
        <v>34.67</v>
      </c>
      <c r="M69" s="51">
        <f>VLOOKUP($A69,'Data Vlaue (Cr)'!$C:$FB,63)</f>
        <v>3228</v>
      </c>
      <c r="N69" s="51">
        <f>VLOOKUP($A69,'Data Vlaue (Cr)'!$C:$FB,64)</f>
        <v>2538</v>
      </c>
      <c r="O69" s="51">
        <f>VLOOKUP($A69,'Data Vlaue (Cr)'!$C:$FB,66)*100</f>
        <v>27.16</v>
      </c>
    </row>
    <row r="70" spans="1:15" x14ac:dyDescent="0.25">
      <c r="A70" s="101" t="str">
        <f>'Data Vlaue (Cr)'!C65</f>
        <v>FORTIS</v>
      </c>
      <c r="B70" s="50">
        <f>VLOOKUP($A70,'Data Vlaue (Cr)'!$C:$FB,8)</f>
        <v>870.95</v>
      </c>
      <c r="C70" s="50">
        <f>VLOOKUP($A70,'Data Vlaue (Cr)'!$C:$FB,11)*100</f>
        <v>-0.45999999999999996</v>
      </c>
      <c r="D70" s="50">
        <f>VLOOKUP($A70,'Data Vlaue (Cr)'!$C:$FB,143)</f>
        <v>553.97</v>
      </c>
      <c r="E70" s="50">
        <f>VLOOKUP($A70,'Data Vlaue (Cr)'!$C:$FB,144)</f>
        <v>1122.1099999999999</v>
      </c>
      <c r="F70" s="50">
        <f>VLOOKUP($A70,'Data Vlaue (Cr)'!$C:$FB,146)*100</f>
        <v>-50.629999999999995</v>
      </c>
      <c r="G70" s="49">
        <f>VLOOKUP($A70,'Data Vlaue (Cr)'!$C:$FB,43)</f>
        <v>184</v>
      </c>
      <c r="H70" s="49">
        <f>VLOOKUP($A70,'Data Vlaue (Cr)'!$C:$FB,44)</f>
        <v>192</v>
      </c>
      <c r="I70" s="49">
        <f>VLOOKUP($A70,'Data Vlaue (Cr)'!$C:$FB,46)*100</f>
        <v>-3.7699999999999996</v>
      </c>
      <c r="J70" s="51">
        <f>VLOOKUP($A70,'Data Vlaue (Cr)'!$C:$FB,59)</f>
        <v>255</v>
      </c>
      <c r="K70" s="51">
        <f>VLOOKUP($A70,'Data Vlaue (Cr)'!$C:$FB,60)</f>
        <v>714</v>
      </c>
      <c r="L70" s="51">
        <f>VLOOKUP($A70,'Data Vlaue (Cr)'!$C:$FB,62)*100</f>
        <v>-64.239999999999995</v>
      </c>
      <c r="M70" s="51">
        <f>VLOOKUP($A70,'Data Vlaue (Cr)'!$C:$FB,63)</f>
        <v>103</v>
      </c>
      <c r="N70" s="51">
        <f>VLOOKUP($A70,'Data Vlaue (Cr)'!$C:$FB,64)</f>
        <v>180</v>
      </c>
      <c r="O70" s="51">
        <f>VLOOKUP($A70,'Data Vlaue (Cr)'!$C:$FB,66)*100</f>
        <v>-42.92</v>
      </c>
    </row>
    <row r="71" spans="1:15" x14ac:dyDescent="0.25">
      <c r="A71" s="101" t="str">
        <f>'Data Vlaue (Cr)'!C66</f>
        <v>GAIL</v>
      </c>
      <c r="B71" s="50">
        <f>VLOOKUP($A71,'Data Vlaue (Cr)'!$C:$FB,8)</f>
        <v>169.07</v>
      </c>
      <c r="C71" s="50">
        <f>VLOOKUP($A71,'Data Vlaue (Cr)'!$C:$FB,11)*100</f>
        <v>0.44999999999999996</v>
      </c>
      <c r="D71" s="50">
        <f>VLOOKUP($A71,'Data Vlaue (Cr)'!$C:$FB,143)</f>
        <v>719.87</v>
      </c>
      <c r="E71" s="50">
        <f>VLOOKUP($A71,'Data Vlaue (Cr)'!$C:$FB,144)</f>
        <v>829.9</v>
      </c>
      <c r="F71" s="50">
        <f>VLOOKUP($A71,'Data Vlaue (Cr)'!$C:$FB,146)*100</f>
        <v>-13.26</v>
      </c>
      <c r="G71" s="49">
        <f>VLOOKUP($A71,'Data Vlaue (Cr)'!$C:$FB,43)</f>
        <v>126</v>
      </c>
      <c r="H71" s="49">
        <f>VLOOKUP($A71,'Data Vlaue (Cr)'!$C:$FB,44)</f>
        <v>205</v>
      </c>
      <c r="I71" s="49">
        <f>VLOOKUP($A71,'Data Vlaue (Cr)'!$C:$FB,46)*100</f>
        <v>-38.590000000000003</v>
      </c>
      <c r="J71" s="51">
        <f>VLOOKUP($A71,'Data Vlaue (Cr)'!$C:$FB,59)</f>
        <v>414</v>
      </c>
      <c r="K71" s="51">
        <f>VLOOKUP($A71,'Data Vlaue (Cr)'!$C:$FB,60)</f>
        <v>383</v>
      </c>
      <c r="L71" s="51">
        <f>VLOOKUP($A71,'Data Vlaue (Cr)'!$C:$FB,62)*100</f>
        <v>8</v>
      </c>
      <c r="M71" s="51">
        <f>VLOOKUP($A71,'Data Vlaue (Cr)'!$C:$FB,63)</f>
        <v>159</v>
      </c>
      <c r="N71" s="51">
        <f>VLOOKUP($A71,'Data Vlaue (Cr)'!$C:$FB,64)</f>
        <v>226</v>
      </c>
      <c r="O71" s="51">
        <f>VLOOKUP($A71,'Data Vlaue (Cr)'!$C:$FB,66)*100</f>
        <v>-29.580000000000002</v>
      </c>
    </row>
    <row r="72" spans="1:15" x14ac:dyDescent="0.25">
      <c r="A72" s="101" t="str">
        <f>'Data Vlaue (Cr)'!C67</f>
        <v>GLENMARK</v>
      </c>
      <c r="B72" s="50">
        <f>VLOOKUP($A72,'Data Vlaue (Cr)'!$C:$FB,8)</f>
        <v>1948.4</v>
      </c>
      <c r="C72" s="50">
        <f>VLOOKUP($A72,'Data Vlaue (Cr)'!$C:$FB,11)*100</f>
        <v>-0.91999999999999993</v>
      </c>
      <c r="D72" s="50">
        <f>VLOOKUP($A72,'Data Vlaue (Cr)'!$C:$FB,143)</f>
        <v>1314.86</v>
      </c>
      <c r="E72" s="50">
        <f>VLOOKUP($A72,'Data Vlaue (Cr)'!$C:$FB,144)</f>
        <v>1160.28</v>
      </c>
      <c r="F72" s="50">
        <f>VLOOKUP($A72,'Data Vlaue (Cr)'!$C:$FB,146)*100</f>
        <v>13.320000000000002</v>
      </c>
      <c r="G72" s="49">
        <f>VLOOKUP($A72,'Data Vlaue (Cr)'!$C:$FB,43)</f>
        <v>270</v>
      </c>
      <c r="H72" s="49">
        <f>VLOOKUP($A72,'Data Vlaue (Cr)'!$C:$FB,44)</f>
        <v>267</v>
      </c>
      <c r="I72" s="49">
        <f>VLOOKUP($A72,'Data Vlaue (Cr)'!$C:$FB,46)*100</f>
        <v>1.1499999999999999</v>
      </c>
      <c r="J72" s="51">
        <f>VLOOKUP($A72,'Data Vlaue (Cr)'!$C:$FB,59)</f>
        <v>685</v>
      </c>
      <c r="K72" s="51">
        <f>VLOOKUP($A72,'Data Vlaue (Cr)'!$C:$FB,60)</f>
        <v>524</v>
      </c>
      <c r="L72" s="51">
        <f>VLOOKUP($A72,'Data Vlaue (Cr)'!$C:$FB,62)*100</f>
        <v>30.65</v>
      </c>
      <c r="M72" s="51">
        <f>VLOOKUP($A72,'Data Vlaue (Cr)'!$C:$FB,63)</f>
        <v>332</v>
      </c>
      <c r="N72" s="51">
        <f>VLOOKUP($A72,'Data Vlaue (Cr)'!$C:$FB,64)</f>
        <v>341</v>
      </c>
      <c r="O72" s="51">
        <f>VLOOKUP($A72,'Data Vlaue (Cr)'!$C:$FB,66)*100</f>
        <v>-2.85</v>
      </c>
    </row>
    <row r="73" spans="1:15" x14ac:dyDescent="0.25">
      <c r="A73" s="101" t="str">
        <f>'Data Vlaue (Cr)'!C68</f>
        <v>GMRAIRPORT</v>
      </c>
      <c r="B73" s="50">
        <f>VLOOKUP($A73,'Data Vlaue (Cr)'!$C:$FB,8)</f>
        <v>100.95</v>
      </c>
      <c r="C73" s="50">
        <f>VLOOKUP($A73,'Data Vlaue (Cr)'!$C:$FB,11)*100</f>
        <v>-2.48</v>
      </c>
      <c r="D73" s="50">
        <f>VLOOKUP($A73,'Data Vlaue (Cr)'!$C:$FB,143)</f>
        <v>2293.4299999999998</v>
      </c>
      <c r="E73" s="50">
        <f>VLOOKUP($A73,'Data Vlaue (Cr)'!$C:$FB,144)</f>
        <v>2580.9899999999998</v>
      </c>
      <c r="F73" s="50">
        <f>VLOOKUP($A73,'Data Vlaue (Cr)'!$C:$FB,146)*100</f>
        <v>-11.14</v>
      </c>
      <c r="G73" s="49">
        <f>VLOOKUP($A73,'Data Vlaue (Cr)'!$C:$FB,43)</f>
        <v>299</v>
      </c>
      <c r="H73" s="49">
        <f>VLOOKUP($A73,'Data Vlaue (Cr)'!$C:$FB,44)</f>
        <v>379</v>
      </c>
      <c r="I73" s="49">
        <f>VLOOKUP($A73,'Data Vlaue (Cr)'!$C:$FB,46)*100</f>
        <v>-20.96</v>
      </c>
      <c r="J73" s="51">
        <f>VLOOKUP($A73,'Data Vlaue (Cr)'!$C:$FB,59)</f>
        <v>1304</v>
      </c>
      <c r="K73" s="51">
        <f>VLOOKUP($A73,'Data Vlaue (Cr)'!$C:$FB,60)</f>
        <v>1473</v>
      </c>
      <c r="L73" s="51">
        <f>VLOOKUP($A73,'Data Vlaue (Cr)'!$C:$FB,62)*100</f>
        <v>-11.450000000000001</v>
      </c>
      <c r="M73" s="51">
        <f>VLOOKUP($A73,'Data Vlaue (Cr)'!$C:$FB,63)</f>
        <v>604</v>
      </c>
      <c r="N73" s="51">
        <f>VLOOKUP($A73,'Data Vlaue (Cr)'!$C:$FB,64)</f>
        <v>591</v>
      </c>
      <c r="O73" s="51">
        <f>VLOOKUP($A73,'Data Vlaue (Cr)'!$C:$FB,66)*100</f>
        <v>2.09</v>
      </c>
    </row>
    <row r="74" spans="1:15" x14ac:dyDescent="0.25">
      <c r="A74" s="101" t="str">
        <f>'Data Vlaue (Cr)'!C69</f>
        <v>GODREJCP</v>
      </c>
      <c r="B74" s="50">
        <f>VLOOKUP($A74,'Data Vlaue (Cr)'!$C:$FB,8)</f>
        <v>1179.7</v>
      </c>
      <c r="C74" s="50">
        <f>VLOOKUP($A74,'Data Vlaue (Cr)'!$C:$FB,11)*100</f>
        <v>-0.22999999999999998</v>
      </c>
      <c r="D74" s="50">
        <f>VLOOKUP($A74,'Data Vlaue (Cr)'!$C:$FB,143)</f>
        <v>576.95000000000005</v>
      </c>
      <c r="E74" s="50">
        <f>VLOOKUP($A74,'Data Vlaue (Cr)'!$C:$FB,144)</f>
        <v>3809.51</v>
      </c>
      <c r="F74" s="50">
        <f>VLOOKUP($A74,'Data Vlaue (Cr)'!$C:$FB,146)*100</f>
        <v>-84.850000000000009</v>
      </c>
      <c r="G74" s="49">
        <f>VLOOKUP($A74,'Data Vlaue (Cr)'!$C:$FB,43)</f>
        <v>112</v>
      </c>
      <c r="H74" s="49">
        <f>VLOOKUP($A74,'Data Vlaue (Cr)'!$C:$FB,44)</f>
        <v>371</v>
      </c>
      <c r="I74" s="49">
        <f>VLOOKUP($A74,'Data Vlaue (Cr)'!$C:$FB,46)*100</f>
        <v>-69.849999999999994</v>
      </c>
      <c r="J74" s="51">
        <f>VLOOKUP($A74,'Data Vlaue (Cr)'!$C:$FB,59)</f>
        <v>307</v>
      </c>
      <c r="K74" s="51">
        <f>VLOOKUP($A74,'Data Vlaue (Cr)'!$C:$FB,60)</f>
        <v>2452</v>
      </c>
      <c r="L74" s="51">
        <f>VLOOKUP($A74,'Data Vlaue (Cr)'!$C:$FB,62)*100</f>
        <v>-87.47</v>
      </c>
      <c r="M74" s="51">
        <f>VLOOKUP($A74,'Data Vlaue (Cr)'!$C:$FB,63)</f>
        <v>150</v>
      </c>
      <c r="N74" s="51">
        <f>VLOOKUP($A74,'Data Vlaue (Cr)'!$C:$FB,64)</f>
        <v>904</v>
      </c>
      <c r="O74" s="51">
        <f>VLOOKUP($A74,'Data Vlaue (Cr)'!$C:$FB,66)*100</f>
        <v>-83.43</v>
      </c>
    </row>
    <row r="75" spans="1:15" x14ac:dyDescent="0.25">
      <c r="A75" s="101" t="str">
        <f>'Data Vlaue (Cr)'!C70</f>
        <v>GODREJPROP</v>
      </c>
      <c r="B75" s="50">
        <f>VLOOKUP($A75,'Data Vlaue (Cr)'!$C:$FB,8)</f>
        <v>2014.9</v>
      </c>
      <c r="C75" s="50">
        <f>VLOOKUP($A75,'Data Vlaue (Cr)'!$C:$FB,11)*100</f>
        <v>-0.43</v>
      </c>
      <c r="D75" s="50">
        <f>VLOOKUP($A75,'Data Vlaue (Cr)'!$C:$FB,143)</f>
        <v>650.30999999999995</v>
      </c>
      <c r="E75" s="50">
        <f>VLOOKUP($A75,'Data Vlaue (Cr)'!$C:$FB,144)</f>
        <v>745.09</v>
      </c>
      <c r="F75" s="50">
        <f>VLOOKUP($A75,'Data Vlaue (Cr)'!$C:$FB,146)*100</f>
        <v>-12.72</v>
      </c>
      <c r="G75" s="49">
        <f>VLOOKUP($A75,'Data Vlaue (Cr)'!$C:$FB,43)</f>
        <v>270</v>
      </c>
      <c r="H75" s="49">
        <f>VLOOKUP($A75,'Data Vlaue (Cr)'!$C:$FB,44)</f>
        <v>142</v>
      </c>
      <c r="I75" s="49">
        <f>VLOOKUP($A75,'Data Vlaue (Cr)'!$C:$FB,46)*100</f>
        <v>89.47</v>
      </c>
      <c r="J75" s="51">
        <f>VLOOKUP($A75,'Data Vlaue (Cr)'!$C:$FB,59)</f>
        <v>228</v>
      </c>
      <c r="K75" s="51">
        <f>VLOOKUP($A75,'Data Vlaue (Cr)'!$C:$FB,60)</f>
        <v>379</v>
      </c>
      <c r="L75" s="51">
        <f>VLOOKUP($A75,'Data Vlaue (Cr)'!$C:$FB,62)*100</f>
        <v>-39.700000000000003</v>
      </c>
      <c r="M75" s="51">
        <f>VLOOKUP($A75,'Data Vlaue (Cr)'!$C:$FB,63)</f>
        <v>138</v>
      </c>
      <c r="N75" s="51">
        <f>VLOOKUP($A75,'Data Vlaue (Cr)'!$C:$FB,64)</f>
        <v>200</v>
      </c>
      <c r="O75" s="51">
        <f>VLOOKUP($A75,'Data Vlaue (Cr)'!$C:$FB,66)*100</f>
        <v>-30.9</v>
      </c>
    </row>
    <row r="76" spans="1:15" x14ac:dyDescent="0.25">
      <c r="A76" s="101" t="str">
        <f>'Data Vlaue (Cr)'!C71</f>
        <v>GRASIM</v>
      </c>
      <c r="B76" s="50">
        <f>VLOOKUP($A76,'Data Vlaue (Cr)'!$C:$FB,8)</f>
        <v>2806.6</v>
      </c>
      <c r="C76" s="50">
        <f>VLOOKUP($A76,'Data Vlaue (Cr)'!$C:$FB,11)*100</f>
        <v>0.27</v>
      </c>
      <c r="D76" s="50">
        <f>VLOOKUP($A76,'Data Vlaue (Cr)'!$C:$FB,143)</f>
        <v>840.66</v>
      </c>
      <c r="E76" s="50">
        <f>VLOOKUP($A76,'Data Vlaue (Cr)'!$C:$FB,144)</f>
        <v>886.17</v>
      </c>
      <c r="F76" s="50">
        <f>VLOOKUP($A76,'Data Vlaue (Cr)'!$C:$FB,146)*100</f>
        <v>-5.1400000000000006</v>
      </c>
      <c r="G76" s="49">
        <f>VLOOKUP($A76,'Data Vlaue (Cr)'!$C:$FB,43)</f>
        <v>277</v>
      </c>
      <c r="H76" s="49">
        <f>VLOOKUP($A76,'Data Vlaue (Cr)'!$C:$FB,44)</f>
        <v>216</v>
      </c>
      <c r="I76" s="49">
        <f>VLOOKUP($A76,'Data Vlaue (Cr)'!$C:$FB,46)*100</f>
        <v>28.15</v>
      </c>
      <c r="J76" s="51">
        <f>VLOOKUP($A76,'Data Vlaue (Cr)'!$C:$FB,59)</f>
        <v>363</v>
      </c>
      <c r="K76" s="51">
        <f>VLOOKUP($A76,'Data Vlaue (Cr)'!$C:$FB,60)</f>
        <v>424</v>
      </c>
      <c r="L76" s="51">
        <f>VLOOKUP($A76,'Data Vlaue (Cr)'!$C:$FB,62)*100</f>
        <v>-14.399999999999999</v>
      </c>
      <c r="M76" s="51">
        <f>VLOOKUP($A76,'Data Vlaue (Cr)'!$C:$FB,63)</f>
        <v>192</v>
      </c>
      <c r="N76" s="51">
        <f>VLOOKUP($A76,'Data Vlaue (Cr)'!$C:$FB,64)</f>
        <v>235</v>
      </c>
      <c r="O76" s="51">
        <f>VLOOKUP($A76,'Data Vlaue (Cr)'!$C:$FB,66)*100</f>
        <v>-18.509999999999998</v>
      </c>
    </row>
    <row r="77" spans="1:15" x14ac:dyDescent="0.25">
      <c r="A77" s="101" t="str">
        <f>'Data Vlaue (Cr)'!C72</f>
        <v>HAL</v>
      </c>
      <c r="B77" s="50">
        <f>VLOOKUP($A77,'Data Vlaue (Cr)'!$C:$FB,8)</f>
        <v>4228.3999999999996</v>
      </c>
      <c r="C77" s="50">
        <f>VLOOKUP($A77,'Data Vlaue (Cr)'!$C:$FB,11)*100</f>
        <v>-0.77</v>
      </c>
      <c r="D77" s="50">
        <f>VLOOKUP($A77,'Data Vlaue (Cr)'!$C:$FB,143)</f>
        <v>4273.99</v>
      </c>
      <c r="E77" s="50">
        <f>VLOOKUP($A77,'Data Vlaue (Cr)'!$C:$FB,144)</f>
        <v>4324.03</v>
      </c>
      <c r="F77" s="50">
        <f>VLOOKUP($A77,'Data Vlaue (Cr)'!$C:$FB,146)*100</f>
        <v>-1.1599999999999999</v>
      </c>
      <c r="G77" s="49">
        <f>VLOOKUP($A77,'Data Vlaue (Cr)'!$C:$FB,43)</f>
        <v>310</v>
      </c>
      <c r="H77" s="49">
        <f>VLOOKUP($A77,'Data Vlaue (Cr)'!$C:$FB,44)</f>
        <v>445</v>
      </c>
      <c r="I77" s="49">
        <f>VLOOKUP($A77,'Data Vlaue (Cr)'!$C:$FB,46)*100</f>
        <v>-30.36</v>
      </c>
      <c r="J77" s="51">
        <f>VLOOKUP($A77,'Data Vlaue (Cr)'!$C:$FB,59)</f>
        <v>2626</v>
      </c>
      <c r="K77" s="51">
        <f>VLOOKUP($A77,'Data Vlaue (Cr)'!$C:$FB,60)</f>
        <v>2619</v>
      </c>
      <c r="L77" s="51">
        <f>VLOOKUP($A77,'Data Vlaue (Cr)'!$C:$FB,62)*100</f>
        <v>0.27</v>
      </c>
      <c r="M77" s="51">
        <f>VLOOKUP($A77,'Data Vlaue (Cr)'!$C:$FB,63)</f>
        <v>1166</v>
      </c>
      <c r="N77" s="51">
        <f>VLOOKUP($A77,'Data Vlaue (Cr)'!$C:$FB,64)</f>
        <v>1066</v>
      </c>
      <c r="O77" s="51">
        <f>VLOOKUP($A77,'Data Vlaue (Cr)'!$C:$FB,66)*100</f>
        <v>9.36</v>
      </c>
    </row>
    <row r="78" spans="1:15" x14ac:dyDescent="0.25">
      <c r="A78" s="101" t="str">
        <f>'Data Vlaue (Cr)'!C73</f>
        <v>HAVELLS</v>
      </c>
      <c r="B78" s="50">
        <f>VLOOKUP($A78,'Data Vlaue (Cr)'!$C:$FB,8)</f>
        <v>1397</v>
      </c>
      <c r="C78" s="50">
        <f>VLOOKUP($A78,'Data Vlaue (Cr)'!$C:$FB,11)*100</f>
        <v>-1.06</v>
      </c>
      <c r="D78" s="50">
        <f>VLOOKUP($A78,'Data Vlaue (Cr)'!$C:$FB,143)</f>
        <v>567.82000000000005</v>
      </c>
      <c r="E78" s="50">
        <f>VLOOKUP($A78,'Data Vlaue (Cr)'!$C:$FB,144)</f>
        <v>479.96</v>
      </c>
      <c r="F78" s="50">
        <f>VLOOKUP($A78,'Data Vlaue (Cr)'!$C:$FB,146)*100</f>
        <v>18.310000000000002</v>
      </c>
      <c r="G78" s="49">
        <f>VLOOKUP($A78,'Data Vlaue (Cr)'!$C:$FB,43)</f>
        <v>148</v>
      </c>
      <c r="H78" s="49">
        <f>VLOOKUP($A78,'Data Vlaue (Cr)'!$C:$FB,44)</f>
        <v>124</v>
      </c>
      <c r="I78" s="49">
        <f>VLOOKUP($A78,'Data Vlaue (Cr)'!$C:$FB,46)*100</f>
        <v>19.420000000000002</v>
      </c>
      <c r="J78" s="51">
        <f>VLOOKUP($A78,'Data Vlaue (Cr)'!$C:$FB,59)</f>
        <v>234</v>
      </c>
      <c r="K78" s="51">
        <f>VLOOKUP($A78,'Data Vlaue (Cr)'!$C:$FB,60)</f>
        <v>256</v>
      </c>
      <c r="L78" s="51">
        <f>VLOOKUP($A78,'Data Vlaue (Cr)'!$C:$FB,62)*100</f>
        <v>-8.5</v>
      </c>
      <c r="M78" s="51">
        <f>VLOOKUP($A78,'Data Vlaue (Cr)'!$C:$FB,63)</f>
        <v>172</v>
      </c>
      <c r="N78" s="51">
        <f>VLOOKUP($A78,'Data Vlaue (Cr)'!$C:$FB,64)</f>
        <v>87</v>
      </c>
      <c r="O78" s="51">
        <f>VLOOKUP($A78,'Data Vlaue (Cr)'!$C:$FB,66)*100</f>
        <v>97.59</v>
      </c>
    </row>
    <row r="79" spans="1:15" x14ac:dyDescent="0.25">
      <c r="A79" s="101" t="str">
        <f>'Data Vlaue (Cr)'!C74</f>
        <v>HCLTECH</v>
      </c>
      <c r="B79" s="50">
        <f>VLOOKUP($A79,'Data Vlaue (Cr)'!$C:$FB,8)</f>
        <v>1655</v>
      </c>
      <c r="C79" s="50">
        <f>VLOOKUP($A79,'Data Vlaue (Cr)'!$C:$FB,11)*100</f>
        <v>0.2</v>
      </c>
      <c r="D79" s="50">
        <f>VLOOKUP($A79,'Data Vlaue (Cr)'!$C:$FB,143)</f>
        <v>1542.98</v>
      </c>
      <c r="E79" s="50">
        <f>VLOOKUP($A79,'Data Vlaue (Cr)'!$C:$FB,144)</f>
        <v>2616.9499999999998</v>
      </c>
      <c r="F79" s="50">
        <f>VLOOKUP($A79,'Data Vlaue (Cr)'!$C:$FB,146)*100</f>
        <v>-41.04</v>
      </c>
      <c r="G79" s="49">
        <f>VLOOKUP($A79,'Data Vlaue (Cr)'!$C:$FB,43)</f>
        <v>270</v>
      </c>
      <c r="H79" s="49">
        <f>VLOOKUP($A79,'Data Vlaue (Cr)'!$C:$FB,44)</f>
        <v>537</v>
      </c>
      <c r="I79" s="49">
        <f>VLOOKUP($A79,'Data Vlaue (Cr)'!$C:$FB,46)*100</f>
        <v>-49.78</v>
      </c>
      <c r="J79" s="51">
        <f>VLOOKUP($A79,'Data Vlaue (Cr)'!$C:$FB,59)</f>
        <v>838</v>
      </c>
      <c r="K79" s="51">
        <f>VLOOKUP($A79,'Data Vlaue (Cr)'!$C:$FB,60)</f>
        <v>1284</v>
      </c>
      <c r="L79" s="51">
        <f>VLOOKUP($A79,'Data Vlaue (Cr)'!$C:$FB,62)*100</f>
        <v>-34.72</v>
      </c>
      <c r="M79" s="51">
        <f>VLOOKUP($A79,'Data Vlaue (Cr)'!$C:$FB,63)</f>
        <v>416</v>
      </c>
      <c r="N79" s="51">
        <f>VLOOKUP($A79,'Data Vlaue (Cr)'!$C:$FB,64)</f>
        <v>759</v>
      </c>
      <c r="O79" s="51">
        <f>VLOOKUP($A79,'Data Vlaue (Cr)'!$C:$FB,66)*100</f>
        <v>-45.16</v>
      </c>
    </row>
    <row r="80" spans="1:15" x14ac:dyDescent="0.25">
      <c r="A80" s="101" t="str">
        <f>'Data Vlaue (Cr)'!C75</f>
        <v>HDFCAMC</v>
      </c>
      <c r="B80" s="50">
        <f>VLOOKUP($A80,'Data Vlaue (Cr)'!$C:$FB,8)</f>
        <v>2541.1999999999998</v>
      </c>
      <c r="C80" s="50">
        <f>VLOOKUP($A80,'Data Vlaue (Cr)'!$C:$FB,11)*100</f>
        <v>-1.6400000000000001</v>
      </c>
      <c r="D80" s="50">
        <f>VLOOKUP($A80,'Data Vlaue (Cr)'!$C:$FB,143)</f>
        <v>1420.03</v>
      </c>
      <c r="E80" s="50">
        <f>VLOOKUP($A80,'Data Vlaue (Cr)'!$C:$FB,144)</f>
        <v>1189.93</v>
      </c>
      <c r="F80" s="50">
        <f>VLOOKUP($A80,'Data Vlaue (Cr)'!$C:$FB,146)*100</f>
        <v>19.34</v>
      </c>
      <c r="G80" s="49">
        <f>VLOOKUP($A80,'Data Vlaue (Cr)'!$C:$FB,43)</f>
        <v>318</v>
      </c>
      <c r="H80" s="49">
        <f>VLOOKUP($A80,'Data Vlaue (Cr)'!$C:$FB,44)</f>
        <v>342</v>
      </c>
      <c r="I80" s="49">
        <f>VLOOKUP($A80,'Data Vlaue (Cr)'!$C:$FB,46)*100</f>
        <v>-7.0900000000000007</v>
      </c>
      <c r="J80" s="51">
        <f>VLOOKUP($A80,'Data Vlaue (Cr)'!$C:$FB,59)</f>
        <v>543</v>
      </c>
      <c r="K80" s="51">
        <f>VLOOKUP($A80,'Data Vlaue (Cr)'!$C:$FB,60)</f>
        <v>485</v>
      </c>
      <c r="L80" s="51">
        <f>VLOOKUP($A80,'Data Vlaue (Cr)'!$C:$FB,62)*100</f>
        <v>11.89</v>
      </c>
      <c r="M80" s="51">
        <f>VLOOKUP($A80,'Data Vlaue (Cr)'!$C:$FB,63)</f>
        <v>531</v>
      </c>
      <c r="N80" s="51">
        <f>VLOOKUP($A80,'Data Vlaue (Cr)'!$C:$FB,64)</f>
        <v>325</v>
      </c>
      <c r="O80" s="51">
        <f>VLOOKUP($A80,'Data Vlaue (Cr)'!$C:$FB,66)*100</f>
        <v>63.6</v>
      </c>
    </row>
    <row r="81" spans="1:15" x14ac:dyDescent="0.25">
      <c r="A81" s="101" t="str">
        <f>'Data Vlaue (Cr)'!C76</f>
        <v>HDFCBANK</v>
      </c>
      <c r="B81" s="50">
        <f>VLOOKUP($A81,'Data Vlaue (Cr)'!$C:$FB,8)</f>
        <v>984</v>
      </c>
      <c r="C81" s="50">
        <f>VLOOKUP($A81,'Data Vlaue (Cr)'!$C:$FB,11)*100</f>
        <v>-1.04</v>
      </c>
      <c r="D81" s="50">
        <f>VLOOKUP($A81,'Data Vlaue (Cr)'!$C:$FB,143)</f>
        <v>10461.6</v>
      </c>
      <c r="E81" s="50">
        <f>VLOOKUP($A81,'Data Vlaue (Cr)'!$C:$FB,144)</f>
        <v>9523.82</v>
      </c>
      <c r="F81" s="50">
        <f>VLOOKUP($A81,'Data Vlaue (Cr)'!$C:$FB,146)*100</f>
        <v>9.85</v>
      </c>
      <c r="G81" s="49">
        <f>VLOOKUP($A81,'Data Vlaue (Cr)'!$C:$FB,43)</f>
        <v>1987</v>
      </c>
      <c r="H81" s="49">
        <f>VLOOKUP($A81,'Data Vlaue (Cr)'!$C:$FB,44)</f>
        <v>2748</v>
      </c>
      <c r="I81" s="49">
        <f>VLOOKUP($A81,'Data Vlaue (Cr)'!$C:$FB,46)*100</f>
        <v>-27.68</v>
      </c>
      <c r="J81" s="51">
        <f>VLOOKUP($A81,'Data Vlaue (Cr)'!$C:$FB,59)</f>
        <v>5135</v>
      </c>
      <c r="K81" s="51">
        <f>VLOOKUP($A81,'Data Vlaue (Cr)'!$C:$FB,60)</f>
        <v>3699</v>
      </c>
      <c r="L81" s="51">
        <f>VLOOKUP($A81,'Data Vlaue (Cr)'!$C:$FB,62)*100</f>
        <v>38.81</v>
      </c>
      <c r="M81" s="51">
        <f>VLOOKUP($A81,'Data Vlaue (Cr)'!$C:$FB,63)</f>
        <v>3198</v>
      </c>
      <c r="N81" s="51">
        <f>VLOOKUP($A81,'Data Vlaue (Cr)'!$C:$FB,64)</f>
        <v>2899</v>
      </c>
      <c r="O81" s="51">
        <f>VLOOKUP($A81,'Data Vlaue (Cr)'!$C:$FB,66)*100</f>
        <v>10.33</v>
      </c>
    </row>
    <row r="82" spans="1:15" x14ac:dyDescent="0.25">
      <c r="A82" s="101" t="str">
        <f>'Data Vlaue (Cr)'!C77</f>
        <v>HDFCLIFE</v>
      </c>
      <c r="B82" s="50">
        <f>VLOOKUP($A82,'Data Vlaue (Cr)'!$C:$FB,8)</f>
        <v>753.5</v>
      </c>
      <c r="C82" s="50">
        <f>VLOOKUP($A82,'Data Vlaue (Cr)'!$C:$FB,11)*100</f>
        <v>-1.4200000000000002</v>
      </c>
      <c r="D82" s="50">
        <f>VLOOKUP($A82,'Data Vlaue (Cr)'!$C:$FB,143)</f>
        <v>3452.29</v>
      </c>
      <c r="E82" s="50">
        <f>VLOOKUP($A82,'Data Vlaue (Cr)'!$C:$FB,144)</f>
        <v>3234.67</v>
      </c>
      <c r="F82" s="50">
        <f>VLOOKUP($A82,'Data Vlaue (Cr)'!$C:$FB,146)*100</f>
        <v>6.7299999999999995</v>
      </c>
      <c r="G82" s="49">
        <f>VLOOKUP($A82,'Data Vlaue (Cr)'!$C:$FB,43)</f>
        <v>335</v>
      </c>
      <c r="H82" s="49">
        <f>VLOOKUP($A82,'Data Vlaue (Cr)'!$C:$FB,44)</f>
        <v>310</v>
      </c>
      <c r="I82" s="49">
        <f>VLOOKUP($A82,'Data Vlaue (Cr)'!$C:$FB,46)*100</f>
        <v>8.1100000000000012</v>
      </c>
      <c r="J82" s="51">
        <f>VLOOKUP($A82,'Data Vlaue (Cr)'!$C:$FB,59)</f>
        <v>2277</v>
      </c>
      <c r="K82" s="51">
        <f>VLOOKUP($A82,'Data Vlaue (Cr)'!$C:$FB,60)</f>
        <v>2175</v>
      </c>
      <c r="L82" s="51">
        <f>VLOOKUP($A82,'Data Vlaue (Cr)'!$C:$FB,62)*100</f>
        <v>4.7</v>
      </c>
      <c r="M82" s="51">
        <f>VLOOKUP($A82,'Data Vlaue (Cr)'!$C:$FB,63)</f>
        <v>735</v>
      </c>
      <c r="N82" s="51">
        <f>VLOOKUP($A82,'Data Vlaue (Cr)'!$C:$FB,64)</f>
        <v>601</v>
      </c>
      <c r="O82" s="51">
        <f>VLOOKUP($A82,'Data Vlaue (Cr)'!$C:$FB,66)*100</f>
        <v>22.2</v>
      </c>
    </row>
    <row r="83" spans="1:15" x14ac:dyDescent="0.25">
      <c r="A83" s="101" t="str">
        <f>'Data Vlaue (Cr)'!C78</f>
        <v>HEROMOTOCO</v>
      </c>
      <c r="B83" s="50">
        <f>VLOOKUP($A83,'Data Vlaue (Cr)'!$C:$FB,8)</f>
        <v>5817</v>
      </c>
      <c r="C83" s="50">
        <f>VLOOKUP($A83,'Data Vlaue (Cr)'!$C:$FB,11)*100</f>
        <v>-2.1800000000000002</v>
      </c>
      <c r="D83" s="50">
        <f>VLOOKUP($A83,'Data Vlaue (Cr)'!$C:$FB,143)</f>
        <v>7814.66</v>
      </c>
      <c r="E83" s="50">
        <f>VLOOKUP($A83,'Data Vlaue (Cr)'!$C:$FB,144)</f>
        <v>2045.57</v>
      </c>
      <c r="F83" s="50">
        <f>VLOOKUP($A83,'Data Vlaue (Cr)'!$C:$FB,146)*100</f>
        <v>282.03000000000003</v>
      </c>
      <c r="G83" s="49">
        <f>VLOOKUP($A83,'Data Vlaue (Cr)'!$C:$FB,43)</f>
        <v>575</v>
      </c>
      <c r="H83" s="49">
        <f>VLOOKUP($A83,'Data Vlaue (Cr)'!$C:$FB,44)</f>
        <v>310</v>
      </c>
      <c r="I83" s="49">
        <f>VLOOKUP($A83,'Data Vlaue (Cr)'!$C:$FB,46)*100</f>
        <v>85.75</v>
      </c>
      <c r="J83" s="51">
        <f>VLOOKUP($A83,'Data Vlaue (Cr)'!$C:$FB,59)</f>
        <v>3930</v>
      </c>
      <c r="K83" s="51">
        <f>VLOOKUP($A83,'Data Vlaue (Cr)'!$C:$FB,60)</f>
        <v>1032</v>
      </c>
      <c r="L83" s="51">
        <f>VLOOKUP($A83,'Data Vlaue (Cr)'!$C:$FB,62)*100</f>
        <v>280.90999999999997</v>
      </c>
      <c r="M83" s="51">
        <f>VLOOKUP($A83,'Data Vlaue (Cr)'!$C:$FB,63)</f>
        <v>3094</v>
      </c>
      <c r="N83" s="51">
        <f>VLOOKUP($A83,'Data Vlaue (Cr)'!$C:$FB,64)</f>
        <v>626</v>
      </c>
      <c r="O83" s="51">
        <f>VLOOKUP($A83,'Data Vlaue (Cr)'!$C:$FB,66)*100</f>
        <v>394.15</v>
      </c>
    </row>
    <row r="84" spans="1:15" x14ac:dyDescent="0.25">
      <c r="A84" s="101" t="str">
        <f>'Data Vlaue (Cr)'!C79</f>
        <v>HFCL</v>
      </c>
      <c r="B84" s="50">
        <f>VLOOKUP($A84,'Data Vlaue (Cr)'!$C:$FB,8)</f>
        <v>64.53</v>
      </c>
      <c r="C84" s="50">
        <f>VLOOKUP($A84,'Data Vlaue (Cr)'!$C:$FB,11)*100</f>
        <v>-1.38</v>
      </c>
      <c r="D84" s="50">
        <f>VLOOKUP($A84,'Data Vlaue (Cr)'!$C:$FB,143)</f>
        <v>385.08</v>
      </c>
      <c r="E84" s="50">
        <f>VLOOKUP($A84,'Data Vlaue (Cr)'!$C:$FB,144)</f>
        <v>438.55</v>
      </c>
      <c r="F84" s="50">
        <f>VLOOKUP($A84,'Data Vlaue (Cr)'!$C:$FB,146)*100</f>
        <v>-12.19</v>
      </c>
      <c r="G84" s="49">
        <f>VLOOKUP($A84,'Data Vlaue (Cr)'!$C:$FB,43)</f>
        <v>50</v>
      </c>
      <c r="H84" s="49">
        <f>VLOOKUP($A84,'Data Vlaue (Cr)'!$C:$FB,44)</f>
        <v>62</v>
      </c>
      <c r="I84" s="49">
        <f>VLOOKUP($A84,'Data Vlaue (Cr)'!$C:$FB,46)*100</f>
        <v>-19.75</v>
      </c>
      <c r="J84" s="51">
        <f>VLOOKUP($A84,'Data Vlaue (Cr)'!$C:$FB,59)</f>
        <v>194</v>
      </c>
      <c r="K84" s="51">
        <f>VLOOKUP($A84,'Data Vlaue (Cr)'!$C:$FB,60)</f>
        <v>280</v>
      </c>
      <c r="L84" s="51">
        <f>VLOOKUP($A84,'Data Vlaue (Cr)'!$C:$FB,62)*100</f>
        <v>-30.659999999999997</v>
      </c>
      <c r="M84" s="51">
        <f>VLOOKUP($A84,'Data Vlaue (Cr)'!$C:$FB,63)</f>
        <v>124</v>
      </c>
      <c r="N84" s="51">
        <f>VLOOKUP($A84,'Data Vlaue (Cr)'!$C:$FB,64)</f>
        <v>66</v>
      </c>
      <c r="O84" s="51">
        <f>VLOOKUP($A84,'Data Vlaue (Cr)'!$C:$FB,66)*100</f>
        <v>87.070000000000007</v>
      </c>
    </row>
    <row r="85" spans="1:15" x14ac:dyDescent="0.25">
      <c r="A85" s="101" t="str">
        <f>'Data Vlaue (Cr)'!C80</f>
        <v>HINDALCO</v>
      </c>
      <c r="B85" s="50">
        <f>VLOOKUP($A85,'Data Vlaue (Cr)'!$C:$FB,8)</f>
        <v>848.8</v>
      </c>
      <c r="C85" s="50">
        <f>VLOOKUP($A85,'Data Vlaue (Cr)'!$C:$FB,11)*100</f>
        <v>1.39</v>
      </c>
      <c r="D85" s="50">
        <f>VLOOKUP($A85,'Data Vlaue (Cr)'!$C:$FB,143)</f>
        <v>4002.54</v>
      </c>
      <c r="E85" s="50">
        <f>VLOOKUP($A85,'Data Vlaue (Cr)'!$C:$FB,144)</f>
        <v>3291.75</v>
      </c>
      <c r="F85" s="50">
        <f>VLOOKUP($A85,'Data Vlaue (Cr)'!$C:$FB,146)*100</f>
        <v>21.59</v>
      </c>
      <c r="G85" s="49">
        <f>VLOOKUP($A85,'Data Vlaue (Cr)'!$C:$FB,43)</f>
        <v>712</v>
      </c>
      <c r="H85" s="49">
        <f>VLOOKUP($A85,'Data Vlaue (Cr)'!$C:$FB,44)</f>
        <v>591</v>
      </c>
      <c r="I85" s="49">
        <f>VLOOKUP($A85,'Data Vlaue (Cr)'!$C:$FB,46)*100</f>
        <v>20.48</v>
      </c>
      <c r="J85" s="51">
        <f>VLOOKUP($A85,'Data Vlaue (Cr)'!$C:$FB,59)</f>
        <v>2257</v>
      </c>
      <c r="K85" s="51">
        <f>VLOOKUP($A85,'Data Vlaue (Cr)'!$C:$FB,60)</f>
        <v>1638</v>
      </c>
      <c r="L85" s="51">
        <f>VLOOKUP($A85,'Data Vlaue (Cr)'!$C:$FB,62)*100</f>
        <v>37.78</v>
      </c>
      <c r="M85" s="51">
        <f>VLOOKUP($A85,'Data Vlaue (Cr)'!$C:$FB,63)</f>
        <v>995</v>
      </c>
      <c r="N85" s="51">
        <f>VLOOKUP($A85,'Data Vlaue (Cr)'!$C:$FB,64)</f>
        <v>1042</v>
      </c>
      <c r="O85" s="51">
        <f>VLOOKUP($A85,'Data Vlaue (Cr)'!$C:$FB,66)*100</f>
        <v>-4.53</v>
      </c>
    </row>
    <row r="86" spans="1:15" x14ac:dyDescent="0.25">
      <c r="A86" s="101" t="str">
        <f>'Data Vlaue (Cr)'!C81</f>
        <v>HINDPETRO</v>
      </c>
      <c r="B86" s="50">
        <f>VLOOKUP($A86,'Data Vlaue (Cr)'!$C:$FB,8)</f>
        <v>465.45</v>
      </c>
      <c r="C86" s="50">
        <f>VLOOKUP($A86,'Data Vlaue (Cr)'!$C:$FB,11)*100</f>
        <v>0.02</v>
      </c>
      <c r="D86" s="50">
        <f>VLOOKUP($A86,'Data Vlaue (Cr)'!$C:$FB,143)</f>
        <v>1480.45</v>
      </c>
      <c r="E86" s="50">
        <f>VLOOKUP($A86,'Data Vlaue (Cr)'!$C:$FB,144)</f>
        <v>1168.74</v>
      </c>
      <c r="F86" s="50">
        <f>VLOOKUP($A86,'Data Vlaue (Cr)'!$C:$FB,146)*100</f>
        <v>26.669999999999998</v>
      </c>
      <c r="G86" s="49">
        <f>VLOOKUP($A86,'Data Vlaue (Cr)'!$C:$FB,43)</f>
        <v>201</v>
      </c>
      <c r="H86" s="49">
        <f>VLOOKUP($A86,'Data Vlaue (Cr)'!$C:$FB,44)</f>
        <v>233</v>
      </c>
      <c r="I86" s="49">
        <f>VLOOKUP($A86,'Data Vlaue (Cr)'!$C:$FB,46)*100</f>
        <v>-13.819999999999999</v>
      </c>
      <c r="J86" s="51">
        <f>VLOOKUP($A86,'Data Vlaue (Cr)'!$C:$FB,59)</f>
        <v>909</v>
      </c>
      <c r="K86" s="51">
        <f>VLOOKUP($A86,'Data Vlaue (Cr)'!$C:$FB,60)</f>
        <v>641</v>
      </c>
      <c r="L86" s="51">
        <f>VLOOKUP($A86,'Data Vlaue (Cr)'!$C:$FB,62)*100</f>
        <v>41.94</v>
      </c>
      <c r="M86" s="51">
        <f>VLOOKUP($A86,'Data Vlaue (Cr)'!$C:$FB,63)</f>
        <v>342</v>
      </c>
      <c r="N86" s="51">
        <f>VLOOKUP($A86,'Data Vlaue (Cr)'!$C:$FB,64)</f>
        <v>279</v>
      </c>
      <c r="O86" s="51">
        <f>VLOOKUP($A86,'Data Vlaue (Cr)'!$C:$FB,66)*100</f>
        <v>22.59</v>
      </c>
    </row>
    <row r="87" spans="1:15" x14ac:dyDescent="0.25">
      <c r="A87" s="101" t="str">
        <f>'Data Vlaue (Cr)'!C82</f>
        <v>HINDUNILVR</v>
      </c>
      <c r="B87" s="50">
        <f>VLOOKUP($A87,'Data Vlaue (Cr)'!$C:$FB,8)</f>
        <v>2275.6</v>
      </c>
      <c r="C87" s="50">
        <f>VLOOKUP($A87,'Data Vlaue (Cr)'!$C:$FB,11)*100</f>
        <v>-0.24</v>
      </c>
      <c r="D87" s="50">
        <f>VLOOKUP($A87,'Data Vlaue (Cr)'!$C:$FB,143)</f>
        <v>1890.45</v>
      </c>
      <c r="E87" s="50">
        <f>VLOOKUP($A87,'Data Vlaue (Cr)'!$C:$FB,144)</f>
        <v>2643.76</v>
      </c>
      <c r="F87" s="50">
        <f>VLOOKUP($A87,'Data Vlaue (Cr)'!$C:$FB,146)*100</f>
        <v>-28.49</v>
      </c>
      <c r="G87" s="49">
        <f>VLOOKUP($A87,'Data Vlaue (Cr)'!$C:$FB,43)</f>
        <v>274</v>
      </c>
      <c r="H87" s="49">
        <f>VLOOKUP($A87,'Data Vlaue (Cr)'!$C:$FB,44)</f>
        <v>336</v>
      </c>
      <c r="I87" s="49">
        <f>VLOOKUP($A87,'Data Vlaue (Cr)'!$C:$FB,46)*100</f>
        <v>-18.59</v>
      </c>
      <c r="J87" s="51">
        <f>VLOOKUP($A87,'Data Vlaue (Cr)'!$C:$FB,59)</f>
        <v>1195</v>
      </c>
      <c r="K87" s="51">
        <f>VLOOKUP($A87,'Data Vlaue (Cr)'!$C:$FB,60)</f>
        <v>1598</v>
      </c>
      <c r="L87" s="51">
        <f>VLOOKUP($A87,'Data Vlaue (Cr)'!$C:$FB,62)*100</f>
        <v>-25.2</v>
      </c>
      <c r="M87" s="51">
        <f>VLOOKUP($A87,'Data Vlaue (Cr)'!$C:$FB,63)</f>
        <v>383</v>
      </c>
      <c r="N87" s="51">
        <f>VLOOKUP($A87,'Data Vlaue (Cr)'!$C:$FB,64)</f>
        <v>654</v>
      </c>
      <c r="O87" s="51">
        <f>VLOOKUP($A87,'Data Vlaue (Cr)'!$C:$FB,66)*100</f>
        <v>-41.410000000000004</v>
      </c>
    </row>
    <row r="88" spans="1:15" x14ac:dyDescent="0.25">
      <c r="A88" s="101" t="str">
        <f>'Data Vlaue (Cr)'!C83</f>
        <v>HINDZINC</v>
      </c>
      <c r="B88" s="50">
        <f>VLOOKUP($A88,'Data Vlaue (Cr)'!$C:$FB,8)</f>
        <v>578.29999999999995</v>
      </c>
      <c r="C88" s="50">
        <f>VLOOKUP($A88,'Data Vlaue (Cr)'!$C:$FB,11)*100</f>
        <v>1.87</v>
      </c>
      <c r="D88" s="50">
        <f>VLOOKUP($A88,'Data Vlaue (Cr)'!$C:$FB,143)</f>
        <v>18322.400000000001</v>
      </c>
      <c r="E88" s="50">
        <f>VLOOKUP($A88,'Data Vlaue (Cr)'!$C:$FB,144)</f>
        <v>8027.93</v>
      </c>
      <c r="F88" s="50">
        <f>VLOOKUP($A88,'Data Vlaue (Cr)'!$C:$FB,146)*100</f>
        <v>128.22999999999999</v>
      </c>
      <c r="G88" s="49">
        <f>VLOOKUP($A88,'Data Vlaue (Cr)'!$C:$FB,43)</f>
        <v>1421</v>
      </c>
      <c r="H88" s="49">
        <f>VLOOKUP($A88,'Data Vlaue (Cr)'!$C:$FB,44)</f>
        <v>723</v>
      </c>
      <c r="I88" s="49">
        <f>VLOOKUP($A88,'Data Vlaue (Cr)'!$C:$FB,46)*100</f>
        <v>96.44</v>
      </c>
      <c r="J88" s="51">
        <f>VLOOKUP($A88,'Data Vlaue (Cr)'!$C:$FB,59)</f>
        <v>11629</v>
      </c>
      <c r="K88" s="51">
        <f>VLOOKUP($A88,'Data Vlaue (Cr)'!$C:$FB,60)</f>
        <v>4915</v>
      </c>
      <c r="L88" s="51">
        <f>VLOOKUP($A88,'Data Vlaue (Cr)'!$C:$FB,62)*100</f>
        <v>136.57999999999998</v>
      </c>
      <c r="M88" s="51">
        <f>VLOOKUP($A88,'Data Vlaue (Cr)'!$C:$FB,63)</f>
        <v>4791</v>
      </c>
      <c r="N88" s="51">
        <f>VLOOKUP($A88,'Data Vlaue (Cr)'!$C:$FB,64)</f>
        <v>2375</v>
      </c>
      <c r="O88" s="51">
        <f>VLOOKUP($A88,'Data Vlaue (Cr)'!$C:$FB,66)*100</f>
        <v>101.76</v>
      </c>
    </row>
    <row r="89" spans="1:15" x14ac:dyDescent="0.25">
      <c r="A89" s="101" t="str">
        <f>'Data Vlaue (Cr)'!C84</f>
        <v>HUDCO</v>
      </c>
      <c r="B89" s="50">
        <f>VLOOKUP($A89,'Data Vlaue (Cr)'!$C:$FB,8)</f>
        <v>207.91</v>
      </c>
      <c r="C89" s="50">
        <f>VLOOKUP($A89,'Data Vlaue (Cr)'!$C:$FB,11)*100</f>
        <v>-1.47</v>
      </c>
      <c r="D89" s="50">
        <f>VLOOKUP($A89,'Data Vlaue (Cr)'!$C:$FB,143)</f>
        <v>799.15</v>
      </c>
      <c r="E89" s="50">
        <f>VLOOKUP($A89,'Data Vlaue (Cr)'!$C:$FB,144)</f>
        <v>623.9</v>
      </c>
      <c r="F89" s="50">
        <f>VLOOKUP($A89,'Data Vlaue (Cr)'!$C:$FB,146)*100</f>
        <v>28.09</v>
      </c>
      <c r="G89" s="49">
        <f>VLOOKUP($A89,'Data Vlaue (Cr)'!$C:$FB,43)</f>
        <v>127</v>
      </c>
      <c r="H89" s="49">
        <f>VLOOKUP($A89,'Data Vlaue (Cr)'!$C:$FB,44)</f>
        <v>114</v>
      </c>
      <c r="I89" s="49">
        <f>VLOOKUP($A89,'Data Vlaue (Cr)'!$C:$FB,46)*100</f>
        <v>10.76</v>
      </c>
      <c r="J89" s="51">
        <f>VLOOKUP($A89,'Data Vlaue (Cr)'!$C:$FB,59)</f>
        <v>427</v>
      </c>
      <c r="K89" s="51">
        <f>VLOOKUP($A89,'Data Vlaue (Cr)'!$C:$FB,60)</f>
        <v>322</v>
      </c>
      <c r="L89" s="51">
        <f>VLOOKUP($A89,'Data Vlaue (Cr)'!$C:$FB,62)*100</f>
        <v>32.340000000000003</v>
      </c>
      <c r="M89" s="51">
        <f>VLOOKUP($A89,'Data Vlaue (Cr)'!$C:$FB,63)</f>
        <v>204</v>
      </c>
      <c r="N89" s="51">
        <f>VLOOKUP($A89,'Data Vlaue (Cr)'!$C:$FB,64)</f>
        <v>151</v>
      </c>
      <c r="O89" s="51">
        <f>VLOOKUP($A89,'Data Vlaue (Cr)'!$C:$FB,66)*100</f>
        <v>35.35</v>
      </c>
    </row>
    <row r="90" spans="1:15" x14ac:dyDescent="0.25">
      <c r="A90" s="101" t="str">
        <f>'Data Vlaue (Cr)'!C85</f>
        <v>ICICIBANK</v>
      </c>
      <c r="B90" s="50">
        <f>VLOOKUP($A90,'Data Vlaue (Cr)'!$C:$FB,8)</f>
        <v>1352.4</v>
      </c>
      <c r="C90" s="50">
        <f>VLOOKUP($A90,'Data Vlaue (Cr)'!$C:$FB,11)*100</f>
        <v>-1</v>
      </c>
      <c r="D90" s="50">
        <f>VLOOKUP($A90,'Data Vlaue (Cr)'!$C:$FB,143)</f>
        <v>14549.5</v>
      </c>
      <c r="E90" s="50">
        <f>VLOOKUP($A90,'Data Vlaue (Cr)'!$C:$FB,144)</f>
        <v>8053.19</v>
      </c>
      <c r="F90" s="50">
        <f>VLOOKUP($A90,'Data Vlaue (Cr)'!$C:$FB,146)*100</f>
        <v>80.67</v>
      </c>
      <c r="G90" s="49">
        <f>VLOOKUP($A90,'Data Vlaue (Cr)'!$C:$FB,43)</f>
        <v>2090</v>
      </c>
      <c r="H90" s="49">
        <f>VLOOKUP($A90,'Data Vlaue (Cr)'!$C:$FB,44)</f>
        <v>1503</v>
      </c>
      <c r="I90" s="49">
        <f>VLOOKUP($A90,'Data Vlaue (Cr)'!$C:$FB,46)*100</f>
        <v>39.07</v>
      </c>
      <c r="J90" s="51">
        <f>VLOOKUP($A90,'Data Vlaue (Cr)'!$C:$FB,59)</f>
        <v>6997</v>
      </c>
      <c r="K90" s="51">
        <f>VLOOKUP($A90,'Data Vlaue (Cr)'!$C:$FB,60)</f>
        <v>3792</v>
      </c>
      <c r="L90" s="51">
        <f>VLOOKUP($A90,'Data Vlaue (Cr)'!$C:$FB,62)*100</f>
        <v>84.54</v>
      </c>
      <c r="M90" s="51">
        <f>VLOOKUP($A90,'Data Vlaue (Cr)'!$C:$FB,63)</f>
        <v>5314</v>
      </c>
      <c r="N90" s="51">
        <f>VLOOKUP($A90,'Data Vlaue (Cr)'!$C:$FB,64)</f>
        <v>2635</v>
      </c>
      <c r="O90" s="51">
        <f>VLOOKUP($A90,'Data Vlaue (Cr)'!$C:$FB,66)*100</f>
        <v>101.71</v>
      </c>
    </row>
    <row r="91" spans="1:15" x14ac:dyDescent="0.25">
      <c r="A91" s="101" t="str">
        <f>'Data Vlaue (Cr)'!C86</f>
        <v>ICICIGI</v>
      </c>
      <c r="B91" s="50">
        <f>VLOOKUP($A91,'Data Vlaue (Cr)'!$C:$FB,8)</f>
        <v>1947</v>
      </c>
      <c r="C91" s="50">
        <f>VLOOKUP($A91,'Data Vlaue (Cr)'!$C:$FB,11)*100</f>
        <v>-0.22</v>
      </c>
      <c r="D91" s="50">
        <f>VLOOKUP($A91,'Data Vlaue (Cr)'!$C:$FB,143)</f>
        <v>339.4</v>
      </c>
      <c r="E91" s="50">
        <f>VLOOKUP($A91,'Data Vlaue (Cr)'!$C:$FB,144)</f>
        <v>380.3</v>
      </c>
      <c r="F91" s="50">
        <f>VLOOKUP($A91,'Data Vlaue (Cr)'!$C:$FB,146)*100</f>
        <v>-10.76</v>
      </c>
      <c r="G91" s="49">
        <f>VLOOKUP($A91,'Data Vlaue (Cr)'!$C:$FB,43)</f>
        <v>129</v>
      </c>
      <c r="H91" s="49">
        <f>VLOOKUP($A91,'Data Vlaue (Cr)'!$C:$FB,44)</f>
        <v>105</v>
      </c>
      <c r="I91" s="49">
        <f>VLOOKUP($A91,'Data Vlaue (Cr)'!$C:$FB,46)*100</f>
        <v>23.64</v>
      </c>
      <c r="J91" s="51">
        <f>VLOOKUP($A91,'Data Vlaue (Cr)'!$C:$FB,59)</f>
        <v>154</v>
      </c>
      <c r="K91" s="51">
        <f>VLOOKUP($A91,'Data Vlaue (Cr)'!$C:$FB,60)</f>
        <v>181</v>
      </c>
      <c r="L91" s="51">
        <f>VLOOKUP($A91,'Data Vlaue (Cr)'!$C:$FB,62)*100</f>
        <v>-14.87</v>
      </c>
      <c r="M91" s="51">
        <f>VLOOKUP($A91,'Data Vlaue (Cr)'!$C:$FB,63)</f>
        <v>49</v>
      </c>
      <c r="N91" s="51">
        <f>VLOOKUP($A91,'Data Vlaue (Cr)'!$C:$FB,64)</f>
        <v>85</v>
      </c>
      <c r="O91" s="51">
        <f>VLOOKUP($A91,'Data Vlaue (Cr)'!$C:$FB,66)*100</f>
        <v>-42.29</v>
      </c>
    </row>
    <row r="92" spans="1:15" x14ac:dyDescent="0.25">
      <c r="A92" s="101" t="str">
        <f>'Data Vlaue (Cr)'!C87</f>
        <v>ICICIPRULI</v>
      </c>
      <c r="B92" s="50">
        <f>VLOOKUP($A92,'Data Vlaue (Cr)'!$C:$FB,8)</f>
        <v>630.5</v>
      </c>
      <c r="C92" s="50">
        <f>VLOOKUP($A92,'Data Vlaue (Cr)'!$C:$FB,11)*100</f>
        <v>-1.17</v>
      </c>
      <c r="D92" s="50">
        <f>VLOOKUP($A92,'Data Vlaue (Cr)'!$C:$FB,143)</f>
        <v>373.95</v>
      </c>
      <c r="E92" s="50">
        <f>VLOOKUP($A92,'Data Vlaue (Cr)'!$C:$FB,144)</f>
        <v>658.24</v>
      </c>
      <c r="F92" s="50">
        <f>VLOOKUP($A92,'Data Vlaue (Cr)'!$C:$FB,146)*100</f>
        <v>-43.19</v>
      </c>
      <c r="G92" s="49">
        <f>VLOOKUP($A92,'Data Vlaue (Cr)'!$C:$FB,43)</f>
        <v>95</v>
      </c>
      <c r="H92" s="49">
        <f>VLOOKUP($A92,'Data Vlaue (Cr)'!$C:$FB,44)</f>
        <v>152</v>
      </c>
      <c r="I92" s="49">
        <f>VLOOKUP($A92,'Data Vlaue (Cr)'!$C:$FB,46)*100</f>
        <v>-37.5</v>
      </c>
      <c r="J92" s="51">
        <f>VLOOKUP($A92,'Data Vlaue (Cr)'!$C:$FB,59)</f>
        <v>193</v>
      </c>
      <c r="K92" s="51">
        <f>VLOOKUP($A92,'Data Vlaue (Cr)'!$C:$FB,60)</f>
        <v>383</v>
      </c>
      <c r="L92" s="51">
        <f>VLOOKUP($A92,'Data Vlaue (Cr)'!$C:$FB,62)*100</f>
        <v>-49.63</v>
      </c>
      <c r="M92" s="51">
        <f>VLOOKUP($A92,'Data Vlaue (Cr)'!$C:$FB,63)</f>
        <v>75</v>
      </c>
      <c r="N92" s="51">
        <f>VLOOKUP($A92,'Data Vlaue (Cr)'!$C:$FB,64)</f>
        <v>94</v>
      </c>
      <c r="O92" s="51">
        <f>VLOOKUP($A92,'Data Vlaue (Cr)'!$C:$FB,66)*100</f>
        <v>-20.32</v>
      </c>
    </row>
    <row r="93" spans="1:15" x14ac:dyDescent="0.25">
      <c r="A93" s="101" t="str">
        <f>'Data Vlaue (Cr)'!C88</f>
        <v>IDEA</v>
      </c>
      <c r="B93" s="50">
        <f>VLOOKUP($A93,'Data Vlaue (Cr)'!$C:$FB,8)</f>
        <v>11.13</v>
      </c>
      <c r="C93" s="50">
        <f>VLOOKUP($A93,'Data Vlaue (Cr)'!$C:$FB,11)*100</f>
        <v>-1.0699999999999998</v>
      </c>
      <c r="D93" s="50">
        <f>VLOOKUP($A93,'Data Vlaue (Cr)'!$C:$FB,143)</f>
        <v>3917.36</v>
      </c>
      <c r="E93" s="50">
        <f>VLOOKUP($A93,'Data Vlaue (Cr)'!$C:$FB,144)</f>
        <v>5193.6000000000004</v>
      </c>
      <c r="F93" s="50">
        <f>VLOOKUP($A93,'Data Vlaue (Cr)'!$C:$FB,146)*100</f>
        <v>-24.57</v>
      </c>
      <c r="G93" s="49">
        <f>VLOOKUP($A93,'Data Vlaue (Cr)'!$C:$FB,43)</f>
        <v>709</v>
      </c>
      <c r="H93" s="49">
        <f>VLOOKUP($A93,'Data Vlaue (Cr)'!$C:$FB,44)</f>
        <v>994</v>
      </c>
      <c r="I93" s="49">
        <f>VLOOKUP($A93,'Data Vlaue (Cr)'!$C:$FB,46)*100</f>
        <v>-28.73</v>
      </c>
      <c r="J93" s="51">
        <f>VLOOKUP($A93,'Data Vlaue (Cr)'!$C:$FB,59)</f>
        <v>2284</v>
      </c>
      <c r="K93" s="51">
        <f>VLOOKUP($A93,'Data Vlaue (Cr)'!$C:$FB,60)</f>
        <v>2717</v>
      </c>
      <c r="L93" s="51">
        <f>VLOOKUP($A93,'Data Vlaue (Cr)'!$C:$FB,62)*100</f>
        <v>-15.939999999999998</v>
      </c>
      <c r="M93" s="51">
        <f>VLOOKUP($A93,'Data Vlaue (Cr)'!$C:$FB,63)</f>
        <v>594</v>
      </c>
      <c r="N93" s="51">
        <f>VLOOKUP($A93,'Data Vlaue (Cr)'!$C:$FB,64)</f>
        <v>1077</v>
      </c>
      <c r="O93" s="51">
        <f>VLOOKUP($A93,'Data Vlaue (Cr)'!$C:$FB,66)*100</f>
        <v>-44.83</v>
      </c>
    </row>
    <row r="94" spans="1:15" x14ac:dyDescent="0.25">
      <c r="A94" s="101" t="str">
        <f>'Data Vlaue (Cr)'!C89</f>
        <v>IDFCFIRSTB</v>
      </c>
      <c r="B94" s="50">
        <f>VLOOKUP($A94,'Data Vlaue (Cr)'!$C:$FB,8)</f>
        <v>83.95</v>
      </c>
      <c r="C94" s="50">
        <f>VLOOKUP($A94,'Data Vlaue (Cr)'!$C:$FB,11)*100</f>
        <v>0.59</v>
      </c>
      <c r="D94" s="50">
        <f>VLOOKUP($A94,'Data Vlaue (Cr)'!$C:$FB,143)</f>
        <v>1418.5</v>
      </c>
      <c r="E94" s="50">
        <f>VLOOKUP($A94,'Data Vlaue (Cr)'!$C:$FB,144)</f>
        <v>1849.19</v>
      </c>
      <c r="F94" s="50">
        <f>VLOOKUP($A94,'Data Vlaue (Cr)'!$C:$FB,146)*100</f>
        <v>-23.29</v>
      </c>
      <c r="G94" s="49">
        <f>VLOOKUP($A94,'Data Vlaue (Cr)'!$C:$FB,43)</f>
        <v>390</v>
      </c>
      <c r="H94" s="49">
        <f>VLOOKUP($A94,'Data Vlaue (Cr)'!$C:$FB,44)</f>
        <v>522</v>
      </c>
      <c r="I94" s="49">
        <f>VLOOKUP($A94,'Data Vlaue (Cr)'!$C:$FB,46)*100</f>
        <v>-25.4</v>
      </c>
      <c r="J94" s="51">
        <f>VLOOKUP($A94,'Data Vlaue (Cr)'!$C:$FB,59)</f>
        <v>684</v>
      </c>
      <c r="K94" s="51">
        <f>VLOOKUP($A94,'Data Vlaue (Cr)'!$C:$FB,60)</f>
        <v>863</v>
      </c>
      <c r="L94" s="51">
        <f>VLOOKUP($A94,'Data Vlaue (Cr)'!$C:$FB,62)*100</f>
        <v>-20.79</v>
      </c>
      <c r="M94" s="51">
        <f>VLOOKUP($A94,'Data Vlaue (Cr)'!$C:$FB,63)</f>
        <v>334</v>
      </c>
      <c r="N94" s="51">
        <f>VLOOKUP($A94,'Data Vlaue (Cr)'!$C:$FB,64)</f>
        <v>447</v>
      </c>
      <c r="O94" s="51">
        <f>VLOOKUP($A94,'Data Vlaue (Cr)'!$C:$FB,66)*100</f>
        <v>-25.16</v>
      </c>
    </row>
    <row r="95" spans="1:15" x14ac:dyDescent="0.25">
      <c r="A95" s="101" t="str">
        <f>'Data Vlaue (Cr)'!C90</f>
        <v>IEX</v>
      </c>
      <c r="B95" s="50">
        <f>VLOOKUP($A95,'Data Vlaue (Cr)'!$C:$FB,8)</f>
        <v>140.22</v>
      </c>
      <c r="C95" s="50">
        <f>VLOOKUP($A95,'Data Vlaue (Cr)'!$C:$FB,11)*100</f>
        <v>-0.13</v>
      </c>
      <c r="D95" s="50">
        <f>VLOOKUP($A95,'Data Vlaue (Cr)'!$C:$FB,143)</f>
        <v>334.85</v>
      </c>
      <c r="E95" s="50">
        <f>VLOOKUP($A95,'Data Vlaue (Cr)'!$C:$FB,144)</f>
        <v>442.73</v>
      </c>
      <c r="F95" s="50">
        <f>VLOOKUP($A95,'Data Vlaue (Cr)'!$C:$FB,146)*100</f>
        <v>-24.37</v>
      </c>
      <c r="G95" s="49">
        <f>VLOOKUP($A95,'Data Vlaue (Cr)'!$C:$FB,43)</f>
        <v>58</v>
      </c>
      <c r="H95" s="49">
        <f>VLOOKUP($A95,'Data Vlaue (Cr)'!$C:$FB,44)</f>
        <v>81</v>
      </c>
      <c r="I95" s="49">
        <f>VLOOKUP($A95,'Data Vlaue (Cr)'!$C:$FB,46)*100</f>
        <v>-28.660000000000004</v>
      </c>
      <c r="J95" s="51">
        <f>VLOOKUP($A95,'Data Vlaue (Cr)'!$C:$FB,59)</f>
        <v>200</v>
      </c>
      <c r="K95" s="51">
        <f>VLOOKUP($A95,'Data Vlaue (Cr)'!$C:$FB,60)</f>
        <v>262</v>
      </c>
      <c r="L95" s="51">
        <f>VLOOKUP($A95,'Data Vlaue (Cr)'!$C:$FB,62)*100</f>
        <v>-23.46</v>
      </c>
      <c r="M95" s="51">
        <f>VLOOKUP($A95,'Data Vlaue (Cr)'!$C:$FB,63)</f>
        <v>63</v>
      </c>
      <c r="N95" s="51">
        <f>VLOOKUP($A95,'Data Vlaue (Cr)'!$C:$FB,64)</f>
        <v>80</v>
      </c>
      <c r="O95" s="51">
        <f>VLOOKUP($A95,'Data Vlaue (Cr)'!$C:$FB,66)*100</f>
        <v>-22.07</v>
      </c>
    </row>
    <row r="96" spans="1:15" x14ac:dyDescent="0.25">
      <c r="A96" s="101" t="str">
        <f>'Data Vlaue (Cr)'!C91</f>
        <v>IIFL</v>
      </c>
      <c r="B96" s="50">
        <f>VLOOKUP($A96,'Data Vlaue (Cr)'!$C:$FB,8)</f>
        <v>563.1</v>
      </c>
      <c r="C96" s="50">
        <f>VLOOKUP($A96,'Data Vlaue (Cr)'!$C:$FB,11)*100</f>
        <v>-0.64</v>
      </c>
      <c r="D96" s="50">
        <f>VLOOKUP($A96,'Data Vlaue (Cr)'!$C:$FB,143)</f>
        <v>787.37</v>
      </c>
      <c r="E96" s="50">
        <f>VLOOKUP($A96,'Data Vlaue (Cr)'!$C:$FB,144)</f>
        <v>968.34</v>
      </c>
      <c r="F96" s="50">
        <f>VLOOKUP($A96,'Data Vlaue (Cr)'!$C:$FB,146)*100</f>
        <v>-18.690000000000001</v>
      </c>
      <c r="G96" s="49">
        <f>VLOOKUP($A96,'Data Vlaue (Cr)'!$C:$FB,43)</f>
        <v>88</v>
      </c>
      <c r="H96" s="49">
        <f>VLOOKUP($A96,'Data Vlaue (Cr)'!$C:$FB,44)</f>
        <v>104</v>
      </c>
      <c r="I96" s="49">
        <f>VLOOKUP($A96,'Data Vlaue (Cr)'!$C:$FB,46)*100</f>
        <v>-15.879999999999999</v>
      </c>
      <c r="J96" s="51">
        <f>VLOOKUP($A96,'Data Vlaue (Cr)'!$C:$FB,59)</f>
        <v>548</v>
      </c>
      <c r="K96" s="51">
        <f>VLOOKUP($A96,'Data Vlaue (Cr)'!$C:$FB,60)</f>
        <v>681</v>
      </c>
      <c r="L96" s="51">
        <f>VLOOKUP($A96,'Data Vlaue (Cr)'!$C:$FB,62)*100</f>
        <v>-19.489999999999998</v>
      </c>
      <c r="M96" s="51">
        <f>VLOOKUP($A96,'Data Vlaue (Cr)'!$C:$FB,63)</f>
        <v>120</v>
      </c>
      <c r="N96" s="51">
        <f>VLOOKUP($A96,'Data Vlaue (Cr)'!$C:$FB,64)</f>
        <v>143</v>
      </c>
      <c r="O96" s="51">
        <f>VLOOKUP($A96,'Data Vlaue (Cr)'!$C:$FB,66)*100</f>
        <v>-16.02</v>
      </c>
    </row>
    <row r="97" spans="1:15" x14ac:dyDescent="0.25">
      <c r="A97" s="101" t="str">
        <f>'Data Vlaue (Cr)'!C92</f>
        <v>INDHOTEL</v>
      </c>
      <c r="B97" s="50">
        <f>VLOOKUP($A97,'Data Vlaue (Cr)'!$C:$FB,8)</f>
        <v>713.2</v>
      </c>
      <c r="C97" s="50">
        <f>VLOOKUP($A97,'Data Vlaue (Cr)'!$C:$FB,11)*100</f>
        <v>-1.66</v>
      </c>
      <c r="D97" s="50">
        <f>VLOOKUP($A97,'Data Vlaue (Cr)'!$C:$FB,143)</f>
        <v>1165.02</v>
      </c>
      <c r="E97" s="50">
        <f>VLOOKUP($A97,'Data Vlaue (Cr)'!$C:$FB,144)</f>
        <v>695.05</v>
      </c>
      <c r="F97" s="50">
        <f>VLOOKUP($A97,'Data Vlaue (Cr)'!$C:$FB,146)*100</f>
        <v>67.62</v>
      </c>
      <c r="G97" s="49">
        <f>VLOOKUP($A97,'Data Vlaue (Cr)'!$C:$FB,43)</f>
        <v>249</v>
      </c>
      <c r="H97" s="49">
        <f>VLOOKUP($A97,'Data Vlaue (Cr)'!$C:$FB,44)</f>
        <v>165</v>
      </c>
      <c r="I97" s="49">
        <f>VLOOKUP($A97,'Data Vlaue (Cr)'!$C:$FB,46)*100</f>
        <v>50.8</v>
      </c>
      <c r="J97" s="51">
        <f>VLOOKUP($A97,'Data Vlaue (Cr)'!$C:$FB,59)</f>
        <v>627</v>
      </c>
      <c r="K97" s="51">
        <f>VLOOKUP($A97,'Data Vlaue (Cr)'!$C:$FB,60)</f>
        <v>365</v>
      </c>
      <c r="L97" s="51">
        <f>VLOOKUP($A97,'Data Vlaue (Cr)'!$C:$FB,62)*100</f>
        <v>71.8</v>
      </c>
      <c r="M97" s="51">
        <f>VLOOKUP($A97,'Data Vlaue (Cr)'!$C:$FB,63)</f>
        <v>254</v>
      </c>
      <c r="N97" s="51">
        <f>VLOOKUP($A97,'Data Vlaue (Cr)'!$C:$FB,64)</f>
        <v>139</v>
      </c>
      <c r="O97" s="51">
        <f>VLOOKUP($A97,'Data Vlaue (Cr)'!$C:$FB,66)*100</f>
        <v>83.04</v>
      </c>
    </row>
    <row r="98" spans="1:15" x14ac:dyDescent="0.25">
      <c r="A98" s="101" t="str">
        <f>'Data Vlaue (Cr)'!C93</f>
        <v>INDIANB</v>
      </c>
      <c r="B98" s="50">
        <f>VLOOKUP($A98,'Data Vlaue (Cr)'!$C:$FB,8)</f>
        <v>775</v>
      </c>
      <c r="C98" s="50">
        <f>VLOOKUP($A98,'Data Vlaue (Cr)'!$C:$FB,11)*100</f>
        <v>0.24</v>
      </c>
      <c r="D98" s="50">
        <f>VLOOKUP($A98,'Data Vlaue (Cr)'!$C:$FB,143)</f>
        <v>643.05999999999995</v>
      </c>
      <c r="E98" s="50">
        <f>VLOOKUP($A98,'Data Vlaue (Cr)'!$C:$FB,144)</f>
        <v>1072.02</v>
      </c>
      <c r="F98" s="50">
        <f>VLOOKUP($A98,'Data Vlaue (Cr)'!$C:$FB,146)*100</f>
        <v>-40.01</v>
      </c>
      <c r="G98" s="49">
        <f>VLOOKUP($A98,'Data Vlaue (Cr)'!$C:$FB,43)</f>
        <v>118</v>
      </c>
      <c r="H98" s="49">
        <f>VLOOKUP($A98,'Data Vlaue (Cr)'!$C:$FB,44)</f>
        <v>203</v>
      </c>
      <c r="I98" s="49">
        <f>VLOOKUP($A98,'Data Vlaue (Cr)'!$C:$FB,46)*100</f>
        <v>-41.6</v>
      </c>
      <c r="J98" s="51">
        <f>VLOOKUP($A98,'Data Vlaue (Cr)'!$C:$FB,59)</f>
        <v>371</v>
      </c>
      <c r="K98" s="51">
        <f>VLOOKUP($A98,'Data Vlaue (Cr)'!$C:$FB,60)</f>
        <v>627</v>
      </c>
      <c r="L98" s="51">
        <f>VLOOKUP($A98,'Data Vlaue (Cr)'!$C:$FB,62)*100</f>
        <v>-40.839999999999996</v>
      </c>
      <c r="M98" s="51">
        <f>VLOOKUP($A98,'Data Vlaue (Cr)'!$C:$FB,63)</f>
        <v>133</v>
      </c>
      <c r="N98" s="51">
        <f>VLOOKUP($A98,'Data Vlaue (Cr)'!$C:$FB,64)</f>
        <v>201</v>
      </c>
      <c r="O98" s="51">
        <f>VLOOKUP($A98,'Data Vlaue (Cr)'!$C:$FB,66)*100</f>
        <v>-33.770000000000003</v>
      </c>
    </row>
    <row r="99" spans="1:15" x14ac:dyDescent="0.25">
      <c r="A99" s="101" t="str">
        <f>'Data Vlaue (Cr)'!C94</f>
        <v>INDIAVIX</v>
      </c>
      <c r="B99" s="50">
        <f>VLOOKUP($A99,'Data Vlaue (Cr)'!$C:$FB,8)</f>
        <v>9.84</v>
      </c>
      <c r="C99" s="50">
        <f>VLOOKUP($A99,'Data Vlaue (Cr)'!$C:$FB,11)*100</f>
        <v>-2.21</v>
      </c>
      <c r="D99" s="50">
        <f>VLOOKUP($A99,'Data Vlaue (Cr)'!$C:$FB,143)</f>
        <v>0</v>
      </c>
      <c r="E99" s="50">
        <f>VLOOKUP($A99,'Data Vlaue (Cr)'!$C:$FB,144)</f>
        <v>0</v>
      </c>
      <c r="F99" s="50">
        <f>VLOOKUP($A99,'Data Vlaue (Cr)'!$C:$FB,146)*100</f>
        <v>0</v>
      </c>
      <c r="G99" s="49">
        <f>VLOOKUP($A99,'Data Vlaue (Cr)'!$C:$FB,43)</f>
        <v>0</v>
      </c>
      <c r="H99" s="49">
        <f>VLOOKUP($A99,'Data Vlaue (Cr)'!$C:$FB,44)</f>
        <v>0</v>
      </c>
      <c r="I99" s="49">
        <f>VLOOKUP($A99,'Data Vlaue (Cr)'!$C:$FB,46)*100</f>
        <v>0</v>
      </c>
      <c r="J99" s="51">
        <f>VLOOKUP($A99,'Data Vlaue (Cr)'!$C:$FB,59)</f>
        <v>0</v>
      </c>
      <c r="K99" s="51">
        <f>VLOOKUP($A99,'Data Vlaue (Cr)'!$C:$FB,60)</f>
        <v>0</v>
      </c>
      <c r="L99" s="51">
        <f>VLOOKUP($A99,'Data Vlaue (Cr)'!$C:$FB,62)*100</f>
        <v>0</v>
      </c>
      <c r="M99" s="51">
        <f>VLOOKUP($A99,'Data Vlaue (Cr)'!$C:$FB,63)</f>
        <v>0</v>
      </c>
      <c r="N99" s="51">
        <f>VLOOKUP($A99,'Data Vlaue (Cr)'!$C:$FB,64)</f>
        <v>0</v>
      </c>
      <c r="O99" s="51">
        <f>VLOOKUP($A99,'Data Vlaue (Cr)'!$C:$FB,66)*100</f>
        <v>0</v>
      </c>
    </row>
    <row r="100" spans="1:15" x14ac:dyDescent="0.25">
      <c r="A100" s="101" t="str">
        <f>'Data Vlaue (Cr)'!C95</f>
        <v>INDIGO</v>
      </c>
      <c r="B100" s="50">
        <f>VLOOKUP($A100,'Data Vlaue (Cr)'!$C:$FB,8)</f>
        <v>4980.5</v>
      </c>
      <c r="C100" s="50">
        <f>VLOOKUP($A100,'Data Vlaue (Cr)'!$C:$FB,11)*100</f>
        <v>0.13</v>
      </c>
      <c r="D100" s="50">
        <f>VLOOKUP($A100,'Data Vlaue (Cr)'!$C:$FB,143)</f>
        <v>7204.94</v>
      </c>
      <c r="E100" s="50">
        <f>VLOOKUP($A100,'Data Vlaue (Cr)'!$C:$FB,144)</f>
        <v>10777.05</v>
      </c>
      <c r="F100" s="50">
        <f>VLOOKUP($A100,'Data Vlaue (Cr)'!$C:$FB,146)*100</f>
        <v>-33.15</v>
      </c>
      <c r="G100" s="49">
        <f>VLOOKUP($A100,'Data Vlaue (Cr)'!$C:$FB,43)</f>
        <v>562</v>
      </c>
      <c r="H100" s="49">
        <f>VLOOKUP($A100,'Data Vlaue (Cr)'!$C:$FB,44)</f>
        <v>990</v>
      </c>
      <c r="I100" s="49">
        <f>VLOOKUP($A100,'Data Vlaue (Cr)'!$C:$FB,46)*100</f>
        <v>-43.21</v>
      </c>
      <c r="J100" s="51">
        <f>VLOOKUP($A100,'Data Vlaue (Cr)'!$C:$FB,59)</f>
        <v>4263</v>
      </c>
      <c r="K100" s="51">
        <f>VLOOKUP($A100,'Data Vlaue (Cr)'!$C:$FB,60)</f>
        <v>6332</v>
      </c>
      <c r="L100" s="51">
        <f>VLOOKUP($A100,'Data Vlaue (Cr)'!$C:$FB,62)*100</f>
        <v>-32.68</v>
      </c>
      <c r="M100" s="51">
        <f>VLOOKUP($A100,'Data Vlaue (Cr)'!$C:$FB,63)</f>
        <v>2156</v>
      </c>
      <c r="N100" s="51">
        <f>VLOOKUP($A100,'Data Vlaue (Cr)'!$C:$FB,64)</f>
        <v>3134</v>
      </c>
      <c r="O100" s="51">
        <f>VLOOKUP($A100,'Data Vlaue (Cr)'!$C:$FB,66)*100</f>
        <v>-31.22</v>
      </c>
    </row>
    <row r="101" spans="1:15" x14ac:dyDescent="0.25">
      <c r="A101" s="101" t="str">
        <f>'Data Vlaue (Cr)'!C96</f>
        <v>INDUSINDBK</v>
      </c>
      <c r="B101" s="50">
        <f>VLOOKUP($A101,'Data Vlaue (Cr)'!$C:$FB,8)</f>
        <v>833.85</v>
      </c>
      <c r="C101" s="50">
        <f>VLOOKUP($A101,'Data Vlaue (Cr)'!$C:$FB,11)*100</f>
        <v>-1.3299999999999998</v>
      </c>
      <c r="D101" s="50">
        <f>VLOOKUP($A101,'Data Vlaue (Cr)'!$C:$FB,143)</f>
        <v>3407.56</v>
      </c>
      <c r="E101" s="50">
        <f>VLOOKUP($A101,'Data Vlaue (Cr)'!$C:$FB,144)</f>
        <v>1683.5</v>
      </c>
      <c r="F101" s="50">
        <f>VLOOKUP($A101,'Data Vlaue (Cr)'!$C:$FB,146)*100</f>
        <v>102.41</v>
      </c>
      <c r="G101" s="49">
        <f>VLOOKUP($A101,'Data Vlaue (Cr)'!$C:$FB,43)</f>
        <v>587</v>
      </c>
      <c r="H101" s="49">
        <f>VLOOKUP($A101,'Data Vlaue (Cr)'!$C:$FB,44)</f>
        <v>360</v>
      </c>
      <c r="I101" s="49">
        <f>VLOOKUP($A101,'Data Vlaue (Cr)'!$C:$FB,46)*100</f>
        <v>63.01</v>
      </c>
      <c r="J101" s="51">
        <f>VLOOKUP($A101,'Data Vlaue (Cr)'!$C:$FB,59)</f>
        <v>1467</v>
      </c>
      <c r="K101" s="51">
        <f>VLOOKUP($A101,'Data Vlaue (Cr)'!$C:$FB,60)</f>
        <v>900</v>
      </c>
      <c r="L101" s="51">
        <f>VLOOKUP($A101,'Data Vlaue (Cr)'!$C:$FB,62)*100</f>
        <v>63.01</v>
      </c>
      <c r="M101" s="51">
        <f>VLOOKUP($A101,'Data Vlaue (Cr)'!$C:$FB,63)</f>
        <v>1292</v>
      </c>
      <c r="N101" s="51">
        <f>VLOOKUP($A101,'Data Vlaue (Cr)'!$C:$FB,64)</f>
        <v>364</v>
      </c>
      <c r="O101" s="51">
        <f>VLOOKUP($A101,'Data Vlaue (Cr)'!$C:$FB,66)*100</f>
        <v>255.29999999999998</v>
      </c>
    </row>
    <row r="102" spans="1:15" x14ac:dyDescent="0.25">
      <c r="A102" s="101" t="str">
        <f>'Data Vlaue (Cr)'!C97</f>
        <v>INDUSTOWER</v>
      </c>
      <c r="B102" s="50">
        <f>VLOOKUP($A102,'Data Vlaue (Cr)'!$C:$FB,8)</f>
        <v>407.2</v>
      </c>
      <c r="C102" s="50">
        <f>VLOOKUP($A102,'Data Vlaue (Cr)'!$C:$FB,11)*100</f>
        <v>-0.22999999999999998</v>
      </c>
      <c r="D102" s="50">
        <f>VLOOKUP($A102,'Data Vlaue (Cr)'!$C:$FB,143)</f>
        <v>1166.6500000000001</v>
      </c>
      <c r="E102" s="50">
        <f>VLOOKUP($A102,'Data Vlaue (Cr)'!$C:$FB,144)</f>
        <v>1433.03</v>
      </c>
      <c r="F102" s="50">
        <f>VLOOKUP($A102,'Data Vlaue (Cr)'!$C:$FB,146)*100</f>
        <v>-18.59</v>
      </c>
      <c r="G102" s="49">
        <f>VLOOKUP($A102,'Data Vlaue (Cr)'!$C:$FB,43)</f>
        <v>243</v>
      </c>
      <c r="H102" s="49">
        <f>VLOOKUP($A102,'Data Vlaue (Cr)'!$C:$FB,44)</f>
        <v>311</v>
      </c>
      <c r="I102" s="49">
        <f>VLOOKUP($A102,'Data Vlaue (Cr)'!$C:$FB,46)*100</f>
        <v>-21.86</v>
      </c>
      <c r="J102" s="51">
        <f>VLOOKUP($A102,'Data Vlaue (Cr)'!$C:$FB,59)</f>
        <v>717</v>
      </c>
      <c r="K102" s="51">
        <f>VLOOKUP($A102,'Data Vlaue (Cr)'!$C:$FB,60)</f>
        <v>798</v>
      </c>
      <c r="L102" s="51">
        <f>VLOOKUP($A102,'Data Vlaue (Cr)'!$C:$FB,62)*100</f>
        <v>-10.26</v>
      </c>
      <c r="M102" s="51">
        <f>VLOOKUP($A102,'Data Vlaue (Cr)'!$C:$FB,63)</f>
        <v>177</v>
      </c>
      <c r="N102" s="51">
        <f>VLOOKUP($A102,'Data Vlaue (Cr)'!$C:$FB,64)</f>
        <v>292</v>
      </c>
      <c r="O102" s="51">
        <f>VLOOKUP($A102,'Data Vlaue (Cr)'!$C:$FB,66)*100</f>
        <v>-39.42</v>
      </c>
    </row>
    <row r="103" spans="1:15" x14ac:dyDescent="0.25">
      <c r="A103" s="101" t="str">
        <f>'Data Vlaue (Cr)'!C98</f>
        <v>INFY</v>
      </c>
      <c r="B103" s="50">
        <f>VLOOKUP($A103,'Data Vlaue (Cr)'!$C:$FB,8)</f>
        <v>1602</v>
      </c>
      <c r="C103" s="50">
        <f>VLOOKUP($A103,'Data Vlaue (Cr)'!$C:$FB,11)*100</f>
        <v>0.57000000000000006</v>
      </c>
      <c r="D103" s="50">
        <f>VLOOKUP($A103,'Data Vlaue (Cr)'!$C:$FB,143)</f>
        <v>6968.01</v>
      </c>
      <c r="E103" s="50">
        <f>VLOOKUP($A103,'Data Vlaue (Cr)'!$C:$FB,144)</f>
        <v>7362.69</v>
      </c>
      <c r="F103" s="50">
        <f>VLOOKUP($A103,'Data Vlaue (Cr)'!$C:$FB,146)*100</f>
        <v>-5.36</v>
      </c>
      <c r="G103" s="49">
        <f>VLOOKUP($A103,'Data Vlaue (Cr)'!$C:$FB,43)</f>
        <v>1455</v>
      </c>
      <c r="H103" s="49">
        <f>VLOOKUP($A103,'Data Vlaue (Cr)'!$C:$FB,44)</f>
        <v>1783</v>
      </c>
      <c r="I103" s="49">
        <f>VLOOKUP($A103,'Data Vlaue (Cr)'!$C:$FB,46)*100</f>
        <v>-18.360000000000003</v>
      </c>
      <c r="J103" s="51">
        <f>VLOOKUP($A103,'Data Vlaue (Cr)'!$C:$FB,59)</f>
        <v>3541</v>
      </c>
      <c r="K103" s="51">
        <f>VLOOKUP($A103,'Data Vlaue (Cr)'!$C:$FB,60)</f>
        <v>3431</v>
      </c>
      <c r="L103" s="51">
        <f>VLOOKUP($A103,'Data Vlaue (Cr)'!$C:$FB,62)*100</f>
        <v>3.2099999999999995</v>
      </c>
      <c r="M103" s="51">
        <f>VLOOKUP($A103,'Data Vlaue (Cr)'!$C:$FB,63)</f>
        <v>1911</v>
      </c>
      <c r="N103" s="51">
        <f>VLOOKUP($A103,'Data Vlaue (Cr)'!$C:$FB,64)</f>
        <v>2111</v>
      </c>
      <c r="O103" s="51">
        <f>VLOOKUP($A103,'Data Vlaue (Cr)'!$C:$FB,66)*100</f>
        <v>-9.4600000000000009</v>
      </c>
    </row>
    <row r="104" spans="1:15" x14ac:dyDescent="0.25">
      <c r="A104" s="101" t="str">
        <f>'Data Vlaue (Cr)'!C99</f>
        <v>INOXWIND</v>
      </c>
      <c r="B104" s="50">
        <f>VLOOKUP($A104,'Data Vlaue (Cr)'!$C:$FB,8)</f>
        <v>126.04</v>
      </c>
      <c r="C104" s="50">
        <f>VLOOKUP($A104,'Data Vlaue (Cr)'!$C:$FB,11)*100</f>
        <v>-0.69</v>
      </c>
      <c r="D104" s="50">
        <f>VLOOKUP($A104,'Data Vlaue (Cr)'!$C:$FB,143)</f>
        <v>312.89999999999998</v>
      </c>
      <c r="E104" s="50">
        <f>VLOOKUP($A104,'Data Vlaue (Cr)'!$C:$FB,144)</f>
        <v>415.3</v>
      </c>
      <c r="F104" s="50">
        <f>VLOOKUP($A104,'Data Vlaue (Cr)'!$C:$FB,146)*100</f>
        <v>-24.66</v>
      </c>
      <c r="G104" s="49">
        <f>VLOOKUP($A104,'Data Vlaue (Cr)'!$C:$FB,43)</f>
        <v>95</v>
      </c>
      <c r="H104" s="49">
        <f>VLOOKUP($A104,'Data Vlaue (Cr)'!$C:$FB,44)</f>
        <v>106</v>
      </c>
      <c r="I104" s="49">
        <f>VLOOKUP($A104,'Data Vlaue (Cr)'!$C:$FB,46)*100</f>
        <v>-10.57</v>
      </c>
      <c r="J104" s="51">
        <f>VLOOKUP($A104,'Data Vlaue (Cr)'!$C:$FB,59)</f>
        <v>129</v>
      </c>
      <c r="K104" s="51">
        <f>VLOOKUP($A104,'Data Vlaue (Cr)'!$C:$FB,60)</f>
        <v>198</v>
      </c>
      <c r="L104" s="51">
        <f>VLOOKUP($A104,'Data Vlaue (Cr)'!$C:$FB,62)*100</f>
        <v>-34.839999999999996</v>
      </c>
      <c r="M104" s="51">
        <f>VLOOKUP($A104,'Data Vlaue (Cr)'!$C:$FB,63)</f>
        <v>77</v>
      </c>
      <c r="N104" s="51">
        <f>VLOOKUP($A104,'Data Vlaue (Cr)'!$C:$FB,64)</f>
        <v>99</v>
      </c>
      <c r="O104" s="51">
        <f>VLOOKUP($A104,'Data Vlaue (Cr)'!$C:$FB,66)*100</f>
        <v>-22.32</v>
      </c>
    </row>
    <row r="105" spans="1:15" x14ac:dyDescent="0.25">
      <c r="A105" s="101" t="str">
        <f>'Data Vlaue (Cr)'!C100</f>
        <v>IOC</v>
      </c>
      <c r="B105" s="50">
        <f>VLOOKUP($A105,'Data Vlaue (Cr)'!$C:$FB,8)</f>
        <v>168.16</v>
      </c>
      <c r="C105" s="50">
        <f>VLOOKUP($A105,'Data Vlaue (Cr)'!$C:$FB,11)*100</f>
        <v>0.25</v>
      </c>
      <c r="D105" s="50">
        <f>VLOOKUP($A105,'Data Vlaue (Cr)'!$C:$FB,143)</f>
        <v>2908.83</v>
      </c>
      <c r="E105" s="50">
        <f>VLOOKUP($A105,'Data Vlaue (Cr)'!$C:$FB,144)</f>
        <v>3694.63</v>
      </c>
      <c r="F105" s="50">
        <f>VLOOKUP($A105,'Data Vlaue (Cr)'!$C:$FB,146)*100</f>
        <v>-21.27</v>
      </c>
      <c r="G105" s="49">
        <f>VLOOKUP($A105,'Data Vlaue (Cr)'!$C:$FB,43)</f>
        <v>326</v>
      </c>
      <c r="H105" s="49">
        <f>VLOOKUP($A105,'Data Vlaue (Cr)'!$C:$FB,44)</f>
        <v>473</v>
      </c>
      <c r="I105" s="49">
        <f>VLOOKUP($A105,'Data Vlaue (Cr)'!$C:$FB,46)*100</f>
        <v>-31.130000000000003</v>
      </c>
      <c r="J105" s="51">
        <f>VLOOKUP($A105,'Data Vlaue (Cr)'!$C:$FB,59)</f>
        <v>1614</v>
      </c>
      <c r="K105" s="51">
        <f>VLOOKUP($A105,'Data Vlaue (Cr)'!$C:$FB,60)</f>
        <v>2127</v>
      </c>
      <c r="L105" s="51">
        <f>VLOOKUP($A105,'Data Vlaue (Cr)'!$C:$FB,62)*100</f>
        <v>-24.099999999999998</v>
      </c>
      <c r="M105" s="51">
        <f>VLOOKUP($A105,'Data Vlaue (Cr)'!$C:$FB,63)</f>
        <v>935</v>
      </c>
      <c r="N105" s="51">
        <f>VLOOKUP($A105,'Data Vlaue (Cr)'!$C:$FB,64)</f>
        <v>1049</v>
      </c>
      <c r="O105" s="51">
        <f>VLOOKUP($A105,'Data Vlaue (Cr)'!$C:$FB,66)*100</f>
        <v>-10.81</v>
      </c>
    </row>
    <row r="106" spans="1:15" x14ac:dyDescent="0.25">
      <c r="A106" s="101" t="str">
        <f>'Data Vlaue (Cr)'!C101</f>
        <v>IRCTC</v>
      </c>
      <c r="B106" s="50">
        <f>VLOOKUP($A106,'Data Vlaue (Cr)'!$C:$FB,8)</f>
        <v>666.1</v>
      </c>
      <c r="C106" s="50">
        <f>VLOOKUP($A106,'Data Vlaue (Cr)'!$C:$FB,11)*100</f>
        <v>-0.74</v>
      </c>
      <c r="D106" s="50">
        <f>VLOOKUP($A106,'Data Vlaue (Cr)'!$C:$FB,143)</f>
        <v>706.55</v>
      </c>
      <c r="E106" s="50">
        <f>VLOOKUP($A106,'Data Vlaue (Cr)'!$C:$FB,144)</f>
        <v>433.2</v>
      </c>
      <c r="F106" s="50">
        <f>VLOOKUP($A106,'Data Vlaue (Cr)'!$C:$FB,146)*100</f>
        <v>63.1</v>
      </c>
      <c r="G106" s="49">
        <f>VLOOKUP($A106,'Data Vlaue (Cr)'!$C:$FB,43)</f>
        <v>105</v>
      </c>
      <c r="H106" s="49">
        <f>VLOOKUP($A106,'Data Vlaue (Cr)'!$C:$FB,44)</f>
        <v>96</v>
      </c>
      <c r="I106" s="49">
        <f>VLOOKUP($A106,'Data Vlaue (Cr)'!$C:$FB,46)*100</f>
        <v>9.0499999999999989</v>
      </c>
      <c r="J106" s="51">
        <f>VLOOKUP($A106,'Data Vlaue (Cr)'!$C:$FB,59)</f>
        <v>360</v>
      </c>
      <c r="K106" s="51">
        <f>VLOOKUP($A106,'Data Vlaue (Cr)'!$C:$FB,60)</f>
        <v>237</v>
      </c>
      <c r="L106" s="51">
        <f>VLOOKUP($A106,'Data Vlaue (Cr)'!$C:$FB,62)*100</f>
        <v>51.970000000000006</v>
      </c>
      <c r="M106" s="51">
        <f>VLOOKUP($A106,'Data Vlaue (Cr)'!$C:$FB,63)</f>
        <v>226</v>
      </c>
      <c r="N106" s="51">
        <f>VLOOKUP($A106,'Data Vlaue (Cr)'!$C:$FB,64)</f>
        <v>89</v>
      </c>
      <c r="O106" s="51">
        <f>VLOOKUP($A106,'Data Vlaue (Cr)'!$C:$FB,66)*100</f>
        <v>153.24</v>
      </c>
    </row>
    <row r="107" spans="1:15" x14ac:dyDescent="0.25">
      <c r="A107" s="101" t="str">
        <f>'Data Vlaue (Cr)'!C102</f>
        <v>IREDA</v>
      </c>
      <c r="B107" s="50">
        <f>VLOOKUP($A107,'Data Vlaue (Cr)'!$C:$FB,8)</f>
        <v>131.43</v>
      </c>
      <c r="C107" s="50">
        <f>VLOOKUP($A107,'Data Vlaue (Cr)'!$C:$FB,11)*100</f>
        <v>-1.82</v>
      </c>
      <c r="D107" s="50">
        <f>VLOOKUP($A107,'Data Vlaue (Cr)'!$C:$FB,143)</f>
        <v>403.09</v>
      </c>
      <c r="E107" s="50">
        <f>VLOOKUP($A107,'Data Vlaue (Cr)'!$C:$FB,144)</f>
        <v>280.57</v>
      </c>
      <c r="F107" s="50">
        <f>VLOOKUP($A107,'Data Vlaue (Cr)'!$C:$FB,146)*100</f>
        <v>43.669999999999995</v>
      </c>
      <c r="G107" s="49">
        <f>VLOOKUP($A107,'Data Vlaue (Cr)'!$C:$FB,43)</f>
        <v>138</v>
      </c>
      <c r="H107" s="49">
        <f>VLOOKUP($A107,'Data Vlaue (Cr)'!$C:$FB,44)</f>
        <v>84</v>
      </c>
      <c r="I107" s="49">
        <f>VLOOKUP($A107,'Data Vlaue (Cr)'!$C:$FB,46)*100</f>
        <v>63.629999999999995</v>
      </c>
      <c r="J107" s="51">
        <f>VLOOKUP($A107,'Data Vlaue (Cr)'!$C:$FB,59)</f>
        <v>186</v>
      </c>
      <c r="K107" s="51">
        <f>VLOOKUP($A107,'Data Vlaue (Cr)'!$C:$FB,60)</f>
        <v>143</v>
      </c>
      <c r="L107" s="51">
        <f>VLOOKUP($A107,'Data Vlaue (Cr)'!$C:$FB,62)*100</f>
        <v>30.42</v>
      </c>
      <c r="M107" s="51">
        <f>VLOOKUP($A107,'Data Vlaue (Cr)'!$C:$FB,63)</f>
        <v>60</v>
      </c>
      <c r="N107" s="51">
        <f>VLOOKUP($A107,'Data Vlaue (Cr)'!$C:$FB,64)</f>
        <v>35</v>
      </c>
      <c r="O107" s="51">
        <f>VLOOKUP($A107,'Data Vlaue (Cr)'!$C:$FB,66)*100</f>
        <v>69.13</v>
      </c>
    </row>
    <row r="108" spans="1:15" x14ac:dyDescent="0.25">
      <c r="A108" s="101" t="str">
        <f>'Data Vlaue (Cr)'!C103</f>
        <v>IRFC</v>
      </c>
      <c r="B108" s="50">
        <f>VLOOKUP($A108,'Data Vlaue (Cr)'!$C:$FB,8)</f>
        <v>111.08</v>
      </c>
      <c r="C108" s="50">
        <f>VLOOKUP($A108,'Data Vlaue (Cr)'!$C:$FB,11)*100</f>
        <v>-0.83</v>
      </c>
      <c r="D108" s="50">
        <f>VLOOKUP($A108,'Data Vlaue (Cr)'!$C:$FB,143)</f>
        <v>422.08</v>
      </c>
      <c r="E108" s="50">
        <f>VLOOKUP($A108,'Data Vlaue (Cr)'!$C:$FB,144)</f>
        <v>285.26</v>
      </c>
      <c r="F108" s="50">
        <f>VLOOKUP($A108,'Data Vlaue (Cr)'!$C:$FB,146)*100</f>
        <v>47.96</v>
      </c>
      <c r="G108" s="49">
        <f>VLOOKUP($A108,'Data Vlaue (Cr)'!$C:$FB,43)</f>
        <v>60</v>
      </c>
      <c r="H108" s="49">
        <f>VLOOKUP($A108,'Data Vlaue (Cr)'!$C:$FB,44)</f>
        <v>55</v>
      </c>
      <c r="I108" s="49">
        <f>VLOOKUP($A108,'Data Vlaue (Cr)'!$C:$FB,46)*100</f>
        <v>10.059999999999999</v>
      </c>
      <c r="J108" s="51">
        <f>VLOOKUP($A108,'Data Vlaue (Cr)'!$C:$FB,59)</f>
        <v>243</v>
      </c>
      <c r="K108" s="51">
        <f>VLOOKUP($A108,'Data Vlaue (Cr)'!$C:$FB,60)</f>
        <v>149</v>
      </c>
      <c r="L108" s="51">
        <f>VLOOKUP($A108,'Data Vlaue (Cr)'!$C:$FB,62)*100</f>
        <v>63.239999999999995</v>
      </c>
      <c r="M108" s="51">
        <f>VLOOKUP($A108,'Data Vlaue (Cr)'!$C:$FB,63)</f>
        <v>102</v>
      </c>
      <c r="N108" s="51">
        <f>VLOOKUP($A108,'Data Vlaue (Cr)'!$C:$FB,64)</f>
        <v>68</v>
      </c>
      <c r="O108" s="51">
        <f>VLOOKUP($A108,'Data Vlaue (Cr)'!$C:$FB,66)*100</f>
        <v>49.480000000000004</v>
      </c>
    </row>
    <row r="109" spans="1:15" x14ac:dyDescent="0.25">
      <c r="A109" s="101" t="str">
        <f>'Data Vlaue (Cr)'!C104</f>
        <v>ITC</v>
      </c>
      <c r="B109" s="50">
        <f>VLOOKUP($A109,'Data Vlaue (Cr)'!$C:$FB,8)</f>
        <v>399.8</v>
      </c>
      <c r="C109" s="50">
        <f>VLOOKUP($A109,'Data Vlaue (Cr)'!$C:$FB,11)*100</f>
        <v>-0.47000000000000003</v>
      </c>
      <c r="D109" s="50">
        <f>VLOOKUP($A109,'Data Vlaue (Cr)'!$C:$FB,143)</f>
        <v>2956.95</v>
      </c>
      <c r="E109" s="50">
        <f>VLOOKUP($A109,'Data Vlaue (Cr)'!$C:$FB,144)</f>
        <v>4437.82</v>
      </c>
      <c r="F109" s="50">
        <f>VLOOKUP($A109,'Data Vlaue (Cr)'!$C:$FB,146)*100</f>
        <v>-33.369999999999997</v>
      </c>
      <c r="G109" s="49">
        <f>VLOOKUP($A109,'Data Vlaue (Cr)'!$C:$FB,43)</f>
        <v>551</v>
      </c>
      <c r="H109" s="49">
        <f>VLOOKUP($A109,'Data Vlaue (Cr)'!$C:$FB,44)</f>
        <v>708</v>
      </c>
      <c r="I109" s="49">
        <f>VLOOKUP($A109,'Data Vlaue (Cr)'!$C:$FB,46)*100</f>
        <v>-22.1</v>
      </c>
      <c r="J109" s="51">
        <f>VLOOKUP($A109,'Data Vlaue (Cr)'!$C:$FB,59)</f>
        <v>1596</v>
      </c>
      <c r="K109" s="51">
        <f>VLOOKUP($A109,'Data Vlaue (Cr)'!$C:$FB,60)</f>
        <v>2277</v>
      </c>
      <c r="L109" s="51">
        <f>VLOOKUP($A109,'Data Vlaue (Cr)'!$C:$FB,62)*100</f>
        <v>-29.93</v>
      </c>
      <c r="M109" s="51">
        <f>VLOOKUP($A109,'Data Vlaue (Cr)'!$C:$FB,63)</f>
        <v>768</v>
      </c>
      <c r="N109" s="51">
        <f>VLOOKUP($A109,'Data Vlaue (Cr)'!$C:$FB,64)</f>
        <v>1390</v>
      </c>
      <c r="O109" s="51">
        <f>VLOOKUP($A109,'Data Vlaue (Cr)'!$C:$FB,66)*100</f>
        <v>-44.769999999999996</v>
      </c>
    </row>
    <row r="110" spans="1:15" x14ac:dyDescent="0.25">
      <c r="A110" s="101" t="str">
        <f>'Data Vlaue (Cr)'!C105</f>
        <v>JINDALSTEL</v>
      </c>
      <c r="B110" s="50">
        <f>VLOOKUP($A110,'Data Vlaue (Cr)'!$C:$FB,8)</f>
        <v>1001.5</v>
      </c>
      <c r="C110" s="50">
        <f>VLOOKUP($A110,'Data Vlaue (Cr)'!$C:$FB,11)*100</f>
        <v>-0.96</v>
      </c>
      <c r="D110" s="50">
        <f>VLOOKUP($A110,'Data Vlaue (Cr)'!$C:$FB,143)</f>
        <v>840.78</v>
      </c>
      <c r="E110" s="50">
        <f>VLOOKUP($A110,'Data Vlaue (Cr)'!$C:$FB,144)</f>
        <v>908.83</v>
      </c>
      <c r="F110" s="50">
        <f>VLOOKUP($A110,'Data Vlaue (Cr)'!$C:$FB,146)*100</f>
        <v>-7.4899999999999993</v>
      </c>
      <c r="G110" s="49">
        <f>VLOOKUP($A110,'Data Vlaue (Cr)'!$C:$FB,43)</f>
        <v>175</v>
      </c>
      <c r="H110" s="49">
        <f>VLOOKUP($A110,'Data Vlaue (Cr)'!$C:$FB,44)</f>
        <v>196</v>
      </c>
      <c r="I110" s="49">
        <f>VLOOKUP($A110,'Data Vlaue (Cr)'!$C:$FB,46)*100</f>
        <v>-10.83</v>
      </c>
      <c r="J110" s="51">
        <f>VLOOKUP($A110,'Data Vlaue (Cr)'!$C:$FB,59)</f>
        <v>416</v>
      </c>
      <c r="K110" s="51">
        <f>VLOOKUP($A110,'Data Vlaue (Cr)'!$C:$FB,60)</f>
        <v>376</v>
      </c>
      <c r="L110" s="51">
        <f>VLOOKUP($A110,'Data Vlaue (Cr)'!$C:$FB,62)*100</f>
        <v>10.45</v>
      </c>
      <c r="M110" s="51">
        <f>VLOOKUP($A110,'Data Vlaue (Cr)'!$C:$FB,63)</f>
        <v>228</v>
      </c>
      <c r="N110" s="51">
        <f>VLOOKUP($A110,'Data Vlaue (Cr)'!$C:$FB,64)</f>
        <v>312</v>
      </c>
      <c r="O110" s="51">
        <f>VLOOKUP($A110,'Data Vlaue (Cr)'!$C:$FB,66)*100</f>
        <v>-27.12</v>
      </c>
    </row>
    <row r="111" spans="1:15" x14ac:dyDescent="0.25">
      <c r="A111" s="101" t="str">
        <f>'Data Vlaue (Cr)'!C106</f>
        <v>JIOFIN</v>
      </c>
      <c r="B111" s="50">
        <f>VLOOKUP($A111,'Data Vlaue (Cr)'!$C:$FB,8)</f>
        <v>293.14999999999998</v>
      </c>
      <c r="C111" s="50">
        <f>VLOOKUP($A111,'Data Vlaue (Cr)'!$C:$FB,11)*100</f>
        <v>-0.71000000000000008</v>
      </c>
      <c r="D111" s="50">
        <f>VLOOKUP($A111,'Data Vlaue (Cr)'!$C:$FB,143)</f>
        <v>1813.5</v>
      </c>
      <c r="E111" s="50">
        <f>VLOOKUP($A111,'Data Vlaue (Cr)'!$C:$FB,144)</f>
        <v>1831.36</v>
      </c>
      <c r="F111" s="50">
        <f>VLOOKUP($A111,'Data Vlaue (Cr)'!$C:$FB,146)*100</f>
        <v>-0.98</v>
      </c>
      <c r="G111" s="49">
        <f>VLOOKUP($A111,'Data Vlaue (Cr)'!$C:$FB,43)</f>
        <v>272</v>
      </c>
      <c r="H111" s="49">
        <f>VLOOKUP($A111,'Data Vlaue (Cr)'!$C:$FB,44)</f>
        <v>396</v>
      </c>
      <c r="I111" s="49">
        <f>VLOOKUP($A111,'Data Vlaue (Cr)'!$C:$FB,46)*100</f>
        <v>-31.430000000000003</v>
      </c>
      <c r="J111" s="51">
        <f>VLOOKUP($A111,'Data Vlaue (Cr)'!$C:$FB,59)</f>
        <v>1091</v>
      </c>
      <c r="K111" s="51">
        <f>VLOOKUP($A111,'Data Vlaue (Cr)'!$C:$FB,60)</f>
        <v>963</v>
      </c>
      <c r="L111" s="51">
        <f>VLOOKUP($A111,'Data Vlaue (Cr)'!$C:$FB,62)*100</f>
        <v>13.33</v>
      </c>
      <c r="M111" s="51">
        <f>VLOOKUP($A111,'Data Vlaue (Cr)'!$C:$FB,63)</f>
        <v>388</v>
      </c>
      <c r="N111" s="51">
        <f>VLOOKUP($A111,'Data Vlaue (Cr)'!$C:$FB,64)</f>
        <v>408</v>
      </c>
      <c r="O111" s="51">
        <f>VLOOKUP($A111,'Data Vlaue (Cr)'!$C:$FB,66)*100</f>
        <v>-4.8899999999999997</v>
      </c>
    </row>
    <row r="112" spans="1:15" x14ac:dyDescent="0.25">
      <c r="A112" s="101" t="str">
        <f>'Data Vlaue (Cr)'!C107</f>
        <v>JSWENERGY</v>
      </c>
      <c r="B112" s="50">
        <f>VLOOKUP($A112,'Data Vlaue (Cr)'!$C:$FB,8)</f>
        <v>475.25</v>
      </c>
      <c r="C112" s="50">
        <f>VLOOKUP($A112,'Data Vlaue (Cr)'!$C:$FB,11)*100</f>
        <v>-0.67999999999999994</v>
      </c>
      <c r="D112" s="50">
        <f>VLOOKUP($A112,'Data Vlaue (Cr)'!$C:$FB,143)</f>
        <v>930.36</v>
      </c>
      <c r="E112" s="50">
        <f>VLOOKUP($A112,'Data Vlaue (Cr)'!$C:$FB,144)</f>
        <v>1413.88</v>
      </c>
      <c r="F112" s="50">
        <f>VLOOKUP($A112,'Data Vlaue (Cr)'!$C:$FB,146)*100</f>
        <v>-34.200000000000003</v>
      </c>
      <c r="G112" s="49">
        <f>VLOOKUP($A112,'Data Vlaue (Cr)'!$C:$FB,43)</f>
        <v>164</v>
      </c>
      <c r="H112" s="49">
        <f>VLOOKUP($A112,'Data Vlaue (Cr)'!$C:$FB,44)</f>
        <v>196</v>
      </c>
      <c r="I112" s="49">
        <f>VLOOKUP($A112,'Data Vlaue (Cr)'!$C:$FB,46)*100</f>
        <v>-16.470000000000002</v>
      </c>
      <c r="J112" s="51">
        <f>VLOOKUP($A112,'Data Vlaue (Cr)'!$C:$FB,59)</f>
        <v>464</v>
      </c>
      <c r="K112" s="51">
        <f>VLOOKUP($A112,'Data Vlaue (Cr)'!$C:$FB,60)</f>
        <v>670</v>
      </c>
      <c r="L112" s="51">
        <f>VLOOKUP($A112,'Data Vlaue (Cr)'!$C:$FB,62)*100</f>
        <v>-30.769999999999996</v>
      </c>
      <c r="M112" s="51">
        <f>VLOOKUP($A112,'Data Vlaue (Cr)'!$C:$FB,63)</f>
        <v>279</v>
      </c>
      <c r="N112" s="51">
        <f>VLOOKUP($A112,'Data Vlaue (Cr)'!$C:$FB,64)</f>
        <v>506</v>
      </c>
      <c r="O112" s="51">
        <f>VLOOKUP($A112,'Data Vlaue (Cr)'!$C:$FB,66)*100</f>
        <v>-44.800000000000004</v>
      </c>
    </row>
    <row r="113" spans="1:15" x14ac:dyDescent="0.25">
      <c r="A113" s="101" t="str">
        <f>'Data Vlaue (Cr)'!C108</f>
        <v>JSWSTEEL</v>
      </c>
      <c r="B113" s="50">
        <f>VLOOKUP($A113,'Data Vlaue (Cr)'!$C:$FB,8)</f>
        <v>1079.3</v>
      </c>
      <c r="C113" s="50">
        <f>VLOOKUP($A113,'Data Vlaue (Cr)'!$C:$FB,11)*100</f>
        <v>-0.3</v>
      </c>
      <c r="D113" s="50">
        <f>VLOOKUP($A113,'Data Vlaue (Cr)'!$C:$FB,143)</f>
        <v>2504.58</v>
      </c>
      <c r="E113" s="50">
        <f>VLOOKUP($A113,'Data Vlaue (Cr)'!$C:$FB,144)</f>
        <v>4234.0200000000004</v>
      </c>
      <c r="F113" s="50">
        <f>VLOOKUP($A113,'Data Vlaue (Cr)'!$C:$FB,146)*100</f>
        <v>-40.849999999999994</v>
      </c>
      <c r="G113" s="49">
        <f>VLOOKUP($A113,'Data Vlaue (Cr)'!$C:$FB,43)</f>
        <v>367</v>
      </c>
      <c r="H113" s="49">
        <f>VLOOKUP($A113,'Data Vlaue (Cr)'!$C:$FB,44)</f>
        <v>651</v>
      </c>
      <c r="I113" s="49">
        <f>VLOOKUP($A113,'Data Vlaue (Cr)'!$C:$FB,46)*100</f>
        <v>-43.669999999999995</v>
      </c>
      <c r="J113" s="51">
        <f>VLOOKUP($A113,'Data Vlaue (Cr)'!$C:$FB,59)</f>
        <v>1496</v>
      </c>
      <c r="K113" s="51">
        <f>VLOOKUP($A113,'Data Vlaue (Cr)'!$C:$FB,60)</f>
        <v>2209</v>
      </c>
      <c r="L113" s="51">
        <f>VLOOKUP($A113,'Data Vlaue (Cr)'!$C:$FB,62)*100</f>
        <v>-32.300000000000004</v>
      </c>
      <c r="M113" s="51">
        <f>VLOOKUP($A113,'Data Vlaue (Cr)'!$C:$FB,63)</f>
        <v>557</v>
      </c>
      <c r="N113" s="51">
        <f>VLOOKUP($A113,'Data Vlaue (Cr)'!$C:$FB,64)</f>
        <v>1203</v>
      </c>
      <c r="O113" s="51">
        <f>VLOOKUP($A113,'Data Vlaue (Cr)'!$C:$FB,66)*100</f>
        <v>-53.73</v>
      </c>
    </row>
    <row r="114" spans="1:15" x14ac:dyDescent="0.25">
      <c r="A114" s="101" t="str">
        <f>'Data Vlaue (Cr)'!C109</f>
        <v>JUBLFOOD</v>
      </c>
      <c r="B114" s="50">
        <f>VLOOKUP($A114,'Data Vlaue (Cr)'!$C:$FB,8)</f>
        <v>554.04999999999995</v>
      </c>
      <c r="C114" s="50">
        <f>VLOOKUP($A114,'Data Vlaue (Cr)'!$C:$FB,11)*100</f>
        <v>-1.0999999999999999</v>
      </c>
      <c r="D114" s="50">
        <f>VLOOKUP($A114,'Data Vlaue (Cr)'!$C:$FB,143)</f>
        <v>1549.19</v>
      </c>
      <c r="E114" s="50">
        <f>VLOOKUP($A114,'Data Vlaue (Cr)'!$C:$FB,144)</f>
        <v>2257.4299999999998</v>
      </c>
      <c r="F114" s="50">
        <f>VLOOKUP($A114,'Data Vlaue (Cr)'!$C:$FB,146)*100</f>
        <v>-31.369999999999997</v>
      </c>
      <c r="G114" s="49">
        <f>VLOOKUP($A114,'Data Vlaue (Cr)'!$C:$FB,43)</f>
        <v>273</v>
      </c>
      <c r="H114" s="49">
        <f>VLOOKUP($A114,'Data Vlaue (Cr)'!$C:$FB,44)</f>
        <v>460</v>
      </c>
      <c r="I114" s="49">
        <f>VLOOKUP($A114,'Data Vlaue (Cr)'!$C:$FB,46)*100</f>
        <v>-40.56</v>
      </c>
      <c r="J114" s="51">
        <f>VLOOKUP($A114,'Data Vlaue (Cr)'!$C:$FB,59)</f>
        <v>752</v>
      </c>
      <c r="K114" s="51">
        <f>VLOOKUP($A114,'Data Vlaue (Cr)'!$C:$FB,60)</f>
        <v>1019</v>
      </c>
      <c r="L114" s="51">
        <f>VLOOKUP($A114,'Data Vlaue (Cr)'!$C:$FB,62)*100</f>
        <v>-26.19</v>
      </c>
      <c r="M114" s="51">
        <f>VLOOKUP($A114,'Data Vlaue (Cr)'!$C:$FB,63)</f>
        <v>476</v>
      </c>
      <c r="N114" s="51">
        <f>VLOOKUP($A114,'Data Vlaue (Cr)'!$C:$FB,64)</f>
        <v>669</v>
      </c>
      <c r="O114" s="51">
        <f>VLOOKUP($A114,'Data Vlaue (Cr)'!$C:$FB,66)*100</f>
        <v>-28.910000000000004</v>
      </c>
    </row>
    <row r="115" spans="1:15" x14ac:dyDescent="0.25">
      <c r="A115" s="101" t="str">
        <f>'Data Vlaue (Cr)'!C110</f>
        <v>KALYANKJIL</v>
      </c>
      <c r="B115" s="50">
        <f>VLOOKUP($A115,'Data Vlaue (Cr)'!$C:$FB,8)</f>
        <v>474.85</v>
      </c>
      <c r="C115" s="50">
        <f>VLOOKUP($A115,'Data Vlaue (Cr)'!$C:$FB,11)*100</f>
        <v>-0.89</v>
      </c>
      <c r="D115" s="50">
        <f>VLOOKUP($A115,'Data Vlaue (Cr)'!$C:$FB,143)</f>
        <v>945.43</v>
      </c>
      <c r="E115" s="50">
        <f>VLOOKUP($A115,'Data Vlaue (Cr)'!$C:$FB,144)</f>
        <v>511.3</v>
      </c>
      <c r="F115" s="50">
        <f>VLOOKUP($A115,'Data Vlaue (Cr)'!$C:$FB,146)*100</f>
        <v>84.91</v>
      </c>
      <c r="G115" s="49">
        <f>VLOOKUP($A115,'Data Vlaue (Cr)'!$C:$FB,43)</f>
        <v>189</v>
      </c>
      <c r="H115" s="49">
        <f>VLOOKUP($A115,'Data Vlaue (Cr)'!$C:$FB,44)</f>
        <v>130</v>
      </c>
      <c r="I115" s="49">
        <f>VLOOKUP($A115,'Data Vlaue (Cr)'!$C:$FB,46)*100</f>
        <v>45.62</v>
      </c>
      <c r="J115" s="51">
        <f>VLOOKUP($A115,'Data Vlaue (Cr)'!$C:$FB,59)</f>
        <v>475</v>
      </c>
      <c r="K115" s="51">
        <f>VLOOKUP($A115,'Data Vlaue (Cr)'!$C:$FB,60)</f>
        <v>280</v>
      </c>
      <c r="L115" s="51">
        <f>VLOOKUP($A115,'Data Vlaue (Cr)'!$C:$FB,62)*100</f>
        <v>69.87</v>
      </c>
      <c r="M115" s="51">
        <f>VLOOKUP($A115,'Data Vlaue (Cr)'!$C:$FB,63)</f>
        <v>260</v>
      </c>
      <c r="N115" s="51">
        <f>VLOOKUP($A115,'Data Vlaue (Cr)'!$C:$FB,64)</f>
        <v>86</v>
      </c>
      <c r="O115" s="51">
        <f>VLOOKUP($A115,'Data Vlaue (Cr)'!$C:$FB,66)*100</f>
        <v>203.26</v>
      </c>
    </row>
    <row r="116" spans="1:15" x14ac:dyDescent="0.25">
      <c r="A116" s="101" t="str">
        <f>'Data Vlaue (Cr)'!C111</f>
        <v>KAYNES</v>
      </c>
      <c r="B116" s="50">
        <f>VLOOKUP($A116,'Data Vlaue (Cr)'!$C:$FB,8)</f>
        <v>4093.5</v>
      </c>
      <c r="C116" s="50">
        <f>VLOOKUP($A116,'Data Vlaue (Cr)'!$C:$FB,11)*100</f>
        <v>-2.2200000000000002</v>
      </c>
      <c r="D116" s="50">
        <f>VLOOKUP($A116,'Data Vlaue (Cr)'!$C:$FB,143)</f>
        <v>7333.15</v>
      </c>
      <c r="E116" s="50">
        <f>VLOOKUP($A116,'Data Vlaue (Cr)'!$C:$FB,144)</f>
        <v>5347.72</v>
      </c>
      <c r="F116" s="50">
        <f>VLOOKUP($A116,'Data Vlaue (Cr)'!$C:$FB,146)*100</f>
        <v>37.130000000000003</v>
      </c>
      <c r="G116" s="49">
        <f>VLOOKUP($A116,'Data Vlaue (Cr)'!$C:$FB,43)</f>
        <v>534</v>
      </c>
      <c r="H116" s="49">
        <f>VLOOKUP($A116,'Data Vlaue (Cr)'!$C:$FB,44)</f>
        <v>378</v>
      </c>
      <c r="I116" s="49">
        <f>VLOOKUP($A116,'Data Vlaue (Cr)'!$C:$FB,46)*100</f>
        <v>41.4</v>
      </c>
      <c r="J116" s="51">
        <f>VLOOKUP($A116,'Data Vlaue (Cr)'!$C:$FB,59)</f>
        <v>4202</v>
      </c>
      <c r="K116" s="51">
        <f>VLOOKUP($A116,'Data Vlaue (Cr)'!$C:$FB,60)</f>
        <v>3061</v>
      </c>
      <c r="L116" s="51">
        <f>VLOOKUP($A116,'Data Vlaue (Cr)'!$C:$FB,62)*100</f>
        <v>37.28</v>
      </c>
      <c r="M116" s="51">
        <f>VLOOKUP($A116,'Data Vlaue (Cr)'!$C:$FB,63)</f>
        <v>2086</v>
      </c>
      <c r="N116" s="51">
        <f>VLOOKUP($A116,'Data Vlaue (Cr)'!$C:$FB,64)</f>
        <v>1476</v>
      </c>
      <c r="O116" s="51">
        <f>VLOOKUP($A116,'Data Vlaue (Cr)'!$C:$FB,66)*100</f>
        <v>41.32</v>
      </c>
    </row>
    <row r="117" spans="1:15" x14ac:dyDescent="0.25">
      <c r="A117" s="101" t="str">
        <f>'Data Vlaue (Cr)'!C112</f>
        <v>KEI</v>
      </c>
      <c r="B117" s="50">
        <f>VLOOKUP($A117,'Data Vlaue (Cr)'!$C:$FB,8)</f>
        <v>4106.6000000000004</v>
      </c>
      <c r="C117" s="50">
        <f>VLOOKUP($A117,'Data Vlaue (Cr)'!$C:$FB,11)*100</f>
        <v>-1.2</v>
      </c>
      <c r="D117" s="50">
        <f>VLOOKUP($A117,'Data Vlaue (Cr)'!$C:$FB,143)</f>
        <v>928.02</v>
      </c>
      <c r="E117" s="50">
        <f>VLOOKUP($A117,'Data Vlaue (Cr)'!$C:$FB,144)</f>
        <v>362.73</v>
      </c>
      <c r="F117" s="50">
        <f>VLOOKUP($A117,'Data Vlaue (Cr)'!$C:$FB,146)*100</f>
        <v>155.84</v>
      </c>
      <c r="G117" s="49">
        <f>VLOOKUP($A117,'Data Vlaue (Cr)'!$C:$FB,43)</f>
        <v>151</v>
      </c>
      <c r="H117" s="49">
        <f>VLOOKUP($A117,'Data Vlaue (Cr)'!$C:$FB,44)</f>
        <v>78</v>
      </c>
      <c r="I117" s="49">
        <f>VLOOKUP($A117,'Data Vlaue (Cr)'!$C:$FB,46)*100</f>
        <v>95.07</v>
      </c>
      <c r="J117" s="51">
        <f>VLOOKUP($A117,'Data Vlaue (Cr)'!$C:$FB,59)</f>
        <v>290</v>
      </c>
      <c r="K117" s="51">
        <f>VLOOKUP($A117,'Data Vlaue (Cr)'!$C:$FB,60)</f>
        <v>167</v>
      </c>
      <c r="L117" s="51">
        <f>VLOOKUP($A117,'Data Vlaue (Cr)'!$C:$FB,62)*100</f>
        <v>73.52</v>
      </c>
      <c r="M117" s="51">
        <f>VLOOKUP($A117,'Data Vlaue (Cr)'!$C:$FB,63)</f>
        <v>484</v>
      </c>
      <c r="N117" s="51">
        <f>VLOOKUP($A117,'Data Vlaue (Cr)'!$C:$FB,64)</f>
        <v>110</v>
      </c>
      <c r="O117" s="51">
        <f>VLOOKUP($A117,'Data Vlaue (Cr)'!$C:$FB,66)*100</f>
        <v>340.09999999999997</v>
      </c>
    </row>
    <row r="118" spans="1:15" x14ac:dyDescent="0.25">
      <c r="A118" s="101" t="str">
        <f>'Data Vlaue (Cr)'!C113</f>
        <v>KFINTECH</v>
      </c>
      <c r="B118" s="50">
        <f>VLOOKUP($A118,'Data Vlaue (Cr)'!$C:$FB,8)</f>
        <v>1031.3</v>
      </c>
      <c r="C118" s="50">
        <f>VLOOKUP($A118,'Data Vlaue (Cr)'!$C:$FB,11)*100</f>
        <v>-0.31</v>
      </c>
      <c r="D118" s="50">
        <f>VLOOKUP($A118,'Data Vlaue (Cr)'!$C:$FB,143)</f>
        <v>258.89</v>
      </c>
      <c r="E118" s="50">
        <f>VLOOKUP($A118,'Data Vlaue (Cr)'!$C:$FB,144)</f>
        <v>370.46</v>
      </c>
      <c r="F118" s="50">
        <f>VLOOKUP($A118,'Data Vlaue (Cr)'!$C:$FB,146)*100</f>
        <v>-30.12</v>
      </c>
      <c r="G118" s="49">
        <f>VLOOKUP($A118,'Data Vlaue (Cr)'!$C:$FB,43)</f>
        <v>64</v>
      </c>
      <c r="H118" s="49">
        <f>VLOOKUP($A118,'Data Vlaue (Cr)'!$C:$FB,44)</f>
        <v>53</v>
      </c>
      <c r="I118" s="49">
        <f>VLOOKUP($A118,'Data Vlaue (Cr)'!$C:$FB,46)*100</f>
        <v>19.950000000000003</v>
      </c>
      <c r="J118" s="51">
        <f>VLOOKUP($A118,'Data Vlaue (Cr)'!$C:$FB,59)</f>
        <v>127</v>
      </c>
      <c r="K118" s="51">
        <f>VLOOKUP($A118,'Data Vlaue (Cr)'!$C:$FB,60)</f>
        <v>203</v>
      </c>
      <c r="L118" s="51">
        <f>VLOOKUP($A118,'Data Vlaue (Cr)'!$C:$FB,62)*100</f>
        <v>-37.75</v>
      </c>
      <c r="M118" s="51">
        <f>VLOOKUP($A118,'Data Vlaue (Cr)'!$C:$FB,63)</f>
        <v>60</v>
      </c>
      <c r="N118" s="51">
        <f>VLOOKUP($A118,'Data Vlaue (Cr)'!$C:$FB,64)</f>
        <v>97</v>
      </c>
      <c r="O118" s="51">
        <f>VLOOKUP($A118,'Data Vlaue (Cr)'!$C:$FB,66)*100</f>
        <v>-38.71</v>
      </c>
    </row>
    <row r="119" spans="1:15" x14ac:dyDescent="0.25">
      <c r="A119" s="101" t="str">
        <f>'Data Vlaue (Cr)'!C114</f>
        <v>KOTAKBANK</v>
      </c>
      <c r="B119" s="50">
        <f>VLOOKUP($A119,'Data Vlaue (Cr)'!$C:$FB,8)</f>
        <v>2173.1999999999998</v>
      </c>
      <c r="C119" s="50">
        <f>VLOOKUP($A119,'Data Vlaue (Cr)'!$C:$FB,11)*100</f>
        <v>-0.42</v>
      </c>
      <c r="D119" s="50">
        <f>VLOOKUP($A119,'Data Vlaue (Cr)'!$C:$FB,143)</f>
        <v>3663.12</v>
      </c>
      <c r="E119" s="50">
        <f>VLOOKUP($A119,'Data Vlaue (Cr)'!$C:$FB,144)</f>
        <v>4936.8</v>
      </c>
      <c r="F119" s="50">
        <f>VLOOKUP($A119,'Data Vlaue (Cr)'!$C:$FB,146)*100</f>
        <v>-25.8</v>
      </c>
      <c r="G119" s="49">
        <f>VLOOKUP($A119,'Data Vlaue (Cr)'!$C:$FB,43)</f>
        <v>968</v>
      </c>
      <c r="H119" s="49">
        <f>VLOOKUP($A119,'Data Vlaue (Cr)'!$C:$FB,44)</f>
        <v>751</v>
      </c>
      <c r="I119" s="49">
        <f>VLOOKUP($A119,'Data Vlaue (Cr)'!$C:$FB,46)*100</f>
        <v>28.83</v>
      </c>
      <c r="J119" s="51">
        <f>VLOOKUP($A119,'Data Vlaue (Cr)'!$C:$FB,59)</f>
        <v>1604</v>
      </c>
      <c r="K119" s="51">
        <f>VLOOKUP($A119,'Data Vlaue (Cr)'!$C:$FB,60)</f>
        <v>2727</v>
      </c>
      <c r="L119" s="51">
        <f>VLOOKUP($A119,'Data Vlaue (Cr)'!$C:$FB,62)*100</f>
        <v>-41.17</v>
      </c>
      <c r="M119" s="51">
        <f>VLOOKUP($A119,'Data Vlaue (Cr)'!$C:$FB,63)</f>
        <v>1051</v>
      </c>
      <c r="N119" s="51">
        <f>VLOOKUP($A119,'Data Vlaue (Cr)'!$C:$FB,64)</f>
        <v>1379</v>
      </c>
      <c r="O119" s="51">
        <f>VLOOKUP($A119,'Data Vlaue (Cr)'!$C:$FB,66)*100</f>
        <v>-23.810000000000002</v>
      </c>
    </row>
    <row r="120" spans="1:15" x14ac:dyDescent="0.25">
      <c r="A120" s="101" t="str">
        <f>'Data Vlaue (Cr)'!C115</f>
        <v>KPITTECH</v>
      </c>
      <c r="B120" s="50">
        <f>VLOOKUP($A120,'Data Vlaue (Cr)'!$C:$FB,8)</f>
        <v>1168.9000000000001</v>
      </c>
      <c r="C120" s="50">
        <f>VLOOKUP($A120,'Data Vlaue (Cr)'!$C:$FB,11)*100</f>
        <v>-0.63</v>
      </c>
      <c r="D120" s="50">
        <f>VLOOKUP($A120,'Data Vlaue (Cr)'!$C:$FB,143)</f>
        <v>359.26</v>
      </c>
      <c r="E120" s="50">
        <f>VLOOKUP($A120,'Data Vlaue (Cr)'!$C:$FB,144)</f>
        <v>1098.6500000000001</v>
      </c>
      <c r="F120" s="50">
        <f>VLOOKUP($A120,'Data Vlaue (Cr)'!$C:$FB,146)*100</f>
        <v>-67.300000000000011</v>
      </c>
      <c r="G120" s="49">
        <f>VLOOKUP($A120,'Data Vlaue (Cr)'!$C:$FB,43)</f>
        <v>58</v>
      </c>
      <c r="H120" s="49">
        <f>VLOOKUP($A120,'Data Vlaue (Cr)'!$C:$FB,44)</f>
        <v>203</v>
      </c>
      <c r="I120" s="49">
        <f>VLOOKUP($A120,'Data Vlaue (Cr)'!$C:$FB,46)*100</f>
        <v>-71.19</v>
      </c>
      <c r="J120" s="51">
        <f>VLOOKUP($A120,'Data Vlaue (Cr)'!$C:$FB,59)</f>
        <v>175</v>
      </c>
      <c r="K120" s="51">
        <f>VLOOKUP($A120,'Data Vlaue (Cr)'!$C:$FB,60)</f>
        <v>528</v>
      </c>
      <c r="L120" s="51">
        <f>VLOOKUP($A120,'Data Vlaue (Cr)'!$C:$FB,62)*100</f>
        <v>-66.84</v>
      </c>
      <c r="M120" s="51">
        <f>VLOOKUP($A120,'Data Vlaue (Cr)'!$C:$FB,63)</f>
        <v>115</v>
      </c>
      <c r="N120" s="51">
        <f>VLOOKUP($A120,'Data Vlaue (Cr)'!$C:$FB,64)</f>
        <v>323</v>
      </c>
      <c r="O120" s="51">
        <f>VLOOKUP($A120,'Data Vlaue (Cr)'!$C:$FB,66)*100</f>
        <v>-64.41</v>
      </c>
    </row>
    <row r="121" spans="1:15" x14ac:dyDescent="0.25">
      <c r="A121" s="101" t="str">
        <f>'Data Vlaue (Cr)'!C116</f>
        <v>LAURUSLABS</v>
      </c>
      <c r="B121" s="50">
        <f>VLOOKUP($A121,'Data Vlaue (Cr)'!$C:$FB,8)</f>
        <v>1010</v>
      </c>
      <c r="C121" s="50">
        <f>VLOOKUP($A121,'Data Vlaue (Cr)'!$C:$FB,11)*100</f>
        <v>0.86999999999999988</v>
      </c>
      <c r="D121" s="50">
        <f>VLOOKUP($A121,'Data Vlaue (Cr)'!$C:$FB,143)</f>
        <v>1404.8</v>
      </c>
      <c r="E121" s="50">
        <f>VLOOKUP($A121,'Data Vlaue (Cr)'!$C:$FB,144)</f>
        <v>1176.21</v>
      </c>
      <c r="F121" s="50">
        <f>VLOOKUP($A121,'Data Vlaue (Cr)'!$C:$FB,146)*100</f>
        <v>19.43</v>
      </c>
      <c r="G121" s="49">
        <f>VLOOKUP($A121,'Data Vlaue (Cr)'!$C:$FB,43)</f>
        <v>256</v>
      </c>
      <c r="H121" s="49">
        <f>VLOOKUP($A121,'Data Vlaue (Cr)'!$C:$FB,44)</f>
        <v>211</v>
      </c>
      <c r="I121" s="49">
        <f>VLOOKUP($A121,'Data Vlaue (Cr)'!$C:$FB,46)*100</f>
        <v>21.279999999999998</v>
      </c>
      <c r="J121" s="51">
        <f>VLOOKUP($A121,'Data Vlaue (Cr)'!$C:$FB,59)</f>
        <v>811</v>
      </c>
      <c r="K121" s="51">
        <f>VLOOKUP($A121,'Data Vlaue (Cr)'!$C:$FB,60)</f>
        <v>673</v>
      </c>
      <c r="L121" s="51">
        <f>VLOOKUP($A121,'Data Vlaue (Cr)'!$C:$FB,62)*100</f>
        <v>20.52</v>
      </c>
      <c r="M121" s="51">
        <f>VLOOKUP($A121,'Data Vlaue (Cr)'!$C:$FB,63)</f>
        <v>311</v>
      </c>
      <c r="N121" s="51">
        <f>VLOOKUP($A121,'Data Vlaue (Cr)'!$C:$FB,64)</f>
        <v>273</v>
      </c>
      <c r="O121" s="51">
        <f>VLOOKUP($A121,'Data Vlaue (Cr)'!$C:$FB,66)*100</f>
        <v>13.669999999999998</v>
      </c>
    </row>
    <row r="122" spans="1:15" x14ac:dyDescent="0.25">
      <c r="A122" s="101" t="str">
        <f>'Data Vlaue (Cr)'!C117</f>
        <v>LICHSGFIN</v>
      </c>
      <c r="B122" s="50">
        <f>VLOOKUP($A122,'Data Vlaue (Cr)'!$C:$FB,8)</f>
        <v>524.79999999999995</v>
      </c>
      <c r="C122" s="50">
        <f>VLOOKUP($A122,'Data Vlaue (Cr)'!$C:$FB,11)*100</f>
        <v>-0.19</v>
      </c>
      <c r="D122" s="50">
        <f>VLOOKUP($A122,'Data Vlaue (Cr)'!$C:$FB,143)</f>
        <v>492.46</v>
      </c>
      <c r="E122" s="50">
        <f>VLOOKUP($A122,'Data Vlaue (Cr)'!$C:$FB,144)</f>
        <v>582.25</v>
      </c>
      <c r="F122" s="50">
        <f>VLOOKUP($A122,'Data Vlaue (Cr)'!$C:$FB,146)*100</f>
        <v>-15.42</v>
      </c>
      <c r="G122" s="49">
        <f>VLOOKUP($A122,'Data Vlaue (Cr)'!$C:$FB,43)</f>
        <v>102</v>
      </c>
      <c r="H122" s="49">
        <f>VLOOKUP($A122,'Data Vlaue (Cr)'!$C:$FB,44)</f>
        <v>146</v>
      </c>
      <c r="I122" s="49">
        <f>VLOOKUP($A122,'Data Vlaue (Cr)'!$C:$FB,46)*100</f>
        <v>-30.330000000000002</v>
      </c>
      <c r="J122" s="51">
        <f>VLOOKUP($A122,'Data Vlaue (Cr)'!$C:$FB,59)</f>
        <v>286</v>
      </c>
      <c r="K122" s="51">
        <f>VLOOKUP($A122,'Data Vlaue (Cr)'!$C:$FB,60)</f>
        <v>335</v>
      </c>
      <c r="L122" s="51">
        <f>VLOOKUP($A122,'Data Vlaue (Cr)'!$C:$FB,62)*100</f>
        <v>-14.540000000000001</v>
      </c>
      <c r="M122" s="51">
        <f>VLOOKUP($A122,'Data Vlaue (Cr)'!$C:$FB,63)</f>
        <v>92</v>
      </c>
      <c r="N122" s="51">
        <f>VLOOKUP($A122,'Data Vlaue (Cr)'!$C:$FB,64)</f>
        <v>83</v>
      </c>
      <c r="O122" s="51">
        <f>VLOOKUP($A122,'Data Vlaue (Cr)'!$C:$FB,66)*100</f>
        <v>10.51</v>
      </c>
    </row>
    <row r="123" spans="1:15" x14ac:dyDescent="0.25">
      <c r="A123" s="101" t="str">
        <f>'Data Vlaue (Cr)'!C118</f>
        <v>LICI</v>
      </c>
      <c r="B123" s="50">
        <f>VLOOKUP($A123,'Data Vlaue (Cr)'!$C:$FB,8)</f>
        <v>844.55</v>
      </c>
      <c r="C123" s="50">
        <f>VLOOKUP($A123,'Data Vlaue (Cr)'!$C:$FB,11)*100</f>
        <v>-1.1599999999999999</v>
      </c>
      <c r="D123" s="50">
        <f>VLOOKUP($A123,'Data Vlaue (Cr)'!$C:$FB,143)</f>
        <v>779.64</v>
      </c>
      <c r="E123" s="50">
        <f>VLOOKUP($A123,'Data Vlaue (Cr)'!$C:$FB,144)</f>
        <v>1016.01</v>
      </c>
      <c r="F123" s="50">
        <f>VLOOKUP($A123,'Data Vlaue (Cr)'!$C:$FB,146)*100</f>
        <v>-23.26</v>
      </c>
      <c r="G123" s="49">
        <f>VLOOKUP($A123,'Data Vlaue (Cr)'!$C:$FB,43)</f>
        <v>125</v>
      </c>
      <c r="H123" s="49">
        <f>VLOOKUP($A123,'Data Vlaue (Cr)'!$C:$FB,44)</f>
        <v>193</v>
      </c>
      <c r="I123" s="49">
        <f>VLOOKUP($A123,'Data Vlaue (Cr)'!$C:$FB,46)*100</f>
        <v>-35.19</v>
      </c>
      <c r="J123" s="51">
        <f>VLOOKUP($A123,'Data Vlaue (Cr)'!$C:$FB,59)</f>
        <v>432</v>
      </c>
      <c r="K123" s="51">
        <f>VLOOKUP($A123,'Data Vlaue (Cr)'!$C:$FB,60)</f>
        <v>594</v>
      </c>
      <c r="L123" s="51">
        <f>VLOOKUP($A123,'Data Vlaue (Cr)'!$C:$FB,62)*100</f>
        <v>-27.33</v>
      </c>
      <c r="M123" s="51">
        <f>VLOOKUP($A123,'Data Vlaue (Cr)'!$C:$FB,63)</f>
        <v>201</v>
      </c>
      <c r="N123" s="51">
        <f>VLOOKUP($A123,'Data Vlaue (Cr)'!$C:$FB,64)</f>
        <v>196</v>
      </c>
      <c r="O123" s="51">
        <f>VLOOKUP($A123,'Data Vlaue (Cr)'!$C:$FB,66)*100</f>
        <v>2.6599999999999997</v>
      </c>
    </row>
    <row r="124" spans="1:15" x14ac:dyDescent="0.25">
      <c r="A124" s="101" t="str">
        <f>'Data Vlaue (Cr)'!C119</f>
        <v>LODHA</v>
      </c>
      <c r="B124" s="50">
        <f>VLOOKUP($A124,'Data Vlaue (Cr)'!$C:$FB,8)</f>
        <v>1063.8</v>
      </c>
      <c r="C124" s="50">
        <f>VLOOKUP($A124,'Data Vlaue (Cr)'!$C:$FB,11)*100</f>
        <v>-1.08</v>
      </c>
      <c r="D124" s="50">
        <f>VLOOKUP($A124,'Data Vlaue (Cr)'!$C:$FB,143)</f>
        <v>1250.1500000000001</v>
      </c>
      <c r="E124" s="50">
        <f>VLOOKUP($A124,'Data Vlaue (Cr)'!$C:$FB,144)</f>
        <v>531.39</v>
      </c>
      <c r="F124" s="50">
        <f>VLOOKUP($A124,'Data Vlaue (Cr)'!$C:$FB,146)*100</f>
        <v>135.26</v>
      </c>
      <c r="G124" s="49">
        <f>VLOOKUP($A124,'Data Vlaue (Cr)'!$C:$FB,43)</f>
        <v>222</v>
      </c>
      <c r="H124" s="49">
        <f>VLOOKUP($A124,'Data Vlaue (Cr)'!$C:$FB,44)</f>
        <v>83</v>
      </c>
      <c r="I124" s="49">
        <f>VLOOKUP($A124,'Data Vlaue (Cr)'!$C:$FB,46)*100</f>
        <v>168.74</v>
      </c>
      <c r="J124" s="51">
        <f>VLOOKUP($A124,'Data Vlaue (Cr)'!$C:$FB,59)</f>
        <v>734</v>
      </c>
      <c r="K124" s="51">
        <f>VLOOKUP($A124,'Data Vlaue (Cr)'!$C:$FB,60)</f>
        <v>312</v>
      </c>
      <c r="L124" s="51">
        <f>VLOOKUP($A124,'Data Vlaue (Cr)'!$C:$FB,62)*100</f>
        <v>135.31</v>
      </c>
      <c r="M124" s="51">
        <f>VLOOKUP($A124,'Data Vlaue (Cr)'!$C:$FB,63)</f>
        <v>243</v>
      </c>
      <c r="N124" s="51">
        <f>VLOOKUP($A124,'Data Vlaue (Cr)'!$C:$FB,64)</f>
        <v>107</v>
      </c>
      <c r="O124" s="51">
        <f>VLOOKUP($A124,'Data Vlaue (Cr)'!$C:$FB,66)*100</f>
        <v>126.44</v>
      </c>
    </row>
    <row r="125" spans="1:15" x14ac:dyDescent="0.25">
      <c r="A125" s="101" t="str">
        <f>'Data Vlaue (Cr)'!C120</f>
        <v>LT</v>
      </c>
      <c r="B125" s="50">
        <f>VLOOKUP($A125,'Data Vlaue (Cr)'!$C:$FB,8)</f>
        <v>4062.4</v>
      </c>
      <c r="C125" s="50">
        <f>VLOOKUP($A125,'Data Vlaue (Cr)'!$C:$FB,11)*100</f>
        <v>-0.03</v>
      </c>
      <c r="D125" s="50">
        <f>VLOOKUP($A125,'Data Vlaue (Cr)'!$C:$FB,143)</f>
        <v>2788.65</v>
      </c>
      <c r="E125" s="50">
        <f>VLOOKUP($A125,'Data Vlaue (Cr)'!$C:$FB,144)</f>
        <v>2985.9</v>
      </c>
      <c r="F125" s="50">
        <f>VLOOKUP($A125,'Data Vlaue (Cr)'!$C:$FB,146)*100</f>
        <v>-6.61</v>
      </c>
      <c r="G125" s="49">
        <f>VLOOKUP($A125,'Data Vlaue (Cr)'!$C:$FB,43)</f>
        <v>412</v>
      </c>
      <c r="H125" s="49">
        <f>VLOOKUP($A125,'Data Vlaue (Cr)'!$C:$FB,44)</f>
        <v>616</v>
      </c>
      <c r="I125" s="49">
        <f>VLOOKUP($A125,'Data Vlaue (Cr)'!$C:$FB,46)*100</f>
        <v>-33.14</v>
      </c>
      <c r="J125" s="51">
        <f>VLOOKUP($A125,'Data Vlaue (Cr)'!$C:$FB,59)</f>
        <v>1402</v>
      </c>
      <c r="K125" s="51">
        <f>VLOOKUP($A125,'Data Vlaue (Cr)'!$C:$FB,60)</f>
        <v>1444</v>
      </c>
      <c r="L125" s="51">
        <f>VLOOKUP($A125,'Data Vlaue (Cr)'!$C:$FB,62)*100</f>
        <v>-2.91</v>
      </c>
      <c r="M125" s="51">
        <f>VLOOKUP($A125,'Data Vlaue (Cr)'!$C:$FB,63)</f>
        <v>952</v>
      </c>
      <c r="N125" s="51">
        <f>VLOOKUP($A125,'Data Vlaue (Cr)'!$C:$FB,64)</f>
        <v>894</v>
      </c>
      <c r="O125" s="51">
        <f>VLOOKUP($A125,'Data Vlaue (Cr)'!$C:$FB,66)*100</f>
        <v>6.47</v>
      </c>
    </row>
    <row r="126" spans="1:15" x14ac:dyDescent="0.25">
      <c r="A126" s="101" t="str">
        <f>'Data Vlaue (Cr)'!C121</f>
        <v>LTF</v>
      </c>
      <c r="B126" s="50">
        <f>VLOOKUP($A126,'Data Vlaue (Cr)'!$C:$FB,8)</f>
        <v>301.89999999999998</v>
      </c>
      <c r="C126" s="50">
        <f>VLOOKUP($A126,'Data Vlaue (Cr)'!$C:$FB,11)*100</f>
        <v>0.37</v>
      </c>
      <c r="D126" s="50">
        <f>VLOOKUP($A126,'Data Vlaue (Cr)'!$C:$FB,143)</f>
        <v>1949.57</v>
      </c>
      <c r="E126" s="50">
        <f>VLOOKUP($A126,'Data Vlaue (Cr)'!$C:$FB,144)</f>
        <v>1594.46</v>
      </c>
      <c r="F126" s="50">
        <f>VLOOKUP($A126,'Data Vlaue (Cr)'!$C:$FB,146)*100</f>
        <v>22.27</v>
      </c>
      <c r="G126" s="49">
        <f>VLOOKUP($A126,'Data Vlaue (Cr)'!$C:$FB,43)</f>
        <v>362</v>
      </c>
      <c r="H126" s="49">
        <f>VLOOKUP($A126,'Data Vlaue (Cr)'!$C:$FB,44)</f>
        <v>265</v>
      </c>
      <c r="I126" s="49">
        <f>VLOOKUP($A126,'Data Vlaue (Cr)'!$C:$FB,46)*100</f>
        <v>36.480000000000004</v>
      </c>
      <c r="J126" s="51">
        <f>VLOOKUP($A126,'Data Vlaue (Cr)'!$C:$FB,59)</f>
        <v>1100</v>
      </c>
      <c r="K126" s="51">
        <f>VLOOKUP($A126,'Data Vlaue (Cr)'!$C:$FB,60)</f>
        <v>994</v>
      </c>
      <c r="L126" s="51">
        <f>VLOOKUP($A126,'Data Vlaue (Cr)'!$C:$FB,62)*100</f>
        <v>10.74</v>
      </c>
      <c r="M126" s="51">
        <f>VLOOKUP($A126,'Data Vlaue (Cr)'!$C:$FB,63)</f>
        <v>512</v>
      </c>
      <c r="N126" s="51">
        <f>VLOOKUP($A126,'Data Vlaue (Cr)'!$C:$FB,64)</f>
        <v>321</v>
      </c>
      <c r="O126" s="51">
        <f>VLOOKUP($A126,'Data Vlaue (Cr)'!$C:$FB,66)*100</f>
        <v>59.19</v>
      </c>
    </row>
    <row r="127" spans="1:15" x14ac:dyDescent="0.25">
      <c r="A127" s="101" t="str">
        <f>'Data Vlaue (Cr)'!C122</f>
        <v>LTIM</v>
      </c>
      <c r="B127" s="50">
        <f>VLOOKUP($A127,'Data Vlaue (Cr)'!$C:$FB,8)</f>
        <v>6252.5</v>
      </c>
      <c r="C127" s="50">
        <f>VLOOKUP($A127,'Data Vlaue (Cr)'!$C:$FB,11)*100</f>
        <v>0.59</v>
      </c>
      <c r="D127" s="50">
        <f>VLOOKUP($A127,'Data Vlaue (Cr)'!$C:$FB,143)</f>
        <v>1660.93</v>
      </c>
      <c r="E127" s="50">
        <f>VLOOKUP($A127,'Data Vlaue (Cr)'!$C:$FB,144)</f>
        <v>1028.8900000000001</v>
      </c>
      <c r="F127" s="50">
        <f>VLOOKUP($A127,'Data Vlaue (Cr)'!$C:$FB,146)*100</f>
        <v>61.429999999999993</v>
      </c>
      <c r="G127" s="49">
        <f>VLOOKUP($A127,'Data Vlaue (Cr)'!$C:$FB,43)</f>
        <v>257</v>
      </c>
      <c r="H127" s="49">
        <f>VLOOKUP($A127,'Data Vlaue (Cr)'!$C:$FB,44)</f>
        <v>252</v>
      </c>
      <c r="I127" s="49">
        <f>VLOOKUP($A127,'Data Vlaue (Cr)'!$C:$FB,46)*100</f>
        <v>1.87</v>
      </c>
      <c r="J127" s="51">
        <f>VLOOKUP($A127,'Data Vlaue (Cr)'!$C:$FB,59)</f>
        <v>1052</v>
      </c>
      <c r="K127" s="51">
        <f>VLOOKUP($A127,'Data Vlaue (Cr)'!$C:$FB,60)</f>
        <v>443</v>
      </c>
      <c r="L127" s="51">
        <f>VLOOKUP($A127,'Data Vlaue (Cr)'!$C:$FB,62)*100</f>
        <v>137.57</v>
      </c>
      <c r="M127" s="51">
        <f>VLOOKUP($A127,'Data Vlaue (Cr)'!$C:$FB,63)</f>
        <v>329</v>
      </c>
      <c r="N127" s="51">
        <f>VLOOKUP($A127,'Data Vlaue (Cr)'!$C:$FB,64)</f>
        <v>325</v>
      </c>
      <c r="O127" s="51">
        <f>VLOOKUP($A127,'Data Vlaue (Cr)'!$C:$FB,66)*100</f>
        <v>1.1900000000000002</v>
      </c>
    </row>
    <row r="128" spans="1:15" x14ac:dyDescent="0.25">
      <c r="A128" s="101" t="str">
        <f>'Data Vlaue (Cr)'!C123</f>
        <v>LUPIN</v>
      </c>
      <c r="B128" s="50">
        <f>VLOOKUP($A128,'Data Vlaue (Cr)'!$C:$FB,8)</f>
        <v>2113.1</v>
      </c>
      <c r="C128" s="50">
        <f>VLOOKUP($A128,'Data Vlaue (Cr)'!$C:$FB,11)*100</f>
        <v>1.08</v>
      </c>
      <c r="D128" s="50">
        <f>VLOOKUP($A128,'Data Vlaue (Cr)'!$C:$FB,143)</f>
        <v>1973.49</v>
      </c>
      <c r="E128" s="50">
        <f>VLOOKUP($A128,'Data Vlaue (Cr)'!$C:$FB,144)</f>
        <v>735.18</v>
      </c>
      <c r="F128" s="50">
        <f>VLOOKUP($A128,'Data Vlaue (Cr)'!$C:$FB,146)*100</f>
        <v>168.44</v>
      </c>
      <c r="G128" s="49">
        <f>VLOOKUP($A128,'Data Vlaue (Cr)'!$C:$FB,43)</f>
        <v>285</v>
      </c>
      <c r="H128" s="49">
        <f>VLOOKUP($A128,'Data Vlaue (Cr)'!$C:$FB,44)</f>
        <v>166</v>
      </c>
      <c r="I128" s="49">
        <f>VLOOKUP($A128,'Data Vlaue (Cr)'!$C:$FB,46)*100</f>
        <v>72.070000000000007</v>
      </c>
      <c r="J128" s="51">
        <f>VLOOKUP($A128,'Data Vlaue (Cr)'!$C:$FB,59)</f>
        <v>1275</v>
      </c>
      <c r="K128" s="51">
        <f>VLOOKUP($A128,'Data Vlaue (Cr)'!$C:$FB,60)</f>
        <v>412</v>
      </c>
      <c r="L128" s="51">
        <f>VLOOKUP($A128,'Data Vlaue (Cr)'!$C:$FB,62)*100</f>
        <v>209.17</v>
      </c>
      <c r="M128" s="51">
        <f>VLOOKUP($A128,'Data Vlaue (Cr)'!$C:$FB,63)</f>
        <v>388</v>
      </c>
      <c r="N128" s="51">
        <f>VLOOKUP($A128,'Data Vlaue (Cr)'!$C:$FB,64)</f>
        <v>154</v>
      </c>
      <c r="O128" s="51">
        <f>VLOOKUP($A128,'Data Vlaue (Cr)'!$C:$FB,66)*100</f>
        <v>152.19</v>
      </c>
    </row>
    <row r="129" spans="1:15" x14ac:dyDescent="0.25">
      <c r="A129" s="101" t="str">
        <f>'Data Vlaue (Cr)'!C124</f>
        <v>M&amp;M</v>
      </c>
      <c r="B129" s="50">
        <f>VLOOKUP($A129,'Data Vlaue (Cr)'!$C:$FB,8)</f>
        <v>3612.8</v>
      </c>
      <c r="C129" s="50">
        <f>VLOOKUP($A129,'Data Vlaue (Cr)'!$C:$FB,11)*100</f>
        <v>-0.22999999999999998</v>
      </c>
      <c r="D129" s="50">
        <f>VLOOKUP($A129,'Data Vlaue (Cr)'!$C:$FB,143)</f>
        <v>3146.22</v>
      </c>
      <c r="E129" s="50">
        <f>VLOOKUP($A129,'Data Vlaue (Cr)'!$C:$FB,144)</f>
        <v>3948.94</v>
      </c>
      <c r="F129" s="50">
        <f>VLOOKUP($A129,'Data Vlaue (Cr)'!$C:$FB,146)*100</f>
        <v>-20.330000000000002</v>
      </c>
      <c r="G129" s="49">
        <f>VLOOKUP($A129,'Data Vlaue (Cr)'!$C:$FB,43)</f>
        <v>543</v>
      </c>
      <c r="H129" s="49">
        <f>VLOOKUP($A129,'Data Vlaue (Cr)'!$C:$FB,44)</f>
        <v>691</v>
      </c>
      <c r="I129" s="49">
        <f>VLOOKUP($A129,'Data Vlaue (Cr)'!$C:$FB,46)*100</f>
        <v>-21.42</v>
      </c>
      <c r="J129" s="51">
        <f>VLOOKUP($A129,'Data Vlaue (Cr)'!$C:$FB,59)</f>
        <v>1683</v>
      </c>
      <c r="K129" s="51">
        <f>VLOOKUP($A129,'Data Vlaue (Cr)'!$C:$FB,60)</f>
        <v>2166</v>
      </c>
      <c r="L129" s="51">
        <f>VLOOKUP($A129,'Data Vlaue (Cr)'!$C:$FB,62)*100</f>
        <v>-22.29</v>
      </c>
      <c r="M129" s="51">
        <f>VLOOKUP($A129,'Data Vlaue (Cr)'!$C:$FB,63)</f>
        <v>862</v>
      </c>
      <c r="N129" s="51">
        <f>VLOOKUP($A129,'Data Vlaue (Cr)'!$C:$FB,64)</f>
        <v>1017</v>
      </c>
      <c r="O129" s="51">
        <f>VLOOKUP($A129,'Data Vlaue (Cr)'!$C:$FB,66)*100</f>
        <v>-15.32</v>
      </c>
    </row>
    <row r="130" spans="1:15" x14ac:dyDescent="0.25">
      <c r="A130" s="101" t="str">
        <f>'Data Vlaue (Cr)'!C125</f>
        <v>MANAPPURAM</v>
      </c>
      <c r="B130" s="50">
        <f>VLOOKUP($A130,'Data Vlaue (Cr)'!$C:$FB,8)</f>
        <v>286.25</v>
      </c>
      <c r="C130" s="50">
        <f>VLOOKUP($A130,'Data Vlaue (Cr)'!$C:$FB,11)*100</f>
        <v>0.97</v>
      </c>
      <c r="D130" s="50">
        <f>VLOOKUP($A130,'Data Vlaue (Cr)'!$C:$FB,143)</f>
        <v>771.23</v>
      </c>
      <c r="E130" s="50">
        <f>VLOOKUP($A130,'Data Vlaue (Cr)'!$C:$FB,144)</f>
        <v>478.09</v>
      </c>
      <c r="F130" s="50">
        <f>VLOOKUP($A130,'Data Vlaue (Cr)'!$C:$FB,146)*100</f>
        <v>61.309999999999995</v>
      </c>
      <c r="G130" s="49">
        <f>VLOOKUP($A130,'Data Vlaue (Cr)'!$C:$FB,43)</f>
        <v>220</v>
      </c>
      <c r="H130" s="49">
        <f>VLOOKUP($A130,'Data Vlaue (Cr)'!$C:$FB,44)</f>
        <v>132</v>
      </c>
      <c r="I130" s="49">
        <f>VLOOKUP($A130,'Data Vlaue (Cr)'!$C:$FB,46)*100</f>
        <v>66.17</v>
      </c>
      <c r="J130" s="51">
        <f>VLOOKUP($A130,'Data Vlaue (Cr)'!$C:$FB,59)</f>
        <v>388</v>
      </c>
      <c r="K130" s="51">
        <f>VLOOKUP($A130,'Data Vlaue (Cr)'!$C:$FB,60)</f>
        <v>230</v>
      </c>
      <c r="L130" s="51">
        <f>VLOOKUP($A130,'Data Vlaue (Cr)'!$C:$FB,62)*100</f>
        <v>68.62</v>
      </c>
      <c r="M130" s="51">
        <f>VLOOKUP($A130,'Data Vlaue (Cr)'!$C:$FB,63)</f>
        <v>154</v>
      </c>
      <c r="N130" s="51">
        <f>VLOOKUP($A130,'Data Vlaue (Cr)'!$C:$FB,64)</f>
        <v>112</v>
      </c>
      <c r="O130" s="51">
        <f>VLOOKUP($A130,'Data Vlaue (Cr)'!$C:$FB,66)*100</f>
        <v>38.019999999999996</v>
      </c>
    </row>
    <row r="131" spans="1:15" x14ac:dyDescent="0.25">
      <c r="A131" s="101" t="str">
        <f>'Data Vlaue (Cr)'!C126</f>
        <v>MANKIND</v>
      </c>
      <c r="B131" s="50">
        <f>VLOOKUP($A131,'Data Vlaue (Cr)'!$C:$FB,8)</f>
        <v>2111.1999999999998</v>
      </c>
      <c r="C131" s="50">
        <f>VLOOKUP($A131,'Data Vlaue (Cr)'!$C:$FB,11)*100</f>
        <v>0.25</v>
      </c>
      <c r="D131" s="50">
        <f>VLOOKUP($A131,'Data Vlaue (Cr)'!$C:$FB,143)</f>
        <v>383.78</v>
      </c>
      <c r="E131" s="50">
        <f>VLOOKUP($A131,'Data Vlaue (Cr)'!$C:$FB,144)</f>
        <v>413.68</v>
      </c>
      <c r="F131" s="50">
        <f>VLOOKUP($A131,'Data Vlaue (Cr)'!$C:$FB,146)*100</f>
        <v>-7.23</v>
      </c>
      <c r="G131" s="49">
        <f>VLOOKUP($A131,'Data Vlaue (Cr)'!$C:$FB,43)</f>
        <v>60</v>
      </c>
      <c r="H131" s="49">
        <f>VLOOKUP($A131,'Data Vlaue (Cr)'!$C:$FB,44)</f>
        <v>105</v>
      </c>
      <c r="I131" s="49">
        <f>VLOOKUP($A131,'Data Vlaue (Cr)'!$C:$FB,46)*100</f>
        <v>-43.419999999999995</v>
      </c>
      <c r="J131" s="51">
        <f>VLOOKUP($A131,'Data Vlaue (Cr)'!$C:$FB,59)</f>
        <v>212</v>
      </c>
      <c r="K131" s="51">
        <f>VLOOKUP($A131,'Data Vlaue (Cr)'!$C:$FB,60)</f>
        <v>198</v>
      </c>
      <c r="L131" s="51">
        <f>VLOOKUP($A131,'Data Vlaue (Cr)'!$C:$FB,62)*100</f>
        <v>7.06</v>
      </c>
      <c r="M131" s="51">
        <f>VLOOKUP($A131,'Data Vlaue (Cr)'!$C:$FB,63)</f>
        <v>102</v>
      </c>
      <c r="N131" s="51">
        <f>VLOOKUP($A131,'Data Vlaue (Cr)'!$C:$FB,64)</f>
        <v>96</v>
      </c>
      <c r="O131" s="51">
        <f>VLOOKUP($A131,'Data Vlaue (Cr)'!$C:$FB,66)*100</f>
        <v>6.61</v>
      </c>
    </row>
    <row r="132" spans="1:15" x14ac:dyDescent="0.25">
      <c r="A132" s="101" t="str">
        <f>'Data Vlaue (Cr)'!C127</f>
        <v>MARICO</v>
      </c>
      <c r="B132" s="50">
        <f>VLOOKUP($A132,'Data Vlaue (Cr)'!$C:$FB,8)</f>
        <v>738.15</v>
      </c>
      <c r="C132" s="50">
        <f>VLOOKUP($A132,'Data Vlaue (Cr)'!$C:$FB,11)*100</f>
        <v>-0.09</v>
      </c>
      <c r="D132" s="50">
        <f>VLOOKUP($A132,'Data Vlaue (Cr)'!$C:$FB,143)</f>
        <v>556.55999999999995</v>
      </c>
      <c r="E132" s="50">
        <f>VLOOKUP($A132,'Data Vlaue (Cr)'!$C:$FB,144)</f>
        <v>2257.31</v>
      </c>
      <c r="F132" s="50">
        <f>VLOOKUP($A132,'Data Vlaue (Cr)'!$C:$FB,146)*100</f>
        <v>-75.339999999999989</v>
      </c>
      <c r="G132" s="49">
        <f>VLOOKUP($A132,'Data Vlaue (Cr)'!$C:$FB,43)</f>
        <v>81</v>
      </c>
      <c r="H132" s="49">
        <f>VLOOKUP($A132,'Data Vlaue (Cr)'!$C:$FB,44)</f>
        <v>210</v>
      </c>
      <c r="I132" s="49">
        <f>VLOOKUP($A132,'Data Vlaue (Cr)'!$C:$FB,46)*100</f>
        <v>-61.41</v>
      </c>
      <c r="J132" s="51">
        <f>VLOOKUP($A132,'Data Vlaue (Cr)'!$C:$FB,59)</f>
        <v>357</v>
      </c>
      <c r="K132" s="51">
        <f>VLOOKUP($A132,'Data Vlaue (Cr)'!$C:$FB,60)</f>
        <v>1553</v>
      </c>
      <c r="L132" s="51">
        <f>VLOOKUP($A132,'Data Vlaue (Cr)'!$C:$FB,62)*100</f>
        <v>-76.98</v>
      </c>
      <c r="M132" s="51">
        <f>VLOOKUP($A132,'Data Vlaue (Cr)'!$C:$FB,63)</f>
        <v>110</v>
      </c>
      <c r="N132" s="51">
        <f>VLOOKUP($A132,'Data Vlaue (Cr)'!$C:$FB,64)</f>
        <v>441</v>
      </c>
      <c r="O132" s="51">
        <f>VLOOKUP($A132,'Data Vlaue (Cr)'!$C:$FB,66)*100</f>
        <v>-75.149999999999991</v>
      </c>
    </row>
    <row r="133" spans="1:15" x14ac:dyDescent="0.25">
      <c r="A133" s="101" t="str">
        <f>'Data Vlaue (Cr)'!C128</f>
        <v>MARUTI</v>
      </c>
      <c r="B133" s="50">
        <f>VLOOKUP($A133,'Data Vlaue (Cr)'!$C:$FB,8)</f>
        <v>16398</v>
      </c>
      <c r="C133" s="50">
        <f>VLOOKUP($A133,'Data Vlaue (Cr)'!$C:$FB,11)*100</f>
        <v>0.27</v>
      </c>
      <c r="D133" s="50">
        <f>VLOOKUP($A133,'Data Vlaue (Cr)'!$C:$FB,143)</f>
        <v>6182.08</v>
      </c>
      <c r="E133" s="50">
        <f>VLOOKUP($A133,'Data Vlaue (Cr)'!$C:$FB,144)</f>
        <v>4899.2700000000004</v>
      </c>
      <c r="F133" s="50">
        <f>VLOOKUP($A133,'Data Vlaue (Cr)'!$C:$FB,146)*100</f>
        <v>26.179999999999996</v>
      </c>
      <c r="G133" s="49">
        <f>VLOOKUP($A133,'Data Vlaue (Cr)'!$C:$FB,43)</f>
        <v>429</v>
      </c>
      <c r="H133" s="49">
        <f>VLOOKUP($A133,'Data Vlaue (Cr)'!$C:$FB,44)</f>
        <v>487</v>
      </c>
      <c r="I133" s="49">
        <f>VLOOKUP($A133,'Data Vlaue (Cr)'!$C:$FB,46)*100</f>
        <v>-12.030000000000001</v>
      </c>
      <c r="J133" s="51">
        <f>VLOOKUP($A133,'Data Vlaue (Cr)'!$C:$FB,59)</f>
        <v>3224</v>
      </c>
      <c r="K133" s="51">
        <f>VLOOKUP($A133,'Data Vlaue (Cr)'!$C:$FB,60)</f>
        <v>2011</v>
      </c>
      <c r="L133" s="51">
        <f>VLOOKUP($A133,'Data Vlaue (Cr)'!$C:$FB,62)*100</f>
        <v>60.35</v>
      </c>
      <c r="M133" s="51">
        <f>VLOOKUP($A133,'Data Vlaue (Cr)'!$C:$FB,63)</f>
        <v>2490</v>
      </c>
      <c r="N133" s="51">
        <f>VLOOKUP($A133,'Data Vlaue (Cr)'!$C:$FB,64)</f>
        <v>2379</v>
      </c>
      <c r="O133" s="51">
        <f>VLOOKUP($A133,'Data Vlaue (Cr)'!$C:$FB,66)*100</f>
        <v>4.67</v>
      </c>
    </row>
    <row r="134" spans="1:15" x14ac:dyDescent="0.25">
      <c r="A134" s="101" t="str">
        <f>'Data Vlaue (Cr)'!C129</f>
        <v>MAXHEALTH</v>
      </c>
      <c r="B134" s="50">
        <f>VLOOKUP($A134,'Data Vlaue (Cr)'!$C:$FB,8)</f>
        <v>1031.0999999999999</v>
      </c>
      <c r="C134" s="50">
        <f>VLOOKUP($A134,'Data Vlaue (Cr)'!$C:$FB,11)*100</f>
        <v>-3.9</v>
      </c>
      <c r="D134" s="50">
        <f>VLOOKUP($A134,'Data Vlaue (Cr)'!$C:$FB,143)</f>
        <v>3941.48</v>
      </c>
      <c r="E134" s="50">
        <f>VLOOKUP($A134,'Data Vlaue (Cr)'!$C:$FB,144)</f>
        <v>610.42999999999995</v>
      </c>
      <c r="F134" s="50">
        <f>VLOOKUP($A134,'Data Vlaue (Cr)'!$C:$FB,146)*100</f>
        <v>545.69000000000005</v>
      </c>
      <c r="G134" s="49">
        <f>VLOOKUP($A134,'Data Vlaue (Cr)'!$C:$FB,43)</f>
        <v>383</v>
      </c>
      <c r="H134" s="49">
        <f>VLOOKUP($A134,'Data Vlaue (Cr)'!$C:$FB,44)</f>
        <v>124</v>
      </c>
      <c r="I134" s="49">
        <f>VLOOKUP($A134,'Data Vlaue (Cr)'!$C:$FB,46)*100</f>
        <v>207.91</v>
      </c>
      <c r="J134" s="51">
        <f>VLOOKUP($A134,'Data Vlaue (Cr)'!$C:$FB,59)</f>
        <v>1492</v>
      </c>
      <c r="K134" s="51">
        <f>VLOOKUP($A134,'Data Vlaue (Cr)'!$C:$FB,60)</f>
        <v>358</v>
      </c>
      <c r="L134" s="51">
        <f>VLOOKUP($A134,'Data Vlaue (Cr)'!$C:$FB,62)*100</f>
        <v>316.42</v>
      </c>
      <c r="M134" s="51">
        <f>VLOOKUP($A134,'Data Vlaue (Cr)'!$C:$FB,63)</f>
        <v>1957</v>
      </c>
      <c r="N134" s="51">
        <f>VLOOKUP($A134,'Data Vlaue (Cr)'!$C:$FB,64)</f>
        <v>86</v>
      </c>
      <c r="O134" s="51">
        <f>VLOOKUP($A134,'Data Vlaue (Cr)'!$C:$FB,66)*100</f>
        <v>2170.59</v>
      </c>
    </row>
    <row r="135" spans="1:15" x14ac:dyDescent="0.25">
      <c r="A135" s="101" t="str">
        <f>'Data Vlaue (Cr)'!C130</f>
        <v>MAZDOCK</v>
      </c>
      <c r="B135" s="50">
        <f>VLOOKUP($A135,'Data Vlaue (Cr)'!$C:$FB,8)</f>
        <v>2356.6</v>
      </c>
      <c r="C135" s="50">
        <f>VLOOKUP($A135,'Data Vlaue (Cr)'!$C:$FB,11)*100</f>
        <v>-2.13</v>
      </c>
      <c r="D135" s="50">
        <f>VLOOKUP($A135,'Data Vlaue (Cr)'!$C:$FB,143)</f>
        <v>1622.5</v>
      </c>
      <c r="E135" s="50">
        <f>VLOOKUP($A135,'Data Vlaue (Cr)'!$C:$FB,144)</f>
        <v>1096.3399999999999</v>
      </c>
      <c r="F135" s="50">
        <f>VLOOKUP($A135,'Data Vlaue (Cr)'!$C:$FB,146)*100</f>
        <v>47.99</v>
      </c>
      <c r="G135" s="49">
        <f>VLOOKUP($A135,'Data Vlaue (Cr)'!$C:$FB,43)</f>
        <v>176</v>
      </c>
      <c r="H135" s="49">
        <f>VLOOKUP($A135,'Data Vlaue (Cr)'!$C:$FB,44)</f>
        <v>172</v>
      </c>
      <c r="I135" s="49">
        <f>VLOOKUP($A135,'Data Vlaue (Cr)'!$C:$FB,46)*100</f>
        <v>2.87</v>
      </c>
      <c r="J135" s="51">
        <f>VLOOKUP($A135,'Data Vlaue (Cr)'!$C:$FB,59)</f>
        <v>842</v>
      </c>
      <c r="K135" s="51">
        <f>VLOOKUP($A135,'Data Vlaue (Cr)'!$C:$FB,60)</f>
        <v>599</v>
      </c>
      <c r="L135" s="51">
        <f>VLOOKUP($A135,'Data Vlaue (Cr)'!$C:$FB,62)*100</f>
        <v>40.550000000000004</v>
      </c>
      <c r="M135" s="51">
        <f>VLOOKUP($A135,'Data Vlaue (Cr)'!$C:$FB,63)</f>
        <v>508</v>
      </c>
      <c r="N135" s="51">
        <f>VLOOKUP($A135,'Data Vlaue (Cr)'!$C:$FB,64)</f>
        <v>241</v>
      </c>
      <c r="O135" s="51">
        <f>VLOOKUP($A135,'Data Vlaue (Cr)'!$C:$FB,66)*100</f>
        <v>111.16999999999999</v>
      </c>
    </row>
    <row r="136" spans="1:15" x14ac:dyDescent="0.25">
      <c r="A136" s="101" t="str">
        <f>'Data Vlaue (Cr)'!C131</f>
        <v>MCX</v>
      </c>
      <c r="B136" s="50">
        <f>VLOOKUP($A136,'Data Vlaue (Cr)'!$C:$FB,8)</f>
        <v>10025</v>
      </c>
      <c r="C136" s="50">
        <f>VLOOKUP($A136,'Data Vlaue (Cr)'!$C:$FB,11)*100</f>
        <v>-1.37</v>
      </c>
      <c r="D136" s="50">
        <f>VLOOKUP($A136,'Data Vlaue (Cr)'!$C:$FB,143)</f>
        <v>6556.3</v>
      </c>
      <c r="E136" s="50">
        <f>VLOOKUP($A136,'Data Vlaue (Cr)'!$C:$FB,144)</f>
        <v>8737.73</v>
      </c>
      <c r="F136" s="50">
        <f>VLOOKUP($A136,'Data Vlaue (Cr)'!$C:$FB,146)*100</f>
        <v>-24.97</v>
      </c>
      <c r="G136" s="49">
        <f>VLOOKUP($A136,'Data Vlaue (Cr)'!$C:$FB,43)</f>
        <v>566</v>
      </c>
      <c r="H136" s="49">
        <f>VLOOKUP($A136,'Data Vlaue (Cr)'!$C:$FB,44)</f>
        <v>888</v>
      </c>
      <c r="I136" s="49">
        <f>VLOOKUP($A136,'Data Vlaue (Cr)'!$C:$FB,46)*100</f>
        <v>-36.28</v>
      </c>
      <c r="J136" s="51">
        <f>VLOOKUP($A136,'Data Vlaue (Cr)'!$C:$FB,59)</f>
        <v>3523</v>
      </c>
      <c r="K136" s="51">
        <f>VLOOKUP($A136,'Data Vlaue (Cr)'!$C:$FB,60)</f>
        <v>4318</v>
      </c>
      <c r="L136" s="51">
        <f>VLOOKUP($A136,'Data Vlaue (Cr)'!$C:$FB,62)*100</f>
        <v>-18.41</v>
      </c>
      <c r="M136" s="51">
        <f>VLOOKUP($A136,'Data Vlaue (Cr)'!$C:$FB,63)</f>
        <v>2298</v>
      </c>
      <c r="N136" s="51">
        <f>VLOOKUP($A136,'Data Vlaue (Cr)'!$C:$FB,64)</f>
        <v>3295</v>
      </c>
      <c r="O136" s="51">
        <f>VLOOKUP($A136,'Data Vlaue (Cr)'!$C:$FB,66)*100</f>
        <v>-30.259999999999998</v>
      </c>
    </row>
    <row r="137" spans="1:15" x14ac:dyDescent="0.25">
      <c r="A137" s="101" t="str">
        <f>'Data Vlaue (Cr)'!C132</f>
        <v>MFSL</v>
      </c>
      <c r="B137" s="50">
        <f>VLOOKUP($A137,'Data Vlaue (Cr)'!$C:$FB,8)</f>
        <v>1663.9</v>
      </c>
      <c r="C137" s="50">
        <f>VLOOKUP($A137,'Data Vlaue (Cr)'!$C:$FB,11)*100</f>
        <v>-0.33999999999999997</v>
      </c>
      <c r="D137" s="50">
        <f>VLOOKUP($A137,'Data Vlaue (Cr)'!$C:$FB,143)</f>
        <v>638.45000000000005</v>
      </c>
      <c r="E137" s="50">
        <f>VLOOKUP($A137,'Data Vlaue (Cr)'!$C:$FB,144)</f>
        <v>716.22</v>
      </c>
      <c r="F137" s="50">
        <f>VLOOKUP($A137,'Data Vlaue (Cr)'!$C:$FB,146)*100</f>
        <v>-10.86</v>
      </c>
      <c r="G137" s="49">
        <f>VLOOKUP($A137,'Data Vlaue (Cr)'!$C:$FB,43)</f>
        <v>135</v>
      </c>
      <c r="H137" s="49">
        <f>VLOOKUP($A137,'Data Vlaue (Cr)'!$C:$FB,44)</f>
        <v>139</v>
      </c>
      <c r="I137" s="49">
        <f>VLOOKUP($A137,'Data Vlaue (Cr)'!$C:$FB,46)*100</f>
        <v>-3.54</v>
      </c>
      <c r="J137" s="51">
        <f>VLOOKUP($A137,'Data Vlaue (Cr)'!$C:$FB,59)</f>
        <v>305</v>
      </c>
      <c r="K137" s="51">
        <f>VLOOKUP($A137,'Data Vlaue (Cr)'!$C:$FB,60)</f>
        <v>391</v>
      </c>
      <c r="L137" s="51">
        <f>VLOOKUP($A137,'Data Vlaue (Cr)'!$C:$FB,62)*100</f>
        <v>-22.1</v>
      </c>
      <c r="M137" s="51">
        <f>VLOOKUP($A137,'Data Vlaue (Cr)'!$C:$FB,63)</f>
        <v>186</v>
      </c>
      <c r="N137" s="51">
        <f>VLOOKUP($A137,'Data Vlaue (Cr)'!$C:$FB,64)</f>
        <v>162</v>
      </c>
      <c r="O137" s="51">
        <f>VLOOKUP($A137,'Data Vlaue (Cr)'!$C:$FB,66)*100</f>
        <v>15.07</v>
      </c>
    </row>
    <row r="138" spans="1:15" x14ac:dyDescent="0.25">
      <c r="A138" s="101" t="str">
        <f>'Data Vlaue (Cr)'!C133</f>
        <v>MIDCPNIFTY</v>
      </c>
      <c r="B138" s="50">
        <f>VLOOKUP($A138,'Data Vlaue (Cr)'!$C:$FB,8)</f>
        <v>13652.3</v>
      </c>
      <c r="C138" s="50">
        <f>VLOOKUP($A138,'Data Vlaue (Cr)'!$C:$FB,11)*100</f>
        <v>-0.70000000000000007</v>
      </c>
      <c r="D138" s="50">
        <f>VLOOKUP($A138,'Data Vlaue (Cr)'!$C:$FB,143)</f>
        <v>60679.519999999997</v>
      </c>
      <c r="E138" s="50">
        <f>VLOOKUP($A138,'Data Vlaue (Cr)'!$C:$FB,144)</f>
        <v>53780.9</v>
      </c>
      <c r="F138" s="50">
        <f>VLOOKUP($A138,'Data Vlaue (Cr)'!$C:$FB,146)*100</f>
        <v>12.83</v>
      </c>
      <c r="G138" s="49">
        <f>VLOOKUP($A138,'Data Vlaue (Cr)'!$C:$FB,43)</f>
        <v>587</v>
      </c>
      <c r="H138" s="49">
        <f>VLOOKUP($A138,'Data Vlaue (Cr)'!$C:$FB,44)</f>
        <v>974</v>
      </c>
      <c r="I138" s="49">
        <f>VLOOKUP($A138,'Data Vlaue (Cr)'!$C:$FB,46)*100</f>
        <v>-39.79</v>
      </c>
      <c r="J138" s="51">
        <f>VLOOKUP($A138,'Data Vlaue (Cr)'!$C:$FB,59)</f>
        <v>33909</v>
      </c>
      <c r="K138" s="51">
        <f>VLOOKUP($A138,'Data Vlaue (Cr)'!$C:$FB,60)</f>
        <v>27859</v>
      </c>
      <c r="L138" s="51">
        <f>VLOOKUP($A138,'Data Vlaue (Cr)'!$C:$FB,62)*100</f>
        <v>21.72</v>
      </c>
      <c r="M138" s="51">
        <f>VLOOKUP($A138,'Data Vlaue (Cr)'!$C:$FB,63)</f>
        <v>25284</v>
      </c>
      <c r="N138" s="51">
        <f>VLOOKUP($A138,'Data Vlaue (Cr)'!$C:$FB,64)</f>
        <v>23991</v>
      </c>
      <c r="O138" s="51">
        <f>VLOOKUP($A138,'Data Vlaue (Cr)'!$C:$FB,66)*100</f>
        <v>5.3900000000000006</v>
      </c>
    </row>
    <row r="139" spans="1:15" x14ac:dyDescent="0.25">
      <c r="A139" s="101" t="str">
        <f>'Data Vlaue (Cr)'!C134</f>
        <v>MOTHERSON</v>
      </c>
      <c r="B139" s="50">
        <f>VLOOKUP($A139,'Data Vlaue (Cr)'!$C:$FB,8)</f>
        <v>119.56</v>
      </c>
      <c r="C139" s="50">
        <f>VLOOKUP($A139,'Data Vlaue (Cr)'!$C:$FB,11)*100</f>
        <v>-0.01</v>
      </c>
      <c r="D139" s="50">
        <f>VLOOKUP($A139,'Data Vlaue (Cr)'!$C:$FB,143)</f>
        <v>867.83</v>
      </c>
      <c r="E139" s="50">
        <f>VLOOKUP($A139,'Data Vlaue (Cr)'!$C:$FB,144)</f>
        <v>566.11</v>
      </c>
      <c r="F139" s="50">
        <f>VLOOKUP($A139,'Data Vlaue (Cr)'!$C:$FB,146)*100</f>
        <v>53.300000000000004</v>
      </c>
      <c r="G139" s="49">
        <f>VLOOKUP($A139,'Data Vlaue (Cr)'!$C:$FB,43)</f>
        <v>182</v>
      </c>
      <c r="H139" s="49">
        <f>VLOOKUP($A139,'Data Vlaue (Cr)'!$C:$FB,44)</f>
        <v>159</v>
      </c>
      <c r="I139" s="49">
        <f>VLOOKUP($A139,'Data Vlaue (Cr)'!$C:$FB,46)*100</f>
        <v>14.78</v>
      </c>
      <c r="J139" s="51">
        <f>VLOOKUP($A139,'Data Vlaue (Cr)'!$C:$FB,59)</f>
        <v>458</v>
      </c>
      <c r="K139" s="51">
        <f>VLOOKUP($A139,'Data Vlaue (Cr)'!$C:$FB,60)</f>
        <v>256</v>
      </c>
      <c r="L139" s="51">
        <f>VLOOKUP($A139,'Data Vlaue (Cr)'!$C:$FB,62)*100</f>
        <v>78.66</v>
      </c>
      <c r="M139" s="51">
        <f>VLOOKUP($A139,'Data Vlaue (Cr)'!$C:$FB,63)</f>
        <v>213</v>
      </c>
      <c r="N139" s="51">
        <f>VLOOKUP($A139,'Data Vlaue (Cr)'!$C:$FB,64)</f>
        <v>142</v>
      </c>
      <c r="O139" s="51">
        <f>VLOOKUP($A139,'Data Vlaue (Cr)'!$C:$FB,66)*100</f>
        <v>49.84</v>
      </c>
    </row>
    <row r="140" spans="1:15" x14ac:dyDescent="0.25">
      <c r="A140" s="101" t="str">
        <f>'Data Vlaue (Cr)'!C135</f>
        <v>MPHASIS</v>
      </c>
      <c r="B140" s="50">
        <f>VLOOKUP($A140,'Data Vlaue (Cr)'!$C:$FB,8)</f>
        <v>2865.3</v>
      </c>
      <c r="C140" s="50">
        <f>VLOOKUP($A140,'Data Vlaue (Cr)'!$C:$FB,11)*100</f>
        <v>0.08</v>
      </c>
      <c r="D140" s="50">
        <f>VLOOKUP($A140,'Data Vlaue (Cr)'!$C:$FB,143)</f>
        <v>623.58000000000004</v>
      </c>
      <c r="E140" s="50">
        <f>VLOOKUP($A140,'Data Vlaue (Cr)'!$C:$FB,144)</f>
        <v>806.91</v>
      </c>
      <c r="F140" s="50">
        <f>VLOOKUP($A140,'Data Vlaue (Cr)'!$C:$FB,146)*100</f>
        <v>-22.720000000000002</v>
      </c>
      <c r="G140" s="49">
        <f>VLOOKUP($A140,'Data Vlaue (Cr)'!$C:$FB,43)</f>
        <v>163</v>
      </c>
      <c r="H140" s="49">
        <f>VLOOKUP($A140,'Data Vlaue (Cr)'!$C:$FB,44)</f>
        <v>199</v>
      </c>
      <c r="I140" s="49">
        <f>VLOOKUP($A140,'Data Vlaue (Cr)'!$C:$FB,46)*100</f>
        <v>-18.05</v>
      </c>
      <c r="J140" s="51">
        <f>VLOOKUP($A140,'Data Vlaue (Cr)'!$C:$FB,59)</f>
        <v>350</v>
      </c>
      <c r="K140" s="51">
        <f>VLOOKUP($A140,'Data Vlaue (Cr)'!$C:$FB,60)</f>
        <v>337</v>
      </c>
      <c r="L140" s="51">
        <f>VLOOKUP($A140,'Data Vlaue (Cr)'!$C:$FB,62)*100</f>
        <v>3.91</v>
      </c>
      <c r="M140" s="51">
        <f>VLOOKUP($A140,'Data Vlaue (Cr)'!$C:$FB,63)</f>
        <v>97</v>
      </c>
      <c r="N140" s="51">
        <f>VLOOKUP($A140,'Data Vlaue (Cr)'!$C:$FB,64)</f>
        <v>255</v>
      </c>
      <c r="O140" s="51">
        <f>VLOOKUP($A140,'Data Vlaue (Cr)'!$C:$FB,66)*100</f>
        <v>-62.12</v>
      </c>
    </row>
    <row r="141" spans="1:15" x14ac:dyDescent="0.25">
      <c r="A141" s="101" t="str">
        <f>'Data Vlaue (Cr)'!C136</f>
        <v>MUTHOOTFIN</v>
      </c>
      <c r="B141" s="50">
        <f>VLOOKUP($A141,'Data Vlaue (Cr)'!$C:$FB,8)</f>
        <v>3766.5</v>
      </c>
      <c r="C141" s="50">
        <f>VLOOKUP($A141,'Data Vlaue (Cr)'!$C:$FB,11)*100</f>
        <v>-2.09</v>
      </c>
      <c r="D141" s="50">
        <f>VLOOKUP($A141,'Data Vlaue (Cr)'!$C:$FB,143)</f>
        <v>4332.7299999999996</v>
      </c>
      <c r="E141" s="50">
        <f>VLOOKUP($A141,'Data Vlaue (Cr)'!$C:$FB,144)</f>
        <v>1963.85</v>
      </c>
      <c r="F141" s="50">
        <f>VLOOKUP($A141,'Data Vlaue (Cr)'!$C:$FB,146)*100</f>
        <v>120.61999999999999</v>
      </c>
      <c r="G141" s="49">
        <f>VLOOKUP($A141,'Data Vlaue (Cr)'!$C:$FB,43)</f>
        <v>520</v>
      </c>
      <c r="H141" s="49">
        <f>VLOOKUP($A141,'Data Vlaue (Cr)'!$C:$FB,44)</f>
        <v>312</v>
      </c>
      <c r="I141" s="49">
        <f>VLOOKUP($A141,'Data Vlaue (Cr)'!$C:$FB,46)*100</f>
        <v>66.679999999999993</v>
      </c>
      <c r="J141" s="51">
        <f>VLOOKUP($A141,'Data Vlaue (Cr)'!$C:$FB,59)</f>
        <v>2603</v>
      </c>
      <c r="K141" s="51">
        <f>VLOOKUP($A141,'Data Vlaue (Cr)'!$C:$FB,60)</f>
        <v>1002</v>
      </c>
      <c r="L141" s="51">
        <f>VLOOKUP($A141,'Data Vlaue (Cr)'!$C:$FB,62)*100</f>
        <v>159.78</v>
      </c>
      <c r="M141" s="51">
        <f>VLOOKUP($A141,'Data Vlaue (Cr)'!$C:$FB,63)</f>
        <v>1066</v>
      </c>
      <c r="N141" s="51">
        <f>VLOOKUP($A141,'Data Vlaue (Cr)'!$C:$FB,64)</f>
        <v>585</v>
      </c>
      <c r="O141" s="51">
        <f>VLOOKUP($A141,'Data Vlaue (Cr)'!$C:$FB,66)*100</f>
        <v>82.1</v>
      </c>
    </row>
    <row r="142" spans="1:15" x14ac:dyDescent="0.25">
      <c r="A142" s="101" t="str">
        <f>'Data Vlaue (Cr)'!C137</f>
        <v>NATIONALUM</v>
      </c>
      <c r="B142" s="50">
        <f>VLOOKUP($A142,'Data Vlaue (Cr)'!$C:$FB,8)</f>
        <v>279.45</v>
      </c>
      <c r="C142" s="50">
        <f>VLOOKUP($A142,'Data Vlaue (Cr)'!$C:$FB,11)*100</f>
        <v>0.94000000000000006</v>
      </c>
      <c r="D142" s="50">
        <f>VLOOKUP($A142,'Data Vlaue (Cr)'!$C:$FB,143)</f>
        <v>2787.95</v>
      </c>
      <c r="E142" s="50">
        <f>VLOOKUP($A142,'Data Vlaue (Cr)'!$C:$FB,144)</f>
        <v>1824.84</v>
      </c>
      <c r="F142" s="50">
        <f>VLOOKUP($A142,'Data Vlaue (Cr)'!$C:$FB,146)*100</f>
        <v>52.78</v>
      </c>
      <c r="G142" s="49">
        <f>VLOOKUP($A142,'Data Vlaue (Cr)'!$C:$FB,43)</f>
        <v>438</v>
      </c>
      <c r="H142" s="49">
        <f>VLOOKUP($A142,'Data Vlaue (Cr)'!$C:$FB,44)</f>
        <v>411</v>
      </c>
      <c r="I142" s="49">
        <f>VLOOKUP($A142,'Data Vlaue (Cr)'!$C:$FB,46)*100</f>
        <v>6.5500000000000007</v>
      </c>
      <c r="J142" s="51">
        <f>VLOOKUP($A142,'Data Vlaue (Cr)'!$C:$FB,59)</f>
        <v>1532</v>
      </c>
      <c r="K142" s="51">
        <f>VLOOKUP($A142,'Data Vlaue (Cr)'!$C:$FB,60)</f>
        <v>874</v>
      </c>
      <c r="L142" s="51">
        <f>VLOOKUP($A142,'Data Vlaue (Cr)'!$C:$FB,62)*100</f>
        <v>75.180000000000007</v>
      </c>
      <c r="M142" s="51">
        <f>VLOOKUP($A142,'Data Vlaue (Cr)'!$C:$FB,63)</f>
        <v>777</v>
      </c>
      <c r="N142" s="51">
        <f>VLOOKUP($A142,'Data Vlaue (Cr)'!$C:$FB,64)</f>
        <v>531</v>
      </c>
      <c r="O142" s="51">
        <f>VLOOKUP($A142,'Data Vlaue (Cr)'!$C:$FB,66)*100</f>
        <v>46.150000000000006</v>
      </c>
    </row>
    <row r="143" spans="1:15" x14ac:dyDescent="0.25">
      <c r="A143" s="101" t="str">
        <f>'Data Vlaue (Cr)'!C138</f>
        <v>NAUKRI</v>
      </c>
      <c r="B143" s="50">
        <f>VLOOKUP($A143,'Data Vlaue (Cr)'!$C:$FB,8)</f>
        <v>1338.2</v>
      </c>
      <c r="C143" s="50">
        <f>VLOOKUP($A143,'Data Vlaue (Cr)'!$C:$FB,11)*100</f>
        <v>-0.65</v>
      </c>
      <c r="D143" s="50">
        <f>VLOOKUP($A143,'Data Vlaue (Cr)'!$C:$FB,143)</f>
        <v>427.68</v>
      </c>
      <c r="E143" s="50">
        <f>VLOOKUP($A143,'Data Vlaue (Cr)'!$C:$FB,144)</f>
        <v>424.95</v>
      </c>
      <c r="F143" s="50">
        <f>VLOOKUP($A143,'Data Vlaue (Cr)'!$C:$FB,146)*100</f>
        <v>0.64</v>
      </c>
      <c r="G143" s="49">
        <f>VLOOKUP($A143,'Data Vlaue (Cr)'!$C:$FB,43)</f>
        <v>93</v>
      </c>
      <c r="H143" s="49">
        <f>VLOOKUP($A143,'Data Vlaue (Cr)'!$C:$FB,44)</f>
        <v>107</v>
      </c>
      <c r="I143" s="49">
        <f>VLOOKUP($A143,'Data Vlaue (Cr)'!$C:$FB,46)*100</f>
        <v>-13.38</v>
      </c>
      <c r="J143" s="51">
        <f>VLOOKUP($A143,'Data Vlaue (Cr)'!$C:$FB,59)</f>
        <v>248</v>
      </c>
      <c r="K143" s="51">
        <f>VLOOKUP($A143,'Data Vlaue (Cr)'!$C:$FB,60)</f>
        <v>205</v>
      </c>
      <c r="L143" s="51">
        <f>VLOOKUP($A143,'Data Vlaue (Cr)'!$C:$FB,62)*100</f>
        <v>21.13</v>
      </c>
      <c r="M143" s="51">
        <f>VLOOKUP($A143,'Data Vlaue (Cr)'!$C:$FB,63)</f>
        <v>76</v>
      </c>
      <c r="N143" s="51">
        <f>VLOOKUP($A143,'Data Vlaue (Cr)'!$C:$FB,64)</f>
        <v>102</v>
      </c>
      <c r="O143" s="51">
        <f>VLOOKUP($A143,'Data Vlaue (Cr)'!$C:$FB,66)*100</f>
        <v>-25.2</v>
      </c>
    </row>
    <row r="144" spans="1:15" x14ac:dyDescent="0.25">
      <c r="A144" s="101" t="str">
        <f>'Data Vlaue (Cr)'!C139</f>
        <v>NBCC</v>
      </c>
      <c r="B144" s="50">
        <f>VLOOKUP($A144,'Data Vlaue (Cr)'!$C:$FB,8)</f>
        <v>109.56</v>
      </c>
      <c r="C144" s="50">
        <f>VLOOKUP($A144,'Data Vlaue (Cr)'!$C:$FB,11)*100</f>
        <v>-1.9</v>
      </c>
      <c r="D144" s="50">
        <f>VLOOKUP($A144,'Data Vlaue (Cr)'!$C:$FB,143)</f>
        <v>914.38</v>
      </c>
      <c r="E144" s="50">
        <f>VLOOKUP($A144,'Data Vlaue (Cr)'!$C:$FB,144)</f>
        <v>1253.74</v>
      </c>
      <c r="F144" s="50">
        <f>VLOOKUP($A144,'Data Vlaue (Cr)'!$C:$FB,146)*100</f>
        <v>-27.07</v>
      </c>
      <c r="G144" s="49">
        <f>VLOOKUP($A144,'Data Vlaue (Cr)'!$C:$FB,43)</f>
        <v>172</v>
      </c>
      <c r="H144" s="49">
        <f>VLOOKUP($A144,'Data Vlaue (Cr)'!$C:$FB,44)</f>
        <v>212</v>
      </c>
      <c r="I144" s="49">
        <f>VLOOKUP($A144,'Data Vlaue (Cr)'!$C:$FB,46)*100</f>
        <v>-18.87</v>
      </c>
      <c r="J144" s="51">
        <f>VLOOKUP($A144,'Data Vlaue (Cr)'!$C:$FB,59)</f>
        <v>545</v>
      </c>
      <c r="K144" s="51">
        <f>VLOOKUP($A144,'Data Vlaue (Cr)'!$C:$FB,60)</f>
        <v>595</v>
      </c>
      <c r="L144" s="51">
        <f>VLOOKUP($A144,'Data Vlaue (Cr)'!$C:$FB,62)*100</f>
        <v>-8.2799999999999994</v>
      </c>
      <c r="M144" s="51">
        <f>VLOOKUP($A144,'Data Vlaue (Cr)'!$C:$FB,63)</f>
        <v>153</v>
      </c>
      <c r="N144" s="51">
        <f>VLOOKUP($A144,'Data Vlaue (Cr)'!$C:$FB,64)</f>
        <v>374</v>
      </c>
      <c r="O144" s="51">
        <f>VLOOKUP($A144,'Data Vlaue (Cr)'!$C:$FB,66)*100</f>
        <v>-59.07</v>
      </c>
    </row>
    <row r="145" spans="1:15" x14ac:dyDescent="0.25">
      <c r="A145" s="101" t="str">
        <f>'Data Vlaue (Cr)'!C140</f>
        <v>NCC</v>
      </c>
      <c r="B145" s="50">
        <f>VLOOKUP($A145,'Data Vlaue (Cr)'!$C:$FB,8)</f>
        <v>155.32</v>
      </c>
      <c r="C145" s="50">
        <f>VLOOKUP($A145,'Data Vlaue (Cr)'!$C:$FB,11)*100</f>
        <v>-1.6</v>
      </c>
      <c r="D145" s="50">
        <f>VLOOKUP($A145,'Data Vlaue (Cr)'!$C:$FB,143)</f>
        <v>332.47</v>
      </c>
      <c r="E145" s="50">
        <f>VLOOKUP($A145,'Data Vlaue (Cr)'!$C:$FB,144)</f>
        <v>323.27</v>
      </c>
      <c r="F145" s="50">
        <f>VLOOKUP($A145,'Data Vlaue (Cr)'!$C:$FB,146)*100</f>
        <v>2.85</v>
      </c>
      <c r="G145" s="49">
        <f>VLOOKUP($A145,'Data Vlaue (Cr)'!$C:$FB,43)</f>
        <v>50</v>
      </c>
      <c r="H145" s="49">
        <f>VLOOKUP($A145,'Data Vlaue (Cr)'!$C:$FB,44)</f>
        <v>58</v>
      </c>
      <c r="I145" s="49">
        <f>VLOOKUP($A145,'Data Vlaue (Cr)'!$C:$FB,46)*100</f>
        <v>-14.330000000000002</v>
      </c>
      <c r="J145" s="51">
        <f>VLOOKUP($A145,'Data Vlaue (Cr)'!$C:$FB,59)</f>
        <v>183</v>
      </c>
      <c r="K145" s="51">
        <f>VLOOKUP($A145,'Data Vlaue (Cr)'!$C:$FB,60)</f>
        <v>174</v>
      </c>
      <c r="L145" s="51">
        <f>VLOOKUP($A145,'Data Vlaue (Cr)'!$C:$FB,62)*100</f>
        <v>5.29</v>
      </c>
      <c r="M145" s="51">
        <f>VLOOKUP($A145,'Data Vlaue (Cr)'!$C:$FB,63)</f>
        <v>82</v>
      </c>
      <c r="N145" s="51">
        <f>VLOOKUP($A145,'Data Vlaue (Cr)'!$C:$FB,64)</f>
        <v>70</v>
      </c>
      <c r="O145" s="51">
        <f>VLOOKUP($A145,'Data Vlaue (Cr)'!$C:$FB,66)*100</f>
        <v>15.65</v>
      </c>
    </row>
    <row r="146" spans="1:15" x14ac:dyDescent="0.25">
      <c r="A146" s="101" t="str">
        <f>'Data Vlaue (Cr)'!C141</f>
        <v>NESTLEIND</v>
      </c>
      <c r="B146" s="50">
        <f>VLOOKUP($A146,'Data Vlaue (Cr)'!$C:$FB,8)</f>
        <v>1234.5999999999999</v>
      </c>
      <c r="C146" s="50">
        <f>VLOOKUP($A146,'Data Vlaue (Cr)'!$C:$FB,11)*100</f>
        <v>-0.48</v>
      </c>
      <c r="D146" s="50">
        <f>VLOOKUP($A146,'Data Vlaue (Cr)'!$C:$FB,143)</f>
        <v>1067.58</v>
      </c>
      <c r="E146" s="50">
        <f>VLOOKUP($A146,'Data Vlaue (Cr)'!$C:$FB,144)</f>
        <v>1884.72</v>
      </c>
      <c r="F146" s="50">
        <f>VLOOKUP($A146,'Data Vlaue (Cr)'!$C:$FB,146)*100</f>
        <v>-43.36</v>
      </c>
      <c r="G146" s="49">
        <f>VLOOKUP($A146,'Data Vlaue (Cr)'!$C:$FB,43)</f>
        <v>326</v>
      </c>
      <c r="H146" s="49">
        <f>VLOOKUP($A146,'Data Vlaue (Cr)'!$C:$FB,44)</f>
        <v>240</v>
      </c>
      <c r="I146" s="49">
        <f>VLOOKUP($A146,'Data Vlaue (Cr)'!$C:$FB,46)*100</f>
        <v>35.61</v>
      </c>
      <c r="J146" s="51">
        <f>VLOOKUP($A146,'Data Vlaue (Cr)'!$C:$FB,59)</f>
        <v>529</v>
      </c>
      <c r="K146" s="51">
        <f>VLOOKUP($A146,'Data Vlaue (Cr)'!$C:$FB,60)</f>
        <v>1294</v>
      </c>
      <c r="L146" s="51">
        <f>VLOOKUP($A146,'Data Vlaue (Cr)'!$C:$FB,62)*100</f>
        <v>-59.13</v>
      </c>
      <c r="M146" s="51">
        <f>VLOOKUP($A146,'Data Vlaue (Cr)'!$C:$FB,63)</f>
        <v>192</v>
      </c>
      <c r="N146" s="51">
        <f>VLOOKUP($A146,'Data Vlaue (Cr)'!$C:$FB,64)</f>
        <v>290</v>
      </c>
      <c r="O146" s="51">
        <f>VLOOKUP($A146,'Data Vlaue (Cr)'!$C:$FB,66)*100</f>
        <v>-33.869999999999997</v>
      </c>
    </row>
    <row r="147" spans="1:15" x14ac:dyDescent="0.25">
      <c r="A147" s="101" t="str">
        <f>'Data Vlaue (Cr)'!C142</f>
        <v>NHPC</v>
      </c>
      <c r="B147" s="50">
        <f>VLOOKUP($A147,'Data Vlaue (Cr)'!$C:$FB,8)</f>
        <v>75.39</v>
      </c>
      <c r="C147" s="50">
        <f>VLOOKUP($A147,'Data Vlaue (Cr)'!$C:$FB,11)*100</f>
        <v>-0.82000000000000006</v>
      </c>
      <c r="D147" s="50">
        <f>VLOOKUP($A147,'Data Vlaue (Cr)'!$C:$FB,143)</f>
        <v>298.72000000000003</v>
      </c>
      <c r="E147" s="50">
        <f>VLOOKUP($A147,'Data Vlaue (Cr)'!$C:$FB,144)</f>
        <v>249.9</v>
      </c>
      <c r="F147" s="50">
        <f>VLOOKUP($A147,'Data Vlaue (Cr)'!$C:$FB,146)*100</f>
        <v>19.53</v>
      </c>
      <c r="G147" s="49">
        <f>VLOOKUP($A147,'Data Vlaue (Cr)'!$C:$FB,43)</f>
        <v>76</v>
      </c>
      <c r="H147" s="49">
        <f>VLOOKUP($A147,'Data Vlaue (Cr)'!$C:$FB,44)</f>
        <v>58</v>
      </c>
      <c r="I147" s="49">
        <f>VLOOKUP($A147,'Data Vlaue (Cr)'!$C:$FB,46)*100</f>
        <v>29.970000000000002</v>
      </c>
      <c r="J147" s="51">
        <f>VLOOKUP($A147,'Data Vlaue (Cr)'!$C:$FB,59)</f>
        <v>164</v>
      </c>
      <c r="K147" s="51">
        <f>VLOOKUP($A147,'Data Vlaue (Cr)'!$C:$FB,60)</f>
        <v>149</v>
      </c>
      <c r="L147" s="51">
        <f>VLOOKUP($A147,'Data Vlaue (Cr)'!$C:$FB,62)*100</f>
        <v>10.17</v>
      </c>
      <c r="M147" s="51">
        <f>VLOOKUP($A147,'Data Vlaue (Cr)'!$C:$FB,63)</f>
        <v>49</v>
      </c>
      <c r="N147" s="51">
        <f>VLOOKUP($A147,'Data Vlaue (Cr)'!$C:$FB,64)</f>
        <v>31</v>
      </c>
      <c r="O147" s="51">
        <f>VLOOKUP($A147,'Data Vlaue (Cr)'!$C:$FB,66)*100</f>
        <v>56.53</v>
      </c>
    </row>
    <row r="148" spans="1:15" x14ac:dyDescent="0.25">
      <c r="A148" s="101" t="str">
        <f>'Data Vlaue (Cr)'!C143</f>
        <v>NIFTY</v>
      </c>
      <c r="B148" s="50">
        <f>VLOOKUP($A148,'Data Vlaue (Cr)'!$C:$FB,8)</f>
        <v>25818.55</v>
      </c>
      <c r="C148" s="50">
        <f>VLOOKUP($A148,'Data Vlaue (Cr)'!$C:$FB,11)*100</f>
        <v>-0.16</v>
      </c>
      <c r="D148" s="50">
        <f>VLOOKUP($A148,'Data Vlaue (Cr)'!$C:$FB,143)</f>
        <v>9199740.3200000003</v>
      </c>
      <c r="E148" s="50">
        <f>VLOOKUP($A148,'Data Vlaue (Cr)'!$C:$FB,144)</f>
        <v>51569966.890000001</v>
      </c>
      <c r="F148" s="50">
        <f>VLOOKUP($A148,'Data Vlaue (Cr)'!$C:$FB,146)*100</f>
        <v>-82.16</v>
      </c>
      <c r="G148" s="49">
        <f>VLOOKUP($A148,'Data Vlaue (Cr)'!$C:$FB,43)</f>
        <v>10655</v>
      </c>
      <c r="H148" s="49">
        <f>VLOOKUP($A148,'Data Vlaue (Cr)'!$C:$FB,44)</f>
        <v>14118</v>
      </c>
      <c r="I148" s="49">
        <f>VLOOKUP($A148,'Data Vlaue (Cr)'!$C:$FB,46)*100</f>
        <v>-24.529999999999998</v>
      </c>
      <c r="J148" s="51">
        <f>VLOOKUP($A148,'Data Vlaue (Cr)'!$C:$FB,59)</f>
        <v>4621760</v>
      </c>
      <c r="K148" s="51">
        <f>VLOOKUP($A148,'Data Vlaue (Cr)'!$C:$FB,60)</f>
        <v>25371490</v>
      </c>
      <c r="L148" s="51">
        <f>VLOOKUP($A148,'Data Vlaue (Cr)'!$C:$FB,62)*100</f>
        <v>-81.78</v>
      </c>
      <c r="M148" s="51">
        <f>VLOOKUP($A148,'Data Vlaue (Cr)'!$C:$FB,63)</f>
        <v>4545047</v>
      </c>
      <c r="N148" s="51">
        <f>VLOOKUP($A148,'Data Vlaue (Cr)'!$C:$FB,64)</f>
        <v>26091642</v>
      </c>
      <c r="O148" s="51">
        <f>VLOOKUP($A148,'Data Vlaue (Cr)'!$C:$FB,66)*100</f>
        <v>-82.58</v>
      </c>
    </row>
    <row r="149" spans="1:15" x14ac:dyDescent="0.25">
      <c r="A149" s="101" t="str">
        <f>'Data Vlaue (Cr)'!C144</f>
        <v>NIFTYNXT50</v>
      </c>
      <c r="B149" s="50">
        <f>VLOOKUP($A149,'Data Vlaue (Cr)'!$C:$FB,8)</f>
        <v>68076.850000000006</v>
      </c>
      <c r="C149" s="50">
        <f>VLOOKUP($A149,'Data Vlaue (Cr)'!$C:$FB,11)*100</f>
        <v>-0.38</v>
      </c>
      <c r="D149" s="50">
        <f>VLOOKUP($A149,'Data Vlaue (Cr)'!$C:$FB,143)</f>
        <v>183.77</v>
      </c>
      <c r="E149" s="50">
        <f>VLOOKUP($A149,'Data Vlaue (Cr)'!$C:$FB,144)</f>
        <v>135.9</v>
      </c>
      <c r="F149" s="50">
        <f>VLOOKUP($A149,'Data Vlaue (Cr)'!$C:$FB,146)*100</f>
        <v>35.22</v>
      </c>
      <c r="G149" s="49">
        <f>VLOOKUP($A149,'Data Vlaue (Cr)'!$C:$FB,43)</f>
        <v>38</v>
      </c>
      <c r="H149" s="49">
        <f>VLOOKUP($A149,'Data Vlaue (Cr)'!$C:$FB,44)</f>
        <v>32</v>
      </c>
      <c r="I149" s="49">
        <f>VLOOKUP($A149,'Data Vlaue (Cr)'!$C:$FB,46)*100</f>
        <v>20</v>
      </c>
      <c r="J149" s="51">
        <f>VLOOKUP($A149,'Data Vlaue (Cr)'!$C:$FB,59)</f>
        <v>61</v>
      </c>
      <c r="K149" s="51">
        <f>VLOOKUP($A149,'Data Vlaue (Cr)'!$C:$FB,60)</f>
        <v>62</v>
      </c>
      <c r="L149" s="51">
        <f>VLOOKUP($A149,'Data Vlaue (Cr)'!$C:$FB,62)*100</f>
        <v>-0.54999999999999993</v>
      </c>
      <c r="M149" s="51">
        <f>VLOOKUP($A149,'Data Vlaue (Cr)'!$C:$FB,63)</f>
        <v>83</v>
      </c>
      <c r="N149" s="51">
        <f>VLOOKUP($A149,'Data Vlaue (Cr)'!$C:$FB,64)</f>
        <v>42</v>
      </c>
      <c r="O149" s="51">
        <f>VLOOKUP($A149,'Data Vlaue (Cr)'!$C:$FB,66)*100</f>
        <v>99.59</v>
      </c>
    </row>
    <row r="150" spans="1:15" x14ac:dyDescent="0.25">
      <c r="A150" s="101" t="str">
        <f>'Data Vlaue (Cr)'!C145</f>
        <v>NMDC</v>
      </c>
      <c r="B150" s="50">
        <f>VLOOKUP($A150,'Data Vlaue (Cr)'!$C:$FB,8)</f>
        <v>77.28</v>
      </c>
      <c r="C150" s="50">
        <f>VLOOKUP($A150,'Data Vlaue (Cr)'!$C:$FB,11)*100</f>
        <v>0.16999999999999998</v>
      </c>
      <c r="D150" s="50">
        <f>VLOOKUP($A150,'Data Vlaue (Cr)'!$C:$FB,143)</f>
        <v>965.48</v>
      </c>
      <c r="E150" s="50">
        <f>VLOOKUP($A150,'Data Vlaue (Cr)'!$C:$FB,144)</f>
        <v>1085.17</v>
      </c>
      <c r="F150" s="50">
        <f>VLOOKUP($A150,'Data Vlaue (Cr)'!$C:$FB,146)*100</f>
        <v>-11.03</v>
      </c>
      <c r="G150" s="49">
        <f>VLOOKUP($A150,'Data Vlaue (Cr)'!$C:$FB,43)</f>
        <v>224</v>
      </c>
      <c r="H150" s="49">
        <f>VLOOKUP($A150,'Data Vlaue (Cr)'!$C:$FB,44)</f>
        <v>237</v>
      </c>
      <c r="I150" s="49">
        <f>VLOOKUP($A150,'Data Vlaue (Cr)'!$C:$FB,46)*100</f>
        <v>-5.74</v>
      </c>
      <c r="J150" s="51">
        <f>VLOOKUP($A150,'Data Vlaue (Cr)'!$C:$FB,59)</f>
        <v>548</v>
      </c>
      <c r="K150" s="51">
        <f>VLOOKUP($A150,'Data Vlaue (Cr)'!$C:$FB,60)</f>
        <v>559</v>
      </c>
      <c r="L150" s="51">
        <f>VLOOKUP($A150,'Data Vlaue (Cr)'!$C:$FB,62)*100</f>
        <v>-1.9800000000000002</v>
      </c>
      <c r="M150" s="51">
        <f>VLOOKUP($A150,'Data Vlaue (Cr)'!$C:$FB,63)</f>
        <v>177</v>
      </c>
      <c r="N150" s="51">
        <f>VLOOKUP($A150,'Data Vlaue (Cr)'!$C:$FB,64)</f>
        <v>270</v>
      </c>
      <c r="O150" s="51">
        <f>VLOOKUP($A150,'Data Vlaue (Cr)'!$C:$FB,66)*100</f>
        <v>-34.510000000000005</v>
      </c>
    </row>
    <row r="151" spans="1:15" x14ac:dyDescent="0.25">
      <c r="A151" s="101" t="str">
        <f>'Data Vlaue (Cr)'!C146</f>
        <v>NTPC</v>
      </c>
      <c r="B151" s="50">
        <f>VLOOKUP($A151,'Data Vlaue (Cr)'!$C:$FB,8)</f>
        <v>321.25</v>
      </c>
      <c r="C151" s="50">
        <f>VLOOKUP($A151,'Data Vlaue (Cr)'!$C:$FB,11)*100</f>
        <v>0.08</v>
      </c>
      <c r="D151" s="50">
        <f>VLOOKUP($A151,'Data Vlaue (Cr)'!$C:$FB,143)</f>
        <v>896.64</v>
      </c>
      <c r="E151" s="50">
        <f>VLOOKUP($A151,'Data Vlaue (Cr)'!$C:$FB,144)</f>
        <v>1234.42</v>
      </c>
      <c r="F151" s="50">
        <f>VLOOKUP($A151,'Data Vlaue (Cr)'!$C:$FB,146)*100</f>
        <v>-27.36</v>
      </c>
      <c r="G151" s="49">
        <f>VLOOKUP($A151,'Data Vlaue (Cr)'!$C:$FB,43)</f>
        <v>178</v>
      </c>
      <c r="H151" s="49">
        <f>VLOOKUP($A151,'Data Vlaue (Cr)'!$C:$FB,44)</f>
        <v>232</v>
      </c>
      <c r="I151" s="49">
        <f>VLOOKUP($A151,'Data Vlaue (Cr)'!$C:$FB,46)*100</f>
        <v>-23.39</v>
      </c>
      <c r="J151" s="51">
        <f>VLOOKUP($A151,'Data Vlaue (Cr)'!$C:$FB,59)</f>
        <v>467</v>
      </c>
      <c r="K151" s="51">
        <f>VLOOKUP($A151,'Data Vlaue (Cr)'!$C:$FB,60)</f>
        <v>644</v>
      </c>
      <c r="L151" s="51">
        <f>VLOOKUP($A151,'Data Vlaue (Cr)'!$C:$FB,62)*100</f>
        <v>-27.529999999999998</v>
      </c>
      <c r="M151" s="51">
        <f>VLOOKUP($A151,'Data Vlaue (Cr)'!$C:$FB,63)</f>
        <v>241</v>
      </c>
      <c r="N151" s="51">
        <f>VLOOKUP($A151,'Data Vlaue (Cr)'!$C:$FB,64)</f>
        <v>341</v>
      </c>
      <c r="O151" s="51">
        <f>VLOOKUP($A151,'Data Vlaue (Cr)'!$C:$FB,66)*100</f>
        <v>-29.42</v>
      </c>
    </row>
    <row r="152" spans="1:15" x14ac:dyDescent="0.25">
      <c r="A152" s="101" t="str">
        <f>'Data Vlaue (Cr)'!C147</f>
        <v>NUVAMA</v>
      </c>
      <c r="B152" s="50">
        <f>VLOOKUP($A152,'Data Vlaue (Cr)'!$C:$FB,8)</f>
        <v>7171</v>
      </c>
      <c r="C152" s="50">
        <f>VLOOKUP($A152,'Data Vlaue (Cr)'!$C:$FB,11)*100</f>
        <v>-0.26</v>
      </c>
      <c r="D152" s="50">
        <f>VLOOKUP($A152,'Data Vlaue (Cr)'!$C:$FB,143)</f>
        <v>409.08</v>
      </c>
      <c r="E152" s="50">
        <f>VLOOKUP($A152,'Data Vlaue (Cr)'!$C:$FB,144)</f>
        <v>330.23</v>
      </c>
      <c r="F152" s="50">
        <f>VLOOKUP($A152,'Data Vlaue (Cr)'!$C:$FB,146)*100</f>
        <v>23.880000000000003</v>
      </c>
      <c r="G152" s="49">
        <f>VLOOKUP($A152,'Data Vlaue (Cr)'!$C:$FB,43)</f>
        <v>54</v>
      </c>
      <c r="H152" s="49">
        <f>VLOOKUP($A152,'Data Vlaue (Cr)'!$C:$FB,44)</f>
        <v>54</v>
      </c>
      <c r="I152" s="49">
        <f>VLOOKUP($A152,'Data Vlaue (Cr)'!$C:$FB,46)*100</f>
        <v>-0.3</v>
      </c>
      <c r="J152" s="51">
        <f>VLOOKUP($A152,'Data Vlaue (Cr)'!$C:$FB,59)</f>
        <v>178</v>
      </c>
      <c r="K152" s="51">
        <f>VLOOKUP($A152,'Data Vlaue (Cr)'!$C:$FB,60)</f>
        <v>128</v>
      </c>
      <c r="L152" s="51">
        <f>VLOOKUP($A152,'Data Vlaue (Cr)'!$C:$FB,62)*100</f>
        <v>39.019999999999996</v>
      </c>
      <c r="M152" s="51">
        <f>VLOOKUP($A152,'Data Vlaue (Cr)'!$C:$FB,63)</f>
        <v>166</v>
      </c>
      <c r="N152" s="51">
        <f>VLOOKUP($A152,'Data Vlaue (Cr)'!$C:$FB,64)</f>
        <v>139</v>
      </c>
      <c r="O152" s="51">
        <f>VLOOKUP($A152,'Data Vlaue (Cr)'!$C:$FB,66)*100</f>
        <v>19.88</v>
      </c>
    </row>
    <row r="153" spans="1:15" x14ac:dyDescent="0.25">
      <c r="A153" s="101" t="str">
        <f>'Data Vlaue (Cr)'!C148</f>
        <v>NYKAA</v>
      </c>
      <c r="B153" s="50">
        <f>VLOOKUP($A153,'Data Vlaue (Cr)'!$C:$FB,8)</f>
        <v>245.1</v>
      </c>
      <c r="C153" s="50">
        <f>VLOOKUP($A153,'Data Vlaue (Cr)'!$C:$FB,11)*100</f>
        <v>-0.89</v>
      </c>
      <c r="D153" s="50">
        <f>VLOOKUP($A153,'Data Vlaue (Cr)'!$C:$FB,143)</f>
        <v>537.34</v>
      </c>
      <c r="E153" s="50">
        <f>VLOOKUP($A153,'Data Vlaue (Cr)'!$C:$FB,144)</f>
        <v>767.62</v>
      </c>
      <c r="F153" s="50">
        <f>VLOOKUP($A153,'Data Vlaue (Cr)'!$C:$FB,146)*100</f>
        <v>-30</v>
      </c>
      <c r="G153" s="49">
        <f>VLOOKUP($A153,'Data Vlaue (Cr)'!$C:$FB,43)</f>
        <v>126</v>
      </c>
      <c r="H153" s="49">
        <f>VLOOKUP($A153,'Data Vlaue (Cr)'!$C:$FB,44)</f>
        <v>166</v>
      </c>
      <c r="I153" s="49">
        <f>VLOOKUP($A153,'Data Vlaue (Cr)'!$C:$FB,46)*100</f>
        <v>-24.33</v>
      </c>
      <c r="J153" s="51">
        <f>VLOOKUP($A153,'Data Vlaue (Cr)'!$C:$FB,59)</f>
        <v>270</v>
      </c>
      <c r="K153" s="51">
        <f>VLOOKUP($A153,'Data Vlaue (Cr)'!$C:$FB,60)</f>
        <v>466</v>
      </c>
      <c r="L153" s="51">
        <f>VLOOKUP($A153,'Data Vlaue (Cr)'!$C:$FB,62)*100</f>
        <v>-42.07</v>
      </c>
      <c r="M153" s="51">
        <f>VLOOKUP($A153,'Data Vlaue (Cr)'!$C:$FB,63)</f>
        <v>126</v>
      </c>
      <c r="N153" s="51">
        <f>VLOOKUP($A153,'Data Vlaue (Cr)'!$C:$FB,64)</f>
        <v>100</v>
      </c>
      <c r="O153" s="51">
        <f>VLOOKUP($A153,'Data Vlaue (Cr)'!$C:$FB,66)*100</f>
        <v>26.27</v>
      </c>
    </row>
    <row r="154" spans="1:15" x14ac:dyDescent="0.25">
      <c r="A154" s="101" t="str">
        <f>'Data Vlaue (Cr)'!C149</f>
        <v>OBEROIRLTY</v>
      </c>
      <c r="B154" s="50">
        <f>VLOOKUP($A154,'Data Vlaue (Cr)'!$C:$FB,8)</f>
        <v>1609.9</v>
      </c>
      <c r="C154" s="50">
        <f>VLOOKUP($A154,'Data Vlaue (Cr)'!$C:$FB,11)*100</f>
        <v>-1.04</v>
      </c>
      <c r="D154" s="50">
        <f>VLOOKUP($A154,'Data Vlaue (Cr)'!$C:$FB,143)</f>
        <v>410.29</v>
      </c>
      <c r="E154" s="50">
        <f>VLOOKUP($A154,'Data Vlaue (Cr)'!$C:$FB,144)</f>
        <v>343.76</v>
      </c>
      <c r="F154" s="50">
        <f>VLOOKUP($A154,'Data Vlaue (Cr)'!$C:$FB,146)*100</f>
        <v>19.350000000000001</v>
      </c>
      <c r="G154" s="49">
        <f>VLOOKUP($A154,'Data Vlaue (Cr)'!$C:$FB,43)</f>
        <v>83</v>
      </c>
      <c r="H154" s="49">
        <f>VLOOKUP($A154,'Data Vlaue (Cr)'!$C:$FB,44)</f>
        <v>90</v>
      </c>
      <c r="I154" s="49">
        <f>VLOOKUP($A154,'Data Vlaue (Cr)'!$C:$FB,46)*100</f>
        <v>-8.32</v>
      </c>
      <c r="J154" s="51">
        <f>VLOOKUP($A154,'Data Vlaue (Cr)'!$C:$FB,59)</f>
        <v>186</v>
      </c>
      <c r="K154" s="51">
        <f>VLOOKUP($A154,'Data Vlaue (Cr)'!$C:$FB,60)</f>
        <v>180</v>
      </c>
      <c r="L154" s="51">
        <f>VLOOKUP($A154,'Data Vlaue (Cr)'!$C:$FB,62)*100</f>
        <v>3.45</v>
      </c>
      <c r="M154" s="51">
        <f>VLOOKUP($A154,'Data Vlaue (Cr)'!$C:$FB,63)</f>
        <v>133</v>
      </c>
      <c r="N154" s="51">
        <f>VLOOKUP($A154,'Data Vlaue (Cr)'!$C:$FB,64)</f>
        <v>62</v>
      </c>
      <c r="O154" s="51">
        <f>VLOOKUP($A154,'Data Vlaue (Cr)'!$C:$FB,66)*100</f>
        <v>113.03</v>
      </c>
    </row>
    <row r="155" spans="1:15" x14ac:dyDescent="0.25">
      <c r="A155" s="101" t="str">
        <f>'Data Vlaue (Cr)'!C150</f>
        <v>OFSS</v>
      </c>
      <c r="B155" s="50">
        <f>VLOOKUP($A155,'Data Vlaue (Cr)'!$C:$FB,8)</f>
        <v>7712.5</v>
      </c>
      <c r="C155" s="50">
        <f>VLOOKUP($A155,'Data Vlaue (Cr)'!$C:$FB,11)*100</f>
        <v>-1.48</v>
      </c>
      <c r="D155" s="50">
        <f>VLOOKUP($A155,'Data Vlaue (Cr)'!$C:$FB,143)</f>
        <v>1112.02</v>
      </c>
      <c r="E155" s="50">
        <f>VLOOKUP($A155,'Data Vlaue (Cr)'!$C:$FB,144)</f>
        <v>1226.8699999999999</v>
      </c>
      <c r="F155" s="50">
        <f>VLOOKUP($A155,'Data Vlaue (Cr)'!$C:$FB,146)*100</f>
        <v>-9.36</v>
      </c>
      <c r="G155" s="49">
        <f>VLOOKUP($A155,'Data Vlaue (Cr)'!$C:$FB,43)</f>
        <v>174</v>
      </c>
      <c r="H155" s="49">
        <f>VLOOKUP($A155,'Data Vlaue (Cr)'!$C:$FB,44)</f>
        <v>167</v>
      </c>
      <c r="I155" s="49">
        <f>VLOOKUP($A155,'Data Vlaue (Cr)'!$C:$FB,46)*100</f>
        <v>4.37</v>
      </c>
      <c r="J155" s="51">
        <f>VLOOKUP($A155,'Data Vlaue (Cr)'!$C:$FB,59)</f>
        <v>581</v>
      </c>
      <c r="K155" s="51">
        <f>VLOOKUP($A155,'Data Vlaue (Cr)'!$C:$FB,60)</f>
        <v>497</v>
      </c>
      <c r="L155" s="51">
        <f>VLOOKUP($A155,'Data Vlaue (Cr)'!$C:$FB,62)*100</f>
        <v>16.88</v>
      </c>
      <c r="M155" s="51">
        <f>VLOOKUP($A155,'Data Vlaue (Cr)'!$C:$FB,63)</f>
        <v>325</v>
      </c>
      <c r="N155" s="51">
        <f>VLOOKUP($A155,'Data Vlaue (Cr)'!$C:$FB,64)</f>
        <v>518</v>
      </c>
      <c r="O155" s="51">
        <f>VLOOKUP($A155,'Data Vlaue (Cr)'!$C:$FB,66)*100</f>
        <v>-37.25</v>
      </c>
    </row>
    <row r="156" spans="1:15" x14ac:dyDescent="0.25">
      <c r="A156" s="101" t="str">
        <f>'Data Vlaue (Cr)'!C151</f>
        <v>OIL</v>
      </c>
      <c r="B156" s="50">
        <f>VLOOKUP($A156,'Data Vlaue (Cr)'!$C:$FB,8)</f>
        <v>398.15</v>
      </c>
      <c r="C156" s="50">
        <f>VLOOKUP($A156,'Data Vlaue (Cr)'!$C:$FB,11)*100</f>
        <v>-0.88</v>
      </c>
      <c r="D156" s="50">
        <f>VLOOKUP($A156,'Data Vlaue (Cr)'!$C:$FB,143)</f>
        <v>257.52</v>
      </c>
      <c r="E156" s="50">
        <f>VLOOKUP($A156,'Data Vlaue (Cr)'!$C:$FB,144)</f>
        <v>163.95</v>
      </c>
      <c r="F156" s="50">
        <f>VLOOKUP($A156,'Data Vlaue (Cr)'!$C:$FB,146)*100</f>
        <v>57.07</v>
      </c>
      <c r="G156" s="49">
        <f>VLOOKUP($A156,'Data Vlaue (Cr)'!$C:$FB,43)</f>
        <v>43</v>
      </c>
      <c r="H156" s="49">
        <f>VLOOKUP($A156,'Data Vlaue (Cr)'!$C:$FB,44)</f>
        <v>38</v>
      </c>
      <c r="I156" s="49">
        <f>VLOOKUP($A156,'Data Vlaue (Cr)'!$C:$FB,46)*100</f>
        <v>11.06</v>
      </c>
      <c r="J156" s="51">
        <f>VLOOKUP($A156,'Data Vlaue (Cr)'!$C:$FB,59)</f>
        <v>154</v>
      </c>
      <c r="K156" s="51">
        <f>VLOOKUP($A156,'Data Vlaue (Cr)'!$C:$FB,60)</f>
        <v>84</v>
      </c>
      <c r="L156" s="51">
        <f>VLOOKUP($A156,'Data Vlaue (Cr)'!$C:$FB,62)*100</f>
        <v>82.64</v>
      </c>
      <c r="M156" s="51">
        <f>VLOOKUP($A156,'Data Vlaue (Cr)'!$C:$FB,63)</f>
        <v>52</v>
      </c>
      <c r="N156" s="51">
        <f>VLOOKUP($A156,'Data Vlaue (Cr)'!$C:$FB,64)</f>
        <v>34</v>
      </c>
      <c r="O156" s="51">
        <f>VLOOKUP($A156,'Data Vlaue (Cr)'!$C:$FB,66)*100</f>
        <v>52.690000000000005</v>
      </c>
    </row>
    <row r="157" spans="1:15" x14ac:dyDescent="0.25">
      <c r="A157" s="101" t="str">
        <f>'Data Vlaue (Cr)'!C152</f>
        <v>ONGC</v>
      </c>
      <c r="B157" s="50">
        <f>VLOOKUP($A157,'Data Vlaue (Cr)'!$C:$FB,8)</f>
        <v>232.91</v>
      </c>
      <c r="C157" s="50">
        <f>VLOOKUP($A157,'Data Vlaue (Cr)'!$C:$FB,11)*100</f>
        <v>0.3</v>
      </c>
      <c r="D157" s="50">
        <f>VLOOKUP($A157,'Data Vlaue (Cr)'!$C:$FB,143)</f>
        <v>1622.92</v>
      </c>
      <c r="E157" s="50">
        <f>VLOOKUP($A157,'Data Vlaue (Cr)'!$C:$FB,144)</f>
        <v>1478.9</v>
      </c>
      <c r="F157" s="50">
        <f>VLOOKUP($A157,'Data Vlaue (Cr)'!$C:$FB,146)*100</f>
        <v>9.74</v>
      </c>
      <c r="G157" s="49">
        <f>VLOOKUP($A157,'Data Vlaue (Cr)'!$C:$FB,43)</f>
        <v>252</v>
      </c>
      <c r="H157" s="49">
        <f>VLOOKUP($A157,'Data Vlaue (Cr)'!$C:$FB,44)</f>
        <v>237</v>
      </c>
      <c r="I157" s="49">
        <f>VLOOKUP($A157,'Data Vlaue (Cr)'!$C:$FB,46)*100</f>
        <v>6.0600000000000005</v>
      </c>
      <c r="J157" s="51">
        <f>VLOOKUP($A157,'Data Vlaue (Cr)'!$C:$FB,59)</f>
        <v>811</v>
      </c>
      <c r="K157" s="51">
        <f>VLOOKUP($A157,'Data Vlaue (Cr)'!$C:$FB,60)</f>
        <v>746</v>
      </c>
      <c r="L157" s="51">
        <f>VLOOKUP($A157,'Data Vlaue (Cr)'!$C:$FB,62)*100</f>
        <v>8.82</v>
      </c>
      <c r="M157" s="51">
        <f>VLOOKUP($A157,'Data Vlaue (Cr)'!$C:$FB,63)</f>
        <v>543</v>
      </c>
      <c r="N157" s="51">
        <f>VLOOKUP($A157,'Data Vlaue (Cr)'!$C:$FB,64)</f>
        <v>469</v>
      </c>
      <c r="O157" s="51">
        <f>VLOOKUP($A157,'Data Vlaue (Cr)'!$C:$FB,66)*100</f>
        <v>15.7</v>
      </c>
    </row>
    <row r="158" spans="1:15" x14ac:dyDescent="0.25">
      <c r="A158" s="101" t="str">
        <f>'Data Vlaue (Cr)'!C153</f>
        <v>PAGEIND</v>
      </c>
      <c r="B158" s="50">
        <f>VLOOKUP($A158,'Data Vlaue (Cr)'!$C:$FB,8)</f>
        <v>36055</v>
      </c>
      <c r="C158" s="50">
        <f>VLOOKUP($A158,'Data Vlaue (Cr)'!$C:$FB,11)*100</f>
        <v>-0.83</v>
      </c>
      <c r="D158" s="50">
        <f>VLOOKUP($A158,'Data Vlaue (Cr)'!$C:$FB,143)</f>
        <v>819.45</v>
      </c>
      <c r="E158" s="50">
        <f>VLOOKUP($A158,'Data Vlaue (Cr)'!$C:$FB,144)</f>
        <v>572.77</v>
      </c>
      <c r="F158" s="50">
        <f>VLOOKUP($A158,'Data Vlaue (Cr)'!$C:$FB,146)*100</f>
        <v>43.07</v>
      </c>
      <c r="G158" s="49">
        <f>VLOOKUP($A158,'Data Vlaue (Cr)'!$C:$FB,43)</f>
        <v>120</v>
      </c>
      <c r="H158" s="49">
        <f>VLOOKUP($A158,'Data Vlaue (Cr)'!$C:$FB,44)</f>
        <v>75</v>
      </c>
      <c r="I158" s="49">
        <f>VLOOKUP($A158,'Data Vlaue (Cr)'!$C:$FB,46)*100</f>
        <v>59.209999999999994</v>
      </c>
      <c r="J158" s="51">
        <f>VLOOKUP($A158,'Data Vlaue (Cr)'!$C:$FB,59)</f>
        <v>532</v>
      </c>
      <c r="K158" s="51">
        <f>VLOOKUP($A158,'Data Vlaue (Cr)'!$C:$FB,60)</f>
        <v>369</v>
      </c>
      <c r="L158" s="51">
        <f>VLOOKUP($A158,'Data Vlaue (Cr)'!$C:$FB,62)*100</f>
        <v>44.17</v>
      </c>
      <c r="M158" s="51">
        <f>VLOOKUP($A158,'Data Vlaue (Cr)'!$C:$FB,63)</f>
        <v>128</v>
      </c>
      <c r="N158" s="51">
        <f>VLOOKUP($A158,'Data Vlaue (Cr)'!$C:$FB,64)</f>
        <v>93</v>
      </c>
      <c r="O158" s="51">
        <f>VLOOKUP($A158,'Data Vlaue (Cr)'!$C:$FB,66)*100</f>
        <v>38.56</v>
      </c>
    </row>
    <row r="159" spans="1:15" x14ac:dyDescent="0.25">
      <c r="A159" s="101" t="str">
        <f>'Data Vlaue (Cr)'!C154</f>
        <v>PATANJALI</v>
      </c>
      <c r="B159" s="50">
        <f>VLOOKUP($A159,'Data Vlaue (Cr)'!$C:$FB,8)</f>
        <v>543.9</v>
      </c>
      <c r="C159" s="50">
        <f>VLOOKUP($A159,'Data Vlaue (Cr)'!$C:$FB,11)*100</f>
        <v>1.1199999999999999</v>
      </c>
      <c r="D159" s="50">
        <f>VLOOKUP($A159,'Data Vlaue (Cr)'!$C:$FB,143)</f>
        <v>1344.58</v>
      </c>
      <c r="E159" s="50">
        <f>VLOOKUP($A159,'Data Vlaue (Cr)'!$C:$FB,144)</f>
        <v>900.32</v>
      </c>
      <c r="F159" s="50">
        <f>VLOOKUP($A159,'Data Vlaue (Cr)'!$C:$FB,146)*100</f>
        <v>49.34</v>
      </c>
      <c r="G159" s="49">
        <f>VLOOKUP($A159,'Data Vlaue (Cr)'!$C:$FB,43)</f>
        <v>511</v>
      </c>
      <c r="H159" s="49">
        <f>VLOOKUP($A159,'Data Vlaue (Cr)'!$C:$FB,44)</f>
        <v>402</v>
      </c>
      <c r="I159" s="49">
        <f>VLOOKUP($A159,'Data Vlaue (Cr)'!$C:$FB,46)*100</f>
        <v>27.02</v>
      </c>
      <c r="J159" s="51">
        <f>VLOOKUP($A159,'Data Vlaue (Cr)'!$C:$FB,59)</f>
        <v>622</v>
      </c>
      <c r="K159" s="51">
        <f>VLOOKUP($A159,'Data Vlaue (Cr)'!$C:$FB,60)</f>
        <v>375</v>
      </c>
      <c r="L159" s="51">
        <f>VLOOKUP($A159,'Data Vlaue (Cr)'!$C:$FB,62)*100</f>
        <v>66.19</v>
      </c>
      <c r="M159" s="51">
        <f>VLOOKUP($A159,'Data Vlaue (Cr)'!$C:$FB,63)</f>
        <v>200</v>
      </c>
      <c r="N159" s="51">
        <f>VLOOKUP($A159,'Data Vlaue (Cr)'!$C:$FB,64)</f>
        <v>123</v>
      </c>
      <c r="O159" s="51">
        <f>VLOOKUP($A159,'Data Vlaue (Cr)'!$C:$FB,66)*100</f>
        <v>62.370000000000005</v>
      </c>
    </row>
    <row r="160" spans="1:15" x14ac:dyDescent="0.25">
      <c r="A160" s="101" t="str">
        <f>'Data Vlaue (Cr)'!C155</f>
        <v>PAYTM</v>
      </c>
      <c r="B160" s="50">
        <f>VLOOKUP($A160,'Data Vlaue (Cr)'!$C:$FB,8)</f>
        <v>1268.5999999999999</v>
      </c>
      <c r="C160" s="50">
        <f>VLOOKUP($A160,'Data Vlaue (Cr)'!$C:$FB,11)*100</f>
        <v>-1</v>
      </c>
      <c r="D160" s="50">
        <f>VLOOKUP($A160,'Data Vlaue (Cr)'!$C:$FB,143)</f>
        <v>2045.03</v>
      </c>
      <c r="E160" s="50">
        <f>VLOOKUP($A160,'Data Vlaue (Cr)'!$C:$FB,144)</f>
        <v>2249.52</v>
      </c>
      <c r="F160" s="50">
        <f>VLOOKUP($A160,'Data Vlaue (Cr)'!$C:$FB,146)*100</f>
        <v>-9.09</v>
      </c>
      <c r="G160" s="49">
        <f>VLOOKUP($A160,'Data Vlaue (Cr)'!$C:$FB,43)</f>
        <v>303</v>
      </c>
      <c r="H160" s="49">
        <f>VLOOKUP($A160,'Data Vlaue (Cr)'!$C:$FB,44)</f>
        <v>420</v>
      </c>
      <c r="I160" s="49">
        <f>VLOOKUP($A160,'Data Vlaue (Cr)'!$C:$FB,46)*100</f>
        <v>-27.85</v>
      </c>
      <c r="J160" s="51">
        <f>VLOOKUP($A160,'Data Vlaue (Cr)'!$C:$FB,59)</f>
        <v>1168</v>
      </c>
      <c r="K160" s="51">
        <f>VLOOKUP($A160,'Data Vlaue (Cr)'!$C:$FB,60)</f>
        <v>1150</v>
      </c>
      <c r="L160" s="51">
        <f>VLOOKUP($A160,'Data Vlaue (Cr)'!$C:$FB,62)*100</f>
        <v>1.6</v>
      </c>
      <c r="M160" s="51">
        <f>VLOOKUP($A160,'Data Vlaue (Cr)'!$C:$FB,63)</f>
        <v>510</v>
      </c>
      <c r="N160" s="51">
        <f>VLOOKUP($A160,'Data Vlaue (Cr)'!$C:$FB,64)</f>
        <v>600</v>
      </c>
      <c r="O160" s="51">
        <f>VLOOKUP($A160,'Data Vlaue (Cr)'!$C:$FB,66)*100</f>
        <v>-15.02</v>
      </c>
    </row>
    <row r="161" spans="1:15" x14ac:dyDescent="0.25">
      <c r="A161" s="101" t="str">
        <f>'Data Vlaue (Cr)'!C156</f>
        <v>PERSISTENT</v>
      </c>
      <c r="B161" s="50">
        <f>VLOOKUP($A161,'Data Vlaue (Cr)'!$C:$FB,8)</f>
        <v>6282.5</v>
      </c>
      <c r="C161" s="50">
        <f>VLOOKUP($A161,'Data Vlaue (Cr)'!$C:$FB,11)*100</f>
        <v>0.31</v>
      </c>
      <c r="D161" s="50">
        <f>VLOOKUP($A161,'Data Vlaue (Cr)'!$C:$FB,143)</f>
        <v>1489.25</v>
      </c>
      <c r="E161" s="50">
        <f>VLOOKUP($A161,'Data Vlaue (Cr)'!$C:$FB,144)</f>
        <v>1523.03</v>
      </c>
      <c r="F161" s="50">
        <f>VLOOKUP($A161,'Data Vlaue (Cr)'!$C:$FB,146)*100</f>
        <v>-2.2200000000000002</v>
      </c>
      <c r="G161" s="49">
        <f>VLOOKUP($A161,'Data Vlaue (Cr)'!$C:$FB,43)</f>
        <v>227</v>
      </c>
      <c r="H161" s="49">
        <f>VLOOKUP($A161,'Data Vlaue (Cr)'!$C:$FB,44)</f>
        <v>240</v>
      </c>
      <c r="I161" s="49">
        <f>VLOOKUP($A161,'Data Vlaue (Cr)'!$C:$FB,46)*100</f>
        <v>-5.29</v>
      </c>
      <c r="J161" s="51">
        <f>VLOOKUP($A161,'Data Vlaue (Cr)'!$C:$FB,59)</f>
        <v>839</v>
      </c>
      <c r="K161" s="51">
        <f>VLOOKUP($A161,'Data Vlaue (Cr)'!$C:$FB,60)</f>
        <v>729</v>
      </c>
      <c r="L161" s="51">
        <f>VLOOKUP($A161,'Data Vlaue (Cr)'!$C:$FB,62)*100</f>
        <v>15.17</v>
      </c>
      <c r="M161" s="51">
        <f>VLOOKUP($A161,'Data Vlaue (Cr)'!$C:$FB,63)</f>
        <v>391</v>
      </c>
      <c r="N161" s="51">
        <f>VLOOKUP($A161,'Data Vlaue (Cr)'!$C:$FB,64)</f>
        <v>533</v>
      </c>
      <c r="O161" s="51">
        <f>VLOOKUP($A161,'Data Vlaue (Cr)'!$C:$FB,66)*100</f>
        <v>-26.75</v>
      </c>
    </row>
    <row r="162" spans="1:15" x14ac:dyDescent="0.25">
      <c r="A162" s="101" t="str">
        <f>'Data Vlaue (Cr)'!C157</f>
        <v>PETRONET</v>
      </c>
      <c r="B162" s="50">
        <f>VLOOKUP($A162,'Data Vlaue (Cr)'!$C:$FB,8)</f>
        <v>268.64999999999998</v>
      </c>
      <c r="C162" s="50">
        <f>VLOOKUP($A162,'Data Vlaue (Cr)'!$C:$FB,11)*100</f>
        <v>1.49</v>
      </c>
      <c r="D162" s="50">
        <f>VLOOKUP($A162,'Data Vlaue (Cr)'!$C:$FB,143)</f>
        <v>355.83</v>
      </c>
      <c r="E162" s="50">
        <f>VLOOKUP($A162,'Data Vlaue (Cr)'!$C:$FB,144)</f>
        <v>455.15</v>
      </c>
      <c r="F162" s="50">
        <f>VLOOKUP($A162,'Data Vlaue (Cr)'!$C:$FB,146)*100</f>
        <v>-21.82</v>
      </c>
      <c r="G162" s="49">
        <f>VLOOKUP($A162,'Data Vlaue (Cr)'!$C:$FB,43)</f>
        <v>82</v>
      </c>
      <c r="H162" s="49">
        <f>VLOOKUP($A162,'Data Vlaue (Cr)'!$C:$FB,44)</f>
        <v>87</v>
      </c>
      <c r="I162" s="49">
        <f>VLOOKUP($A162,'Data Vlaue (Cr)'!$C:$FB,46)*100</f>
        <v>-5.93</v>
      </c>
      <c r="J162" s="51">
        <f>VLOOKUP($A162,'Data Vlaue (Cr)'!$C:$FB,59)</f>
        <v>159</v>
      </c>
      <c r="K162" s="51">
        <f>VLOOKUP($A162,'Data Vlaue (Cr)'!$C:$FB,60)</f>
        <v>218</v>
      </c>
      <c r="L162" s="51">
        <f>VLOOKUP($A162,'Data Vlaue (Cr)'!$C:$FB,62)*100</f>
        <v>-26.99</v>
      </c>
      <c r="M162" s="51">
        <f>VLOOKUP($A162,'Data Vlaue (Cr)'!$C:$FB,63)</f>
        <v>111</v>
      </c>
      <c r="N162" s="51">
        <f>VLOOKUP($A162,'Data Vlaue (Cr)'!$C:$FB,64)</f>
        <v>142</v>
      </c>
      <c r="O162" s="51">
        <f>VLOOKUP($A162,'Data Vlaue (Cr)'!$C:$FB,66)*100</f>
        <v>-22.28</v>
      </c>
    </row>
    <row r="163" spans="1:15" x14ac:dyDescent="0.25">
      <c r="A163" s="101" t="str">
        <f>'Data Vlaue (Cr)'!C158</f>
        <v>PFC</v>
      </c>
      <c r="B163" s="50">
        <f>VLOOKUP($A163,'Data Vlaue (Cr)'!$C:$FB,8)</f>
        <v>335.65</v>
      </c>
      <c r="C163" s="50">
        <f>VLOOKUP($A163,'Data Vlaue (Cr)'!$C:$FB,11)*100</f>
        <v>-0.15</v>
      </c>
      <c r="D163" s="50">
        <f>VLOOKUP($A163,'Data Vlaue (Cr)'!$C:$FB,143)</f>
        <v>1448.51</v>
      </c>
      <c r="E163" s="50">
        <f>VLOOKUP($A163,'Data Vlaue (Cr)'!$C:$FB,144)</f>
        <v>1658.22</v>
      </c>
      <c r="F163" s="50">
        <f>VLOOKUP($A163,'Data Vlaue (Cr)'!$C:$FB,146)*100</f>
        <v>-12.65</v>
      </c>
      <c r="G163" s="49">
        <f>VLOOKUP($A163,'Data Vlaue (Cr)'!$C:$FB,43)</f>
        <v>199</v>
      </c>
      <c r="H163" s="49">
        <f>VLOOKUP($A163,'Data Vlaue (Cr)'!$C:$FB,44)</f>
        <v>229</v>
      </c>
      <c r="I163" s="49">
        <f>VLOOKUP($A163,'Data Vlaue (Cr)'!$C:$FB,46)*100</f>
        <v>-13.01</v>
      </c>
      <c r="J163" s="51">
        <f>VLOOKUP($A163,'Data Vlaue (Cr)'!$C:$FB,59)</f>
        <v>869</v>
      </c>
      <c r="K163" s="51">
        <f>VLOOKUP($A163,'Data Vlaue (Cr)'!$C:$FB,60)</f>
        <v>1004</v>
      </c>
      <c r="L163" s="51">
        <f>VLOOKUP($A163,'Data Vlaue (Cr)'!$C:$FB,62)*100</f>
        <v>-13.44</v>
      </c>
      <c r="M163" s="51">
        <f>VLOOKUP($A163,'Data Vlaue (Cr)'!$C:$FB,63)</f>
        <v>330</v>
      </c>
      <c r="N163" s="51">
        <f>VLOOKUP($A163,'Data Vlaue (Cr)'!$C:$FB,64)</f>
        <v>366</v>
      </c>
      <c r="O163" s="51">
        <f>VLOOKUP($A163,'Data Vlaue (Cr)'!$C:$FB,66)*100</f>
        <v>-9.83</v>
      </c>
    </row>
    <row r="164" spans="1:15" x14ac:dyDescent="0.25">
      <c r="A164" s="101" t="str">
        <f>'Data Vlaue (Cr)'!C159</f>
        <v>PGEL</v>
      </c>
      <c r="B164" s="50">
        <f>VLOOKUP($A164,'Data Vlaue (Cr)'!$C:$FB,8)</f>
        <v>563.75</v>
      </c>
      <c r="C164" s="50">
        <f>VLOOKUP($A164,'Data Vlaue (Cr)'!$C:$FB,11)*100</f>
        <v>-1.26</v>
      </c>
      <c r="D164" s="50">
        <f>VLOOKUP($A164,'Data Vlaue (Cr)'!$C:$FB,143)</f>
        <v>701.76</v>
      </c>
      <c r="E164" s="50">
        <f>VLOOKUP($A164,'Data Vlaue (Cr)'!$C:$FB,144)</f>
        <v>1048.0899999999999</v>
      </c>
      <c r="F164" s="50">
        <f>VLOOKUP($A164,'Data Vlaue (Cr)'!$C:$FB,146)*100</f>
        <v>-33.040000000000006</v>
      </c>
      <c r="G164" s="49">
        <f>VLOOKUP($A164,'Data Vlaue (Cr)'!$C:$FB,43)</f>
        <v>83</v>
      </c>
      <c r="H164" s="49">
        <f>VLOOKUP($A164,'Data Vlaue (Cr)'!$C:$FB,44)</f>
        <v>149</v>
      </c>
      <c r="I164" s="49">
        <f>VLOOKUP($A164,'Data Vlaue (Cr)'!$C:$FB,46)*100</f>
        <v>-44.55</v>
      </c>
      <c r="J164" s="51">
        <f>VLOOKUP($A164,'Data Vlaue (Cr)'!$C:$FB,59)</f>
        <v>419</v>
      </c>
      <c r="K164" s="51">
        <f>VLOOKUP($A164,'Data Vlaue (Cr)'!$C:$FB,60)</f>
        <v>627</v>
      </c>
      <c r="L164" s="51">
        <f>VLOOKUP($A164,'Data Vlaue (Cr)'!$C:$FB,62)*100</f>
        <v>-33.15</v>
      </c>
      <c r="M164" s="51">
        <f>VLOOKUP($A164,'Data Vlaue (Cr)'!$C:$FB,63)</f>
        <v>174</v>
      </c>
      <c r="N164" s="51">
        <f>VLOOKUP($A164,'Data Vlaue (Cr)'!$C:$FB,64)</f>
        <v>232</v>
      </c>
      <c r="O164" s="51">
        <f>VLOOKUP($A164,'Data Vlaue (Cr)'!$C:$FB,66)*100</f>
        <v>-25.31</v>
      </c>
    </row>
    <row r="165" spans="1:15" x14ac:dyDescent="0.25">
      <c r="A165" s="101" t="str">
        <f>'Data Vlaue (Cr)'!C160</f>
        <v>PHOENIXLTD</v>
      </c>
      <c r="B165" s="50">
        <f>VLOOKUP($A165,'Data Vlaue (Cr)'!$C:$FB,8)</f>
        <v>1781.5</v>
      </c>
      <c r="C165" s="50">
        <f>VLOOKUP($A165,'Data Vlaue (Cr)'!$C:$FB,11)*100</f>
        <v>0.03</v>
      </c>
      <c r="D165" s="50">
        <f>VLOOKUP($A165,'Data Vlaue (Cr)'!$C:$FB,143)</f>
        <v>223.67</v>
      </c>
      <c r="E165" s="50">
        <f>VLOOKUP($A165,'Data Vlaue (Cr)'!$C:$FB,144)</f>
        <v>267.04000000000002</v>
      </c>
      <c r="F165" s="50">
        <f>VLOOKUP($A165,'Data Vlaue (Cr)'!$C:$FB,146)*100</f>
        <v>-16.239999999999998</v>
      </c>
      <c r="G165" s="49">
        <f>VLOOKUP($A165,'Data Vlaue (Cr)'!$C:$FB,43)</f>
        <v>65</v>
      </c>
      <c r="H165" s="49">
        <f>VLOOKUP($A165,'Data Vlaue (Cr)'!$C:$FB,44)</f>
        <v>85</v>
      </c>
      <c r="I165" s="49">
        <f>VLOOKUP($A165,'Data Vlaue (Cr)'!$C:$FB,46)*100</f>
        <v>-23.78</v>
      </c>
      <c r="J165" s="51">
        <f>VLOOKUP($A165,'Data Vlaue (Cr)'!$C:$FB,59)</f>
        <v>110</v>
      </c>
      <c r="K165" s="51">
        <f>VLOOKUP($A165,'Data Vlaue (Cr)'!$C:$FB,60)</f>
        <v>121</v>
      </c>
      <c r="L165" s="51">
        <f>VLOOKUP($A165,'Data Vlaue (Cr)'!$C:$FB,62)*100</f>
        <v>-8.82</v>
      </c>
      <c r="M165" s="51">
        <f>VLOOKUP($A165,'Data Vlaue (Cr)'!$C:$FB,63)</f>
        <v>46</v>
      </c>
      <c r="N165" s="51">
        <f>VLOOKUP($A165,'Data Vlaue (Cr)'!$C:$FB,64)</f>
        <v>57</v>
      </c>
      <c r="O165" s="51">
        <f>VLOOKUP($A165,'Data Vlaue (Cr)'!$C:$FB,66)*100</f>
        <v>-19.61</v>
      </c>
    </row>
    <row r="166" spans="1:15" x14ac:dyDescent="0.25">
      <c r="A166" s="101" t="str">
        <f>'Data Vlaue (Cr)'!C161</f>
        <v>PIDILITIND</v>
      </c>
      <c r="B166" s="50">
        <f>VLOOKUP($A166,'Data Vlaue (Cr)'!$C:$FB,8)</f>
        <v>1450.7</v>
      </c>
      <c r="C166" s="50">
        <f>VLOOKUP($A166,'Data Vlaue (Cr)'!$C:$FB,11)*100</f>
        <v>-1.52</v>
      </c>
      <c r="D166" s="50">
        <f>VLOOKUP($A166,'Data Vlaue (Cr)'!$C:$FB,143)</f>
        <v>523.11</v>
      </c>
      <c r="E166" s="50">
        <f>VLOOKUP($A166,'Data Vlaue (Cr)'!$C:$FB,144)</f>
        <v>472.92</v>
      </c>
      <c r="F166" s="50">
        <f>VLOOKUP($A166,'Data Vlaue (Cr)'!$C:$FB,146)*100</f>
        <v>10.61</v>
      </c>
      <c r="G166" s="49">
        <f>VLOOKUP($A166,'Data Vlaue (Cr)'!$C:$FB,43)</f>
        <v>204</v>
      </c>
      <c r="H166" s="49">
        <f>VLOOKUP($A166,'Data Vlaue (Cr)'!$C:$FB,44)</f>
        <v>105</v>
      </c>
      <c r="I166" s="49">
        <f>VLOOKUP($A166,'Data Vlaue (Cr)'!$C:$FB,46)*100</f>
        <v>94.87</v>
      </c>
      <c r="J166" s="51">
        <f>VLOOKUP($A166,'Data Vlaue (Cr)'!$C:$FB,59)</f>
        <v>179</v>
      </c>
      <c r="K166" s="51">
        <f>VLOOKUP($A166,'Data Vlaue (Cr)'!$C:$FB,60)</f>
        <v>262</v>
      </c>
      <c r="L166" s="51">
        <f>VLOOKUP($A166,'Data Vlaue (Cr)'!$C:$FB,62)*100</f>
        <v>-31.64</v>
      </c>
      <c r="M166" s="51">
        <f>VLOOKUP($A166,'Data Vlaue (Cr)'!$C:$FB,63)</f>
        <v>134</v>
      </c>
      <c r="N166" s="51">
        <f>VLOOKUP($A166,'Data Vlaue (Cr)'!$C:$FB,64)</f>
        <v>91</v>
      </c>
      <c r="O166" s="51">
        <f>VLOOKUP($A166,'Data Vlaue (Cr)'!$C:$FB,66)*100</f>
        <v>46.62</v>
      </c>
    </row>
    <row r="167" spans="1:15" x14ac:dyDescent="0.25">
      <c r="A167" s="101" t="str">
        <f>'Data Vlaue (Cr)'!C162</f>
        <v>PIIND</v>
      </c>
      <c r="B167" s="50">
        <f>VLOOKUP($A167,'Data Vlaue (Cr)'!$C:$FB,8)</f>
        <v>3206.2</v>
      </c>
      <c r="C167" s="50">
        <f>VLOOKUP($A167,'Data Vlaue (Cr)'!$C:$FB,11)*100</f>
        <v>-1.63</v>
      </c>
      <c r="D167" s="50">
        <f>VLOOKUP($A167,'Data Vlaue (Cr)'!$C:$FB,143)</f>
        <v>585.48</v>
      </c>
      <c r="E167" s="50">
        <f>VLOOKUP($A167,'Data Vlaue (Cr)'!$C:$FB,144)</f>
        <v>599.24</v>
      </c>
      <c r="F167" s="50">
        <f>VLOOKUP($A167,'Data Vlaue (Cr)'!$C:$FB,146)*100</f>
        <v>-2.2999999999999998</v>
      </c>
      <c r="G167" s="49">
        <f>VLOOKUP($A167,'Data Vlaue (Cr)'!$C:$FB,43)</f>
        <v>110</v>
      </c>
      <c r="H167" s="49">
        <f>VLOOKUP($A167,'Data Vlaue (Cr)'!$C:$FB,44)</f>
        <v>133</v>
      </c>
      <c r="I167" s="49">
        <f>VLOOKUP($A167,'Data Vlaue (Cr)'!$C:$FB,46)*100</f>
        <v>-17.34</v>
      </c>
      <c r="J167" s="51">
        <f>VLOOKUP($A167,'Data Vlaue (Cr)'!$C:$FB,59)</f>
        <v>278</v>
      </c>
      <c r="K167" s="51">
        <f>VLOOKUP($A167,'Data Vlaue (Cr)'!$C:$FB,60)</f>
        <v>297</v>
      </c>
      <c r="L167" s="51">
        <f>VLOOKUP($A167,'Data Vlaue (Cr)'!$C:$FB,62)*100</f>
        <v>-6.47</v>
      </c>
      <c r="M167" s="51">
        <f>VLOOKUP($A167,'Data Vlaue (Cr)'!$C:$FB,63)</f>
        <v>184</v>
      </c>
      <c r="N167" s="51">
        <f>VLOOKUP($A167,'Data Vlaue (Cr)'!$C:$FB,64)</f>
        <v>148</v>
      </c>
      <c r="O167" s="51">
        <f>VLOOKUP($A167,'Data Vlaue (Cr)'!$C:$FB,66)*100</f>
        <v>23.76</v>
      </c>
    </row>
    <row r="168" spans="1:15" x14ac:dyDescent="0.25">
      <c r="A168" s="101" t="str">
        <f>'Data Vlaue (Cr)'!C163</f>
        <v>PNB</v>
      </c>
      <c r="B168" s="50">
        <f>VLOOKUP($A168,'Data Vlaue (Cr)'!$C:$FB,8)</f>
        <v>119.33</v>
      </c>
      <c r="C168" s="50">
        <f>VLOOKUP($A168,'Data Vlaue (Cr)'!$C:$FB,11)*100</f>
        <v>1.97</v>
      </c>
      <c r="D168" s="50">
        <f>VLOOKUP($A168,'Data Vlaue (Cr)'!$C:$FB,143)</f>
        <v>4105.92</v>
      </c>
      <c r="E168" s="50">
        <f>VLOOKUP($A168,'Data Vlaue (Cr)'!$C:$FB,144)</f>
        <v>1947.86</v>
      </c>
      <c r="F168" s="50">
        <f>VLOOKUP($A168,'Data Vlaue (Cr)'!$C:$FB,146)*100</f>
        <v>110.79</v>
      </c>
      <c r="G168" s="49">
        <f>VLOOKUP($A168,'Data Vlaue (Cr)'!$C:$FB,43)</f>
        <v>597</v>
      </c>
      <c r="H168" s="49">
        <f>VLOOKUP($A168,'Data Vlaue (Cr)'!$C:$FB,44)</f>
        <v>387</v>
      </c>
      <c r="I168" s="49">
        <f>VLOOKUP($A168,'Data Vlaue (Cr)'!$C:$FB,46)*100</f>
        <v>54.290000000000006</v>
      </c>
      <c r="J168" s="51">
        <f>VLOOKUP($A168,'Data Vlaue (Cr)'!$C:$FB,59)</f>
        <v>2427</v>
      </c>
      <c r="K168" s="51">
        <f>VLOOKUP($A168,'Data Vlaue (Cr)'!$C:$FB,60)</f>
        <v>1024</v>
      </c>
      <c r="L168" s="51">
        <f>VLOOKUP($A168,'Data Vlaue (Cr)'!$C:$FB,62)*100</f>
        <v>136.97</v>
      </c>
      <c r="M168" s="51">
        <f>VLOOKUP($A168,'Data Vlaue (Cr)'!$C:$FB,63)</f>
        <v>1017</v>
      </c>
      <c r="N168" s="51">
        <f>VLOOKUP($A168,'Data Vlaue (Cr)'!$C:$FB,64)</f>
        <v>521</v>
      </c>
      <c r="O168" s="51">
        <f>VLOOKUP($A168,'Data Vlaue (Cr)'!$C:$FB,66)*100</f>
        <v>95.27</v>
      </c>
    </row>
    <row r="169" spans="1:15" x14ac:dyDescent="0.25">
      <c r="A169" s="101" t="str">
        <f>'Data Vlaue (Cr)'!C164</f>
        <v>PNBHOUSING</v>
      </c>
      <c r="B169" s="50">
        <f>VLOOKUP($A169,'Data Vlaue (Cr)'!$C:$FB,8)</f>
        <v>894.85</v>
      </c>
      <c r="C169" s="50">
        <f>VLOOKUP($A169,'Data Vlaue (Cr)'!$C:$FB,11)*100</f>
        <v>-2.0299999999999998</v>
      </c>
      <c r="D169" s="50">
        <f>VLOOKUP($A169,'Data Vlaue (Cr)'!$C:$FB,143)</f>
        <v>993.76</v>
      </c>
      <c r="E169" s="50">
        <f>VLOOKUP($A169,'Data Vlaue (Cr)'!$C:$FB,144)</f>
        <v>680.82</v>
      </c>
      <c r="F169" s="50">
        <f>VLOOKUP($A169,'Data Vlaue (Cr)'!$C:$FB,146)*100</f>
        <v>45.96</v>
      </c>
      <c r="G169" s="49">
        <f>VLOOKUP($A169,'Data Vlaue (Cr)'!$C:$FB,43)</f>
        <v>153</v>
      </c>
      <c r="H169" s="49">
        <f>VLOOKUP($A169,'Data Vlaue (Cr)'!$C:$FB,44)</f>
        <v>144</v>
      </c>
      <c r="I169" s="49">
        <f>VLOOKUP($A169,'Data Vlaue (Cr)'!$C:$FB,46)*100</f>
        <v>6.23</v>
      </c>
      <c r="J169" s="51">
        <f>VLOOKUP($A169,'Data Vlaue (Cr)'!$C:$FB,59)</f>
        <v>543</v>
      </c>
      <c r="K169" s="51">
        <f>VLOOKUP($A169,'Data Vlaue (Cr)'!$C:$FB,60)</f>
        <v>335</v>
      </c>
      <c r="L169" s="51">
        <f>VLOOKUP($A169,'Data Vlaue (Cr)'!$C:$FB,62)*100</f>
        <v>62.1</v>
      </c>
      <c r="M169" s="51">
        <f>VLOOKUP($A169,'Data Vlaue (Cr)'!$C:$FB,63)</f>
        <v>264</v>
      </c>
      <c r="N169" s="51">
        <f>VLOOKUP($A169,'Data Vlaue (Cr)'!$C:$FB,64)</f>
        <v>174</v>
      </c>
      <c r="O169" s="51">
        <f>VLOOKUP($A169,'Data Vlaue (Cr)'!$C:$FB,66)*100</f>
        <v>51.71</v>
      </c>
    </row>
    <row r="170" spans="1:15" x14ac:dyDescent="0.25">
      <c r="A170" s="101" t="str">
        <f>'Data Vlaue (Cr)'!C165</f>
        <v>POLICYBZR</v>
      </c>
      <c r="B170" s="50">
        <f>VLOOKUP($A170,'Data Vlaue (Cr)'!$C:$FB,8)</f>
        <v>1765</v>
      </c>
      <c r="C170" s="50">
        <f>VLOOKUP($A170,'Data Vlaue (Cr)'!$C:$FB,11)*100</f>
        <v>-3.05</v>
      </c>
      <c r="D170" s="50">
        <f>VLOOKUP($A170,'Data Vlaue (Cr)'!$C:$FB,143)</f>
        <v>4441.38</v>
      </c>
      <c r="E170" s="50">
        <f>VLOOKUP($A170,'Data Vlaue (Cr)'!$C:$FB,144)</f>
        <v>6758.15</v>
      </c>
      <c r="F170" s="50">
        <f>VLOOKUP($A170,'Data Vlaue (Cr)'!$C:$FB,146)*100</f>
        <v>-34.28</v>
      </c>
      <c r="G170" s="49">
        <f>VLOOKUP($A170,'Data Vlaue (Cr)'!$C:$FB,43)</f>
        <v>523</v>
      </c>
      <c r="H170" s="49">
        <f>VLOOKUP($A170,'Data Vlaue (Cr)'!$C:$FB,44)</f>
        <v>753</v>
      </c>
      <c r="I170" s="49">
        <f>VLOOKUP($A170,'Data Vlaue (Cr)'!$C:$FB,46)*100</f>
        <v>-30.490000000000002</v>
      </c>
      <c r="J170" s="51">
        <f>VLOOKUP($A170,'Data Vlaue (Cr)'!$C:$FB,59)</f>
        <v>1785</v>
      </c>
      <c r="K170" s="51">
        <f>VLOOKUP($A170,'Data Vlaue (Cr)'!$C:$FB,60)</f>
        <v>2416</v>
      </c>
      <c r="L170" s="51">
        <f>VLOOKUP($A170,'Data Vlaue (Cr)'!$C:$FB,62)*100</f>
        <v>-26.119999999999997</v>
      </c>
      <c r="M170" s="51">
        <f>VLOOKUP($A170,'Data Vlaue (Cr)'!$C:$FB,63)</f>
        <v>1976</v>
      </c>
      <c r="N170" s="51">
        <f>VLOOKUP($A170,'Data Vlaue (Cr)'!$C:$FB,64)</f>
        <v>3235</v>
      </c>
      <c r="O170" s="51">
        <f>VLOOKUP($A170,'Data Vlaue (Cr)'!$C:$FB,66)*100</f>
        <v>-38.93</v>
      </c>
    </row>
    <row r="171" spans="1:15" x14ac:dyDescent="0.25">
      <c r="A171" s="101" t="str">
        <f>'Data Vlaue (Cr)'!C166</f>
        <v>POLYCAB</v>
      </c>
      <c r="B171" s="50">
        <f>VLOOKUP($A171,'Data Vlaue (Cr)'!$C:$FB,8)</f>
        <v>7079.5</v>
      </c>
      <c r="C171" s="50">
        <f>VLOOKUP($A171,'Data Vlaue (Cr)'!$C:$FB,11)*100</f>
        <v>-3.83</v>
      </c>
      <c r="D171" s="50">
        <f>VLOOKUP($A171,'Data Vlaue (Cr)'!$C:$FB,143)</f>
        <v>8065.68</v>
      </c>
      <c r="E171" s="50">
        <f>VLOOKUP($A171,'Data Vlaue (Cr)'!$C:$FB,144)</f>
        <v>1201.06</v>
      </c>
      <c r="F171" s="50">
        <f>VLOOKUP($A171,'Data Vlaue (Cr)'!$C:$FB,146)*100</f>
        <v>571.54999999999995</v>
      </c>
      <c r="G171" s="49">
        <f>VLOOKUP($A171,'Data Vlaue (Cr)'!$C:$FB,43)</f>
        <v>817</v>
      </c>
      <c r="H171" s="49">
        <f>VLOOKUP($A171,'Data Vlaue (Cr)'!$C:$FB,44)</f>
        <v>269</v>
      </c>
      <c r="I171" s="49">
        <f>VLOOKUP($A171,'Data Vlaue (Cr)'!$C:$FB,46)*100</f>
        <v>203.56</v>
      </c>
      <c r="J171" s="51">
        <f>VLOOKUP($A171,'Data Vlaue (Cr)'!$C:$FB,59)</f>
        <v>3228</v>
      </c>
      <c r="K171" s="51">
        <f>VLOOKUP($A171,'Data Vlaue (Cr)'!$C:$FB,60)</f>
        <v>605</v>
      </c>
      <c r="L171" s="51">
        <f>VLOOKUP($A171,'Data Vlaue (Cr)'!$C:$FB,62)*100</f>
        <v>434.01</v>
      </c>
      <c r="M171" s="51">
        <f>VLOOKUP($A171,'Data Vlaue (Cr)'!$C:$FB,63)</f>
        <v>3905</v>
      </c>
      <c r="N171" s="51">
        <f>VLOOKUP($A171,'Data Vlaue (Cr)'!$C:$FB,64)</f>
        <v>263</v>
      </c>
      <c r="O171" s="51">
        <f>VLOOKUP($A171,'Data Vlaue (Cr)'!$C:$FB,66)*100</f>
        <v>1383.91</v>
      </c>
    </row>
    <row r="172" spans="1:15" x14ac:dyDescent="0.25">
      <c r="A172" s="101" t="str">
        <f>'Data Vlaue (Cr)'!C167</f>
        <v>POWERGRID</v>
      </c>
      <c r="B172" s="50">
        <f>VLOOKUP($A172,'Data Vlaue (Cr)'!$C:$FB,8)</f>
        <v>261.10000000000002</v>
      </c>
      <c r="C172" s="50">
        <f>VLOOKUP($A172,'Data Vlaue (Cr)'!$C:$FB,11)*100</f>
        <v>0.28999999999999998</v>
      </c>
      <c r="D172" s="50">
        <f>VLOOKUP($A172,'Data Vlaue (Cr)'!$C:$FB,143)</f>
        <v>769.21</v>
      </c>
      <c r="E172" s="50">
        <f>VLOOKUP($A172,'Data Vlaue (Cr)'!$C:$FB,144)</f>
        <v>848.81</v>
      </c>
      <c r="F172" s="50">
        <f>VLOOKUP($A172,'Data Vlaue (Cr)'!$C:$FB,146)*100</f>
        <v>-9.379999999999999</v>
      </c>
      <c r="G172" s="49">
        <f>VLOOKUP($A172,'Data Vlaue (Cr)'!$C:$FB,43)</f>
        <v>194</v>
      </c>
      <c r="H172" s="49">
        <f>VLOOKUP($A172,'Data Vlaue (Cr)'!$C:$FB,44)</f>
        <v>227</v>
      </c>
      <c r="I172" s="49">
        <f>VLOOKUP($A172,'Data Vlaue (Cr)'!$C:$FB,46)*100</f>
        <v>-14.49</v>
      </c>
      <c r="J172" s="51">
        <f>VLOOKUP($A172,'Data Vlaue (Cr)'!$C:$FB,59)</f>
        <v>417</v>
      </c>
      <c r="K172" s="51">
        <f>VLOOKUP($A172,'Data Vlaue (Cr)'!$C:$FB,60)</f>
        <v>466</v>
      </c>
      <c r="L172" s="51">
        <f>VLOOKUP($A172,'Data Vlaue (Cr)'!$C:$FB,62)*100</f>
        <v>-10.51</v>
      </c>
      <c r="M172" s="51">
        <f>VLOOKUP($A172,'Data Vlaue (Cr)'!$C:$FB,63)</f>
        <v>144</v>
      </c>
      <c r="N172" s="51">
        <f>VLOOKUP($A172,'Data Vlaue (Cr)'!$C:$FB,64)</f>
        <v>138</v>
      </c>
      <c r="O172" s="51">
        <f>VLOOKUP($A172,'Data Vlaue (Cr)'!$C:$FB,66)*100</f>
        <v>4.7</v>
      </c>
    </row>
    <row r="173" spans="1:15" x14ac:dyDescent="0.25">
      <c r="A173" s="101" t="str">
        <f>'Data Vlaue (Cr)'!C168</f>
        <v>POWERINDIA</v>
      </c>
      <c r="B173" s="50">
        <f>VLOOKUP($A173,'Data Vlaue (Cr)'!$C:$FB,8)</f>
        <v>19150</v>
      </c>
      <c r="C173" s="50">
        <f>VLOOKUP($A173,'Data Vlaue (Cr)'!$C:$FB,11)*100</f>
        <v>-0.88</v>
      </c>
      <c r="D173" s="50">
        <f>VLOOKUP($A173,'Data Vlaue (Cr)'!$C:$FB,143)</f>
        <v>1266.33</v>
      </c>
      <c r="E173" s="50">
        <f>VLOOKUP($A173,'Data Vlaue (Cr)'!$C:$FB,144)</f>
        <v>736.22</v>
      </c>
      <c r="F173" s="50">
        <f>VLOOKUP($A173,'Data Vlaue (Cr)'!$C:$FB,146)*100</f>
        <v>72.009999999999991</v>
      </c>
      <c r="G173" s="49">
        <f>VLOOKUP($A173,'Data Vlaue (Cr)'!$C:$FB,43)</f>
        <v>126</v>
      </c>
      <c r="H173" s="49">
        <f>VLOOKUP($A173,'Data Vlaue (Cr)'!$C:$FB,44)</f>
        <v>82</v>
      </c>
      <c r="I173" s="49">
        <f>VLOOKUP($A173,'Data Vlaue (Cr)'!$C:$FB,46)*100</f>
        <v>54.290000000000006</v>
      </c>
      <c r="J173" s="51">
        <f>VLOOKUP($A173,'Data Vlaue (Cr)'!$C:$FB,59)</f>
        <v>824</v>
      </c>
      <c r="K173" s="51">
        <f>VLOOKUP($A173,'Data Vlaue (Cr)'!$C:$FB,60)</f>
        <v>443</v>
      </c>
      <c r="L173" s="51">
        <f>VLOOKUP($A173,'Data Vlaue (Cr)'!$C:$FB,62)*100</f>
        <v>86.06</v>
      </c>
      <c r="M173" s="51">
        <f>VLOOKUP($A173,'Data Vlaue (Cr)'!$C:$FB,63)</f>
        <v>229</v>
      </c>
      <c r="N173" s="51">
        <f>VLOOKUP($A173,'Data Vlaue (Cr)'!$C:$FB,64)</f>
        <v>164</v>
      </c>
      <c r="O173" s="51">
        <f>VLOOKUP($A173,'Data Vlaue (Cr)'!$C:$FB,66)*100</f>
        <v>38.96</v>
      </c>
    </row>
    <row r="174" spans="1:15" x14ac:dyDescent="0.25">
      <c r="A174" s="101" t="str">
        <f>'Data Vlaue (Cr)'!C169</f>
        <v>PPLPHARMA</v>
      </c>
      <c r="B174" s="50">
        <f>VLOOKUP($A174,'Data Vlaue (Cr)'!$C:$FB,8)</f>
        <v>167.9</v>
      </c>
      <c r="C174" s="50">
        <f>VLOOKUP($A174,'Data Vlaue (Cr)'!$C:$FB,11)*100</f>
        <v>-0.42</v>
      </c>
      <c r="D174" s="50">
        <f>VLOOKUP($A174,'Data Vlaue (Cr)'!$C:$FB,143)</f>
        <v>271.62</v>
      </c>
      <c r="E174" s="50">
        <f>VLOOKUP($A174,'Data Vlaue (Cr)'!$C:$FB,144)</f>
        <v>383.46</v>
      </c>
      <c r="F174" s="50">
        <f>VLOOKUP($A174,'Data Vlaue (Cr)'!$C:$FB,146)*100</f>
        <v>-29.17</v>
      </c>
      <c r="G174" s="49">
        <f>VLOOKUP($A174,'Data Vlaue (Cr)'!$C:$FB,43)</f>
        <v>67</v>
      </c>
      <c r="H174" s="49">
        <f>VLOOKUP($A174,'Data Vlaue (Cr)'!$C:$FB,44)</f>
        <v>104</v>
      </c>
      <c r="I174" s="49">
        <f>VLOOKUP($A174,'Data Vlaue (Cr)'!$C:$FB,46)*100</f>
        <v>-35.339999999999996</v>
      </c>
      <c r="J174" s="51">
        <f>VLOOKUP($A174,'Data Vlaue (Cr)'!$C:$FB,59)</f>
        <v>137</v>
      </c>
      <c r="K174" s="51">
        <f>VLOOKUP($A174,'Data Vlaue (Cr)'!$C:$FB,60)</f>
        <v>190</v>
      </c>
      <c r="L174" s="51">
        <f>VLOOKUP($A174,'Data Vlaue (Cr)'!$C:$FB,62)*100</f>
        <v>-27.79</v>
      </c>
      <c r="M174" s="51">
        <f>VLOOKUP($A174,'Data Vlaue (Cr)'!$C:$FB,63)</f>
        <v>55</v>
      </c>
      <c r="N174" s="51">
        <f>VLOOKUP($A174,'Data Vlaue (Cr)'!$C:$FB,64)</f>
        <v>71</v>
      </c>
      <c r="O174" s="51">
        <f>VLOOKUP($A174,'Data Vlaue (Cr)'!$C:$FB,66)*100</f>
        <v>-23.3</v>
      </c>
    </row>
    <row r="175" spans="1:15" x14ac:dyDescent="0.25">
      <c r="A175" s="101" t="str">
        <f>'Data Vlaue (Cr)'!C170</f>
        <v>PRESTIGE</v>
      </c>
      <c r="B175" s="50">
        <f>VLOOKUP($A175,'Data Vlaue (Cr)'!$C:$FB,8)</f>
        <v>1607.4</v>
      </c>
      <c r="C175" s="50">
        <f>VLOOKUP($A175,'Data Vlaue (Cr)'!$C:$FB,11)*100</f>
        <v>-1.26</v>
      </c>
      <c r="D175" s="50">
        <f>VLOOKUP($A175,'Data Vlaue (Cr)'!$C:$FB,143)</f>
        <v>293.98</v>
      </c>
      <c r="E175" s="50">
        <f>VLOOKUP($A175,'Data Vlaue (Cr)'!$C:$FB,144)</f>
        <v>497.34</v>
      </c>
      <c r="F175" s="50">
        <f>VLOOKUP($A175,'Data Vlaue (Cr)'!$C:$FB,146)*100</f>
        <v>-40.89</v>
      </c>
      <c r="G175" s="49">
        <f>VLOOKUP($A175,'Data Vlaue (Cr)'!$C:$FB,43)</f>
        <v>61</v>
      </c>
      <c r="H175" s="49">
        <f>VLOOKUP($A175,'Data Vlaue (Cr)'!$C:$FB,44)</f>
        <v>89</v>
      </c>
      <c r="I175" s="49">
        <f>VLOOKUP($A175,'Data Vlaue (Cr)'!$C:$FB,46)*100</f>
        <v>-31.080000000000002</v>
      </c>
      <c r="J175" s="51">
        <f>VLOOKUP($A175,'Data Vlaue (Cr)'!$C:$FB,59)</f>
        <v>148</v>
      </c>
      <c r="K175" s="51">
        <f>VLOOKUP($A175,'Data Vlaue (Cr)'!$C:$FB,60)</f>
        <v>254</v>
      </c>
      <c r="L175" s="51">
        <f>VLOOKUP($A175,'Data Vlaue (Cr)'!$C:$FB,62)*100</f>
        <v>-41.67</v>
      </c>
      <c r="M175" s="51">
        <f>VLOOKUP($A175,'Data Vlaue (Cr)'!$C:$FB,63)</f>
        <v>76</v>
      </c>
      <c r="N175" s="51">
        <f>VLOOKUP($A175,'Data Vlaue (Cr)'!$C:$FB,64)</f>
        <v>135</v>
      </c>
      <c r="O175" s="51">
        <f>VLOOKUP($A175,'Data Vlaue (Cr)'!$C:$FB,66)*100</f>
        <v>-43.91</v>
      </c>
    </row>
    <row r="176" spans="1:15" x14ac:dyDescent="0.25">
      <c r="A176" s="101" t="str">
        <f>'Data Vlaue (Cr)'!C171</f>
        <v>RBLBANK</v>
      </c>
      <c r="B176" s="50">
        <f>VLOOKUP($A176,'Data Vlaue (Cr)'!$C:$FB,8)</f>
        <v>296.95</v>
      </c>
      <c r="C176" s="50">
        <f>VLOOKUP($A176,'Data Vlaue (Cr)'!$C:$FB,11)*100</f>
        <v>-1.25</v>
      </c>
      <c r="D176" s="50">
        <f>VLOOKUP($A176,'Data Vlaue (Cr)'!$C:$FB,143)</f>
        <v>1379.03</v>
      </c>
      <c r="E176" s="50">
        <f>VLOOKUP($A176,'Data Vlaue (Cr)'!$C:$FB,144)</f>
        <v>1181.1199999999999</v>
      </c>
      <c r="F176" s="50">
        <f>VLOOKUP($A176,'Data Vlaue (Cr)'!$C:$FB,146)*100</f>
        <v>16.760000000000002</v>
      </c>
      <c r="G176" s="49">
        <f>VLOOKUP($A176,'Data Vlaue (Cr)'!$C:$FB,43)</f>
        <v>472</v>
      </c>
      <c r="H176" s="49">
        <f>VLOOKUP($A176,'Data Vlaue (Cr)'!$C:$FB,44)</f>
        <v>366</v>
      </c>
      <c r="I176" s="49">
        <f>VLOOKUP($A176,'Data Vlaue (Cr)'!$C:$FB,46)*100</f>
        <v>29.110000000000003</v>
      </c>
      <c r="J176" s="51">
        <f>VLOOKUP($A176,'Data Vlaue (Cr)'!$C:$FB,59)</f>
        <v>449</v>
      </c>
      <c r="K176" s="51">
        <f>VLOOKUP($A176,'Data Vlaue (Cr)'!$C:$FB,60)</f>
        <v>456</v>
      </c>
      <c r="L176" s="51">
        <f>VLOOKUP($A176,'Data Vlaue (Cr)'!$C:$FB,62)*100</f>
        <v>-1.41</v>
      </c>
      <c r="M176" s="51">
        <f>VLOOKUP($A176,'Data Vlaue (Cr)'!$C:$FB,63)</f>
        <v>435</v>
      </c>
      <c r="N176" s="51">
        <f>VLOOKUP($A176,'Data Vlaue (Cr)'!$C:$FB,64)</f>
        <v>327</v>
      </c>
      <c r="O176" s="51">
        <f>VLOOKUP($A176,'Data Vlaue (Cr)'!$C:$FB,66)*100</f>
        <v>33.269999999999996</v>
      </c>
    </row>
    <row r="177" spans="1:15" x14ac:dyDescent="0.25">
      <c r="A177" s="101" t="str">
        <f>'Data Vlaue (Cr)'!C172</f>
        <v>RECLTD</v>
      </c>
      <c r="B177" s="50">
        <f>VLOOKUP($A177,'Data Vlaue (Cr)'!$C:$FB,8)</f>
        <v>333.95</v>
      </c>
      <c r="C177" s="50">
        <f>VLOOKUP($A177,'Data Vlaue (Cr)'!$C:$FB,11)*100</f>
        <v>-0.43</v>
      </c>
      <c r="D177" s="50">
        <f>VLOOKUP($A177,'Data Vlaue (Cr)'!$C:$FB,143)</f>
        <v>1841.39</v>
      </c>
      <c r="E177" s="50">
        <f>VLOOKUP($A177,'Data Vlaue (Cr)'!$C:$FB,144)</f>
        <v>1896.7</v>
      </c>
      <c r="F177" s="50">
        <f>VLOOKUP($A177,'Data Vlaue (Cr)'!$C:$FB,146)*100</f>
        <v>-2.92</v>
      </c>
      <c r="G177" s="49">
        <f>VLOOKUP($A177,'Data Vlaue (Cr)'!$C:$FB,43)</f>
        <v>235</v>
      </c>
      <c r="H177" s="49">
        <f>VLOOKUP($A177,'Data Vlaue (Cr)'!$C:$FB,44)</f>
        <v>350</v>
      </c>
      <c r="I177" s="49">
        <f>VLOOKUP($A177,'Data Vlaue (Cr)'!$C:$FB,46)*100</f>
        <v>-32.86</v>
      </c>
      <c r="J177" s="51">
        <f>VLOOKUP($A177,'Data Vlaue (Cr)'!$C:$FB,59)</f>
        <v>1045</v>
      </c>
      <c r="K177" s="51">
        <f>VLOOKUP($A177,'Data Vlaue (Cr)'!$C:$FB,60)</f>
        <v>1005</v>
      </c>
      <c r="L177" s="51">
        <f>VLOOKUP($A177,'Data Vlaue (Cr)'!$C:$FB,62)*100</f>
        <v>3.94</v>
      </c>
      <c r="M177" s="51">
        <f>VLOOKUP($A177,'Data Vlaue (Cr)'!$C:$FB,63)</f>
        <v>473</v>
      </c>
      <c r="N177" s="51">
        <f>VLOOKUP($A177,'Data Vlaue (Cr)'!$C:$FB,64)</f>
        <v>447</v>
      </c>
      <c r="O177" s="51">
        <f>VLOOKUP($A177,'Data Vlaue (Cr)'!$C:$FB,66)*100</f>
        <v>5.9700000000000006</v>
      </c>
    </row>
    <row r="178" spans="1:15" x14ac:dyDescent="0.25">
      <c r="A178" s="101" t="str">
        <f>'Data Vlaue (Cr)'!C173</f>
        <v>RELIANCE</v>
      </c>
      <c r="B178" s="50">
        <f>VLOOKUP($A178,'Data Vlaue (Cr)'!$C:$FB,8)</f>
        <v>1544.4</v>
      </c>
      <c r="C178" s="50">
        <f>VLOOKUP($A178,'Data Vlaue (Cr)'!$C:$FB,11)*100</f>
        <v>0.13999999999999999</v>
      </c>
      <c r="D178" s="50">
        <f>VLOOKUP($A178,'Data Vlaue (Cr)'!$C:$FB,143)</f>
        <v>9554.7900000000009</v>
      </c>
      <c r="E178" s="50">
        <f>VLOOKUP($A178,'Data Vlaue (Cr)'!$C:$FB,144)</f>
        <v>11599.54</v>
      </c>
      <c r="F178" s="50">
        <f>VLOOKUP($A178,'Data Vlaue (Cr)'!$C:$FB,146)*100</f>
        <v>-17.630000000000003</v>
      </c>
      <c r="G178" s="49">
        <f>VLOOKUP($A178,'Data Vlaue (Cr)'!$C:$FB,43)</f>
        <v>1171</v>
      </c>
      <c r="H178" s="49">
        <f>VLOOKUP($A178,'Data Vlaue (Cr)'!$C:$FB,44)</f>
        <v>1608</v>
      </c>
      <c r="I178" s="49">
        <f>VLOOKUP($A178,'Data Vlaue (Cr)'!$C:$FB,46)*100</f>
        <v>-27.13</v>
      </c>
      <c r="J178" s="51">
        <f>VLOOKUP($A178,'Data Vlaue (Cr)'!$C:$FB,59)</f>
        <v>5160</v>
      </c>
      <c r="K178" s="51">
        <f>VLOOKUP($A178,'Data Vlaue (Cr)'!$C:$FB,60)</f>
        <v>5867</v>
      </c>
      <c r="L178" s="51">
        <f>VLOOKUP($A178,'Data Vlaue (Cr)'!$C:$FB,62)*100</f>
        <v>-12.04</v>
      </c>
      <c r="M178" s="51">
        <f>VLOOKUP($A178,'Data Vlaue (Cr)'!$C:$FB,63)</f>
        <v>3132</v>
      </c>
      <c r="N178" s="51">
        <f>VLOOKUP($A178,'Data Vlaue (Cr)'!$C:$FB,64)</f>
        <v>4018</v>
      </c>
      <c r="O178" s="51">
        <f>VLOOKUP($A178,'Data Vlaue (Cr)'!$C:$FB,66)*100</f>
        <v>-22.06</v>
      </c>
    </row>
    <row r="179" spans="1:15" x14ac:dyDescent="0.25">
      <c r="A179" s="101" t="str">
        <f>'Data Vlaue (Cr)'!C174</f>
        <v>RVNL</v>
      </c>
      <c r="B179" s="50">
        <f>VLOOKUP($A179,'Data Vlaue (Cr)'!$C:$FB,8)</f>
        <v>307.25</v>
      </c>
      <c r="C179" s="50">
        <f>VLOOKUP($A179,'Data Vlaue (Cr)'!$C:$FB,11)*100</f>
        <v>-0.69</v>
      </c>
      <c r="D179" s="50">
        <f>VLOOKUP($A179,'Data Vlaue (Cr)'!$C:$FB,143)</f>
        <v>501.18</v>
      </c>
      <c r="E179" s="50">
        <f>VLOOKUP($A179,'Data Vlaue (Cr)'!$C:$FB,144)</f>
        <v>447.78</v>
      </c>
      <c r="F179" s="50">
        <f>VLOOKUP($A179,'Data Vlaue (Cr)'!$C:$FB,146)*100</f>
        <v>11.93</v>
      </c>
      <c r="G179" s="49">
        <f>VLOOKUP($A179,'Data Vlaue (Cr)'!$C:$FB,43)</f>
        <v>135</v>
      </c>
      <c r="H179" s="49">
        <f>VLOOKUP($A179,'Data Vlaue (Cr)'!$C:$FB,44)</f>
        <v>107</v>
      </c>
      <c r="I179" s="49">
        <f>VLOOKUP($A179,'Data Vlaue (Cr)'!$C:$FB,46)*100</f>
        <v>26.119999999999997</v>
      </c>
      <c r="J179" s="51">
        <f>VLOOKUP($A179,'Data Vlaue (Cr)'!$C:$FB,59)</f>
        <v>278</v>
      </c>
      <c r="K179" s="51">
        <f>VLOOKUP($A179,'Data Vlaue (Cr)'!$C:$FB,60)</f>
        <v>227</v>
      </c>
      <c r="L179" s="51">
        <f>VLOOKUP($A179,'Data Vlaue (Cr)'!$C:$FB,62)*100</f>
        <v>22.28</v>
      </c>
      <c r="M179" s="51">
        <f>VLOOKUP($A179,'Data Vlaue (Cr)'!$C:$FB,63)</f>
        <v>61</v>
      </c>
      <c r="N179" s="51">
        <f>VLOOKUP($A179,'Data Vlaue (Cr)'!$C:$FB,64)</f>
        <v>89</v>
      </c>
      <c r="O179" s="51">
        <f>VLOOKUP($A179,'Data Vlaue (Cr)'!$C:$FB,66)*100</f>
        <v>-32.019999999999996</v>
      </c>
    </row>
    <row r="180" spans="1:15" x14ac:dyDescent="0.25">
      <c r="A180" s="101" t="str">
        <f>'Data Vlaue (Cr)'!C175</f>
        <v>SAIL</v>
      </c>
      <c r="B180" s="50">
        <f>VLOOKUP($A180,'Data Vlaue (Cr)'!$C:$FB,8)</f>
        <v>130.19999999999999</v>
      </c>
      <c r="C180" s="50">
        <f>VLOOKUP($A180,'Data Vlaue (Cr)'!$C:$FB,11)*100</f>
        <v>0.4</v>
      </c>
      <c r="D180" s="50">
        <f>VLOOKUP($A180,'Data Vlaue (Cr)'!$C:$FB,143)</f>
        <v>568.70000000000005</v>
      </c>
      <c r="E180" s="50">
        <f>VLOOKUP($A180,'Data Vlaue (Cr)'!$C:$FB,144)</f>
        <v>940.83</v>
      </c>
      <c r="F180" s="50">
        <f>VLOOKUP($A180,'Data Vlaue (Cr)'!$C:$FB,146)*100</f>
        <v>-39.550000000000004</v>
      </c>
      <c r="G180" s="49">
        <f>VLOOKUP($A180,'Data Vlaue (Cr)'!$C:$FB,43)</f>
        <v>186</v>
      </c>
      <c r="H180" s="49">
        <f>VLOOKUP($A180,'Data Vlaue (Cr)'!$C:$FB,44)</f>
        <v>318</v>
      </c>
      <c r="I180" s="49">
        <f>VLOOKUP($A180,'Data Vlaue (Cr)'!$C:$FB,46)*100</f>
        <v>-41.699999999999996</v>
      </c>
      <c r="J180" s="51">
        <f>VLOOKUP($A180,'Data Vlaue (Cr)'!$C:$FB,59)</f>
        <v>283</v>
      </c>
      <c r="K180" s="51">
        <f>VLOOKUP($A180,'Data Vlaue (Cr)'!$C:$FB,60)</f>
        <v>430</v>
      </c>
      <c r="L180" s="51">
        <f>VLOOKUP($A180,'Data Vlaue (Cr)'!$C:$FB,62)*100</f>
        <v>-34.18</v>
      </c>
      <c r="M180" s="51">
        <f>VLOOKUP($A180,'Data Vlaue (Cr)'!$C:$FB,63)</f>
        <v>87</v>
      </c>
      <c r="N180" s="51">
        <f>VLOOKUP($A180,'Data Vlaue (Cr)'!$C:$FB,64)</f>
        <v>173</v>
      </c>
      <c r="O180" s="51">
        <f>VLOOKUP($A180,'Data Vlaue (Cr)'!$C:$FB,66)*100</f>
        <v>-49.72</v>
      </c>
    </row>
    <row r="181" spans="1:15" x14ac:dyDescent="0.25">
      <c r="A181" s="101" t="str">
        <f>'Data Vlaue (Cr)'!C176</f>
        <v>SAMMAANCAP</v>
      </c>
      <c r="B181" s="50">
        <f>VLOOKUP($A181,'Data Vlaue (Cr)'!$C:$FB,8)</f>
        <v>145.78</v>
      </c>
      <c r="C181" s="50">
        <f>VLOOKUP($A181,'Data Vlaue (Cr)'!$C:$FB,11)*100</f>
        <v>-0.76</v>
      </c>
      <c r="D181" s="50">
        <f>VLOOKUP($A181,'Data Vlaue (Cr)'!$C:$FB,143)</f>
        <v>6455.2</v>
      </c>
      <c r="E181" s="50">
        <f>VLOOKUP($A181,'Data Vlaue (Cr)'!$C:$FB,144)</f>
        <v>995.36</v>
      </c>
      <c r="F181" s="50">
        <f>VLOOKUP($A181,'Data Vlaue (Cr)'!$C:$FB,146)*100</f>
        <v>548.53</v>
      </c>
      <c r="G181" s="49">
        <f>VLOOKUP($A181,'Data Vlaue (Cr)'!$C:$FB,43)</f>
        <v>1199</v>
      </c>
      <c r="H181" s="49">
        <f>VLOOKUP($A181,'Data Vlaue (Cr)'!$C:$FB,44)</f>
        <v>257</v>
      </c>
      <c r="I181" s="49">
        <f>VLOOKUP($A181,'Data Vlaue (Cr)'!$C:$FB,46)*100</f>
        <v>366.21000000000004</v>
      </c>
      <c r="J181" s="51">
        <f>VLOOKUP($A181,'Data Vlaue (Cr)'!$C:$FB,59)</f>
        <v>3145</v>
      </c>
      <c r="K181" s="51">
        <f>VLOOKUP($A181,'Data Vlaue (Cr)'!$C:$FB,60)</f>
        <v>510</v>
      </c>
      <c r="L181" s="51">
        <f>VLOOKUP($A181,'Data Vlaue (Cr)'!$C:$FB,62)*100</f>
        <v>517.07000000000005</v>
      </c>
      <c r="M181" s="51">
        <f>VLOOKUP($A181,'Data Vlaue (Cr)'!$C:$FB,63)</f>
        <v>1783</v>
      </c>
      <c r="N181" s="51">
        <f>VLOOKUP($A181,'Data Vlaue (Cr)'!$C:$FB,64)</f>
        <v>165</v>
      </c>
      <c r="O181" s="51">
        <f>VLOOKUP($A181,'Data Vlaue (Cr)'!$C:$FB,66)*100</f>
        <v>979.53</v>
      </c>
    </row>
    <row r="182" spans="1:15" x14ac:dyDescent="0.25">
      <c r="A182" s="101" t="str">
        <f>'Data Vlaue (Cr)'!C177</f>
        <v>SBICARD</v>
      </c>
      <c r="B182" s="50">
        <f>VLOOKUP($A182,'Data Vlaue (Cr)'!$C:$FB,8)</f>
        <v>834.4</v>
      </c>
      <c r="C182" s="50">
        <f>VLOOKUP($A182,'Data Vlaue (Cr)'!$C:$FB,11)*100</f>
        <v>-1.5699999999999998</v>
      </c>
      <c r="D182" s="50">
        <f>VLOOKUP($A182,'Data Vlaue (Cr)'!$C:$FB,143)</f>
        <v>1391.32</v>
      </c>
      <c r="E182" s="50">
        <f>VLOOKUP($A182,'Data Vlaue (Cr)'!$C:$FB,144)</f>
        <v>1122.6300000000001</v>
      </c>
      <c r="F182" s="50">
        <f>VLOOKUP($A182,'Data Vlaue (Cr)'!$C:$FB,146)*100</f>
        <v>23.93</v>
      </c>
      <c r="G182" s="49">
        <f>VLOOKUP($A182,'Data Vlaue (Cr)'!$C:$FB,43)</f>
        <v>206</v>
      </c>
      <c r="H182" s="49">
        <f>VLOOKUP($A182,'Data Vlaue (Cr)'!$C:$FB,44)</f>
        <v>226</v>
      </c>
      <c r="I182" s="49">
        <f>VLOOKUP($A182,'Data Vlaue (Cr)'!$C:$FB,46)*100</f>
        <v>-8.85</v>
      </c>
      <c r="J182" s="51">
        <f>VLOOKUP($A182,'Data Vlaue (Cr)'!$C:$FB,59)</f>
        <v>606</v>
      </c>
      <c r="K182" s="51">
        <f>VLOOKUP($A182,'Data Vlaue (Cr)'!$C:$FB,60)</f>
        <v>547</v>
      </c>
      <c r="L182" s="51">
        <f>VLOOKUP($A182,'Data Vlaue (Cr)'!$C:$FB,62)*100</f>
        <v>10.82</v>
      </c>
      <c r="M182" s="51">
        <f>VLOOKUP($A182,'Data Vlaue (Cr)'!$C:$FB,63)</f>
        <v>540</v>
      </c>
      <c r="N182" s="51">
        <f>VLOOKUP($A182,'Data Vlaue (Cr)'!$C:$FB,64)</f>
        <v>300</v>
      </c>
      <c r="O182" s="51">
        <f>VLOOKUP($A182,'Data Vlaue (Cr)'!$C:$FB,66)*100</f>
        <v>80.069999999999993</v>
      </c>
    </row>
    <row r="183" spans="1:15" x14ac:dyDescent="0.25">
      <c r="A183" s="101" t="str">
        <f>'Data Vlaue (Cr)'!C178</f>
        <v>SBILIFE</v>
      </c>
      <c r="B183" s="50">
        <f>VLOOKUP($A183,'Data Vlaue (Cr)'!$C:$FB,8)</f>
        <v>2010.2</v>
      </c>
      <c r="C183" s="50">
        <f>VLOOKUP($A183,'Data Vlaue (Cr)'!$C:$FB,11)*100</f>
        <v>-1.27</v>
      </c>
      <c r="D183" s="50">
        <f>VLOOKUP($A183,'Data Vlaue (Cr)'!$C:$FB,143)</f>
        <v>2721.98</v>
      </c>
      <c r="E183" s="50">
        <f>VLOOKUP($A183,'Data Vlaue (Cr)'!$C:$FB,144)</f>
        <v>2246.33</v>
      </c>
      <c r="F183" s="50">
        <f>VLOOKUP($A183,'Data Vlaue (Cr)'!$C:$FB,146)*100</f>
        <v>21.17</v>
      </c>
      <c r="G183" s="49">
        <f>VLOOKUP($A183,'Data Vlaue (Cr)'!$C:$FB,43)</f>
        <v>307</v>
      </c>
      <c r="H183" s="49">
        <f>VLOOKUP($A183,'Data Vlaue (Cr)'!$C:$FB,44)</f>
        <v>255</v>
      </c>
      <c r="I183" s="49">
        <f>VLOOKUP($A183,'Data Vlaue (Cr)'!$C:$FB,46)*100</f>
        <v>20.52</v>
      </c>
      <c r="J183" s="51">
        <f>VLOOKUP($A183,'Data Vlaue (Cr)'!$C:$FB,59)</f>
        <v>1179</v>
      </c>
      <c r="K183" s="51">
        <f>VLOOKUP($A183,'Data Vlaue (Cr)'!$C:$FB,60)</f>
        <v>1455</v>
      </c>
      <c r="L183" s="51">
        <f>VLOOKUP($A183,'Data Vlaue (Cr)'!$C:$FB,62)*100</f>
        <v>-18.990000000000002</v>
      </c>
      <c r="M183" s="51">
        <f>VLOOKUP($A183,'Data Vlaue (Cr)'!$C:$FB,63)</f>
        <v>1205</v>
      </c>
      <c r="N183" s="51">
        <f>VLOOKUP($A183,'Data Vlaue (Cr)'!$C:$FB,64)</f>
        <v>480</v>
      </c>
      <c r="O183" s="51">
        <f>VLOOKUP($A183,'Data Vlaue (Cr)'!$C:$FB,66)*100</f>
        <v>150.84</v>
      </c>
    </row>
    <row r="184" spans="1:15" x14ac:dyDescent="0.25">
      <c r="A184" s="101" t="str">
        <f>'Data Vlaue (Cr)'!C179</f>
        <v>SBIN</v>
      </c>
      <c r="B184" s="50">
        <f>VLOOKUP($A184,'Data Vlaue (Cr)'!$C:$FB,8)</f>
        <v>975.85</v>
      </c>
      <c r="C184" s="50">
        <f>VLOOKUP($A184,'Data Vlaue (Cr)'!$C:$FB,11)*100</f>
        <v>1.53</v>
      </c>
      <c r="D184" s="50">
        <f>VLOOKUP($A184,'Data Vlaue (Cr)'!$C:$FB,143)</f>
        <v>18087.89</v>
      </c>
      <c r="E184" s="50">
        <f>VLOOKUP($A184,'Data Vlaue (Cr)'!$C:$FB,144)</f>
        <v>7267.7</v>
      </c>
      <c r="F184" s="50">
        <f>VLOOKUP($A184,'Data Vlaue (Cr)'!$C:$FB,146)*100</f>
        <v>148.88</v>
      </c>
      <c r="G184" s="49">
        <f>VLOOKUP($A184,'Data Vlaue (Cr)'!$C:$FB,43)</f>
        <v>1761</v>
      </c>
      <c r="H184" s="49">
        <f>VLOOKUP($A184,'Data Vlaue (Cr)'!$C:$FB,44)</f>
        <v>1173</v>
      </c>
      <c r="I184" s="49">
        <f>VLOOKUP($A184,'Data Vlaue (Cr)'!$C:$FB,46)*100</f>
        <v>50.160000000000004</v>
      </c>
      <c r="J184" s="51">
        <f>VLOOKUP($A184,'Data Vlaue (Cr)'!$C:$FB,59)</f>
        <v>10193</v>
      </c>
      <c r="K184" s="51">
        <f>VLOOKUP($A184,'Data Vlaue (Cr)'!$C:$FB,60)</f>
        <v>3687</v>
      </c>
      <c r="L184" s="51">
        <f>VLOOKUP($A184,'Data Vlaue (Cr)'!$C:$FB,62)*100</f>
        <v>176.44</v>
      </c>
      <c r="M184" s="51">
        <f>VLOOKUP($A184,'Data Vlaue (Cr)'!$C:$FB,63)</f>
        <v>6006</v>
      </c>
      <c r="N184" s="51">
        <f>VLOOKUP($A184,'Data Vlaue (Cr)'!$C:$FB,64)</f>
        <v>2413</v>
      </c>
      <c r="O184" s="51">
        <f>VLOOKUP($A184,'Data Vlaue (Cr)'!$C:$FB,66)*100</f>
        <v>148.9</v>
      </c>
    </row>
    <row r="185" spans="1:15" x14ac:dyDescent="0.25">
      <c r="A185" s="101" t="str">
        <f>'Data Vlaue (Cr)'!C180</f>
        <v>SHREECEM</v>
      </c>
      <c r="B185" s="50">
        <f>VLOOKUP($A185,'Data Vlaue (Cr)'!$C:$FB,8)</f>
        <v>26045</v>
      </c>
      <c r="C185" s="50">
        <f>VLOOKUP($A185,'Data Vlaue (Cr)'!$C:$FB,11)*100</f>
        <v>0.21</v>
      </c>
      <c r="D185" s="50">
        <f>VLOOKUP($A185,'Data Vlaue (Cr)'!$C:$FB,143)</f>
        <v>456.95</v>
      </c>
      <c r="E185" s="50">
        <f>VLOOKUP($A185,'Data Vlaue (Cr)'!$C:$FB,144)</f>
        <v>1434.38</v>
      </c>
      <c r="F185" s="50">
        <f>VLOOKUP($A185,'Data Vlaue (Cr)'!$C:$FB,146)*100</f>
        <v>-68.14</v>
      </c>
      <c r="G185" s="49">
        <f>VLOOKUP($A185,'Data Vlaue (Cr)'!$C:$FB,43)</f>
        <v>98</v>
      </c>
      <c r="H185" s="49">
        <f>VLOOKUP($A185,'Data Vlaue (Cr)'!$C:$FB,44)</f>
        <v>182</v>
      </c>
      <c r="I185" s="49">
        <f>VLOOKUP($A185,'Data Vlaue (Cr)'!$C:$FB,46)*100</f>
        <v>-46.160000000000004</v>
      </c>
      <c r="J185" s="51">
        <f>VLOOKUP($A185,'Data Vlaue (Cr)'!$C:$FB,59)</f>
        <v>289</v>
      </c>
      <c r="K185" s="51">
        <f>VLOOKUP($A185,'Data Vlaue (Cr)'!$C:$FB,60)</f>
        <v>783</v>
      </c>
      <c r="L185" s="51">
        <f>VLOOKUP($A185,'Data Vlaue (Cr)'!$C:$FB,62)*100</f>
        <v>-63.12</v>
      </c>
      <c r="M185" s="51">
        <f>VLOOKUP($A185,'Data Vlaue (Cr)'!$C:$FB,63)</f>
        <v>53</v>
      </c>
      <c r="N185" s="51">
        <f>VLOOKUP($A185,'Data Vlaue (Cr)'!$C:$FB,64)</f>
        <v>426</v>
      </c>
      <c r="O185" s="51">
        <f>VLOOKUP($A185,'Data Vlaue (Cr)'!$C:$FB,66)*100</f>
        <v>-87.48</v>
      </c>
    </row>
    <row r="186" spans="1:15" x14ac:dyDescent="0.25">
      <c r="A186" s="101" t="str">
        <f>'Data Vlaue (Cr)'!C181</f>
        <v>SHRIRAMFIN</v>
      </c>
      <c r="B186" s="50">
        <f>VLOOKUP($A186,'Data Vlaue (Cr)'!$C:$FB,8)</f>
        <v>864.2</v>
      </c>
      <c r="C186" s="50">
        <f>VLOOKUP($A186,'Data Vlaue (Cr)'!$C:$FB,11)*100</f>
        <v>1.8599999999999999</v>
      </c>
      <c r="D186" s="50">
        <f>VLOOKUP($A186,'Data Vlaue (Cr)'!$C:$FB,143)</f>
        <v>10662.94</v>
      </c>
      <c r="E186" s="50">
        <f>VLOOKUP($A186,'Data Vlaue (Cr)'!$C:$FB,144)</f>
        <v>2838.4</v>
      </c>
      <c r="F186" s="50">
        <f>VLOOKUP($A186,'Data Vlaue (Cr)'!$C:$FB,146)*100</f>
        <v>275.67</v>
      </c>
      <c r="G186" s="49">
        <f>VLOOKUP($A186,'Data Vlaue (Cr)'!$C:$FB,43)</f>
        <v>1314</v>
      </c>
      <c r="H186" s="49">
        <f>VLOOKUP($A186,'Data Vlaue (Cr)'!$C:$FB,44)</f>
        <v>566</v>
      </c>
      <c r="I186" s="49">
        <f>VLOOKUP($A186,'Data Vlaue (Cr)'!$C:$FB,46)*100</f>
        <v>131.96</v>
      </c>
      <c r="J186" s="51">
        <f>VLOOKUP($A186,'Data Vlaue (Cr)'!$C:$FB,59)</f>
        <v>6756</v>
      </c>
      <c r="K186" s="51">
        <f>VLOOKUP($A186,'Data Vlaue (Cr)'!$C:$FB,60)</f>
        <v>1496</v>
      </c>
      <c r="L186" s="51">
        <f>VLOOKUP($A186,'Data Vlaue (Cr)'!$C:$FB,62)*100</f>
        <v>351.58</v>
      </c>
      <c r="M186" s="51">
        <f>VLOOKUP($A186,'Data Vlaue (Cr)'!$C:$FB,63)</f>
        <v>2366</v>
      </c>
      <c r="N186" s="51">
        <f>VLOOKUP($A186,'Data Vlaue (Cr)'!$C:$FB,64)</f>
        <v>763</v>
      </c>
      <c r="O186" s="51">
        <f>VLOOKUP($A186,'Data Vlaue (Cr)'!$C:$FB,66)*100</f>
        <v>210.11</v>
      </c>
    </row>
    <row r="187" spans="1:15" x14ac:dyDescent="0.25">
      <c r="A187" s="101" t="str">
        <f>'Data Vlaue (Cr)'!C182</f>
        <v>SIEMENS</v>
      </c>
      <c r="B187" s="50">
        <f>VLOOKUP($A187,'Data Vlaue (Cr)'!$C:$FB,8)</f>
        <v>3140.1</v>
      </c>
      <c r="C187" s="50">
        <f>VLOOKUP($A187,'Data Vlaue (Cr)'!$C:$FB,11)*100</f>
        <v>-0.67</v>
      </c>
      <c r="D187" s="50">
        <f>VLOOKUP($A187,'Data Vlaue (Cr)'!$C:$FB,143)</f>
        <v>764.53</v>
      </c>
      <c r="E187" s="50">
        <f>VLOOKUP($A187,'Data Vlaue (Cr)'!$C:$FB,144)</f>
        <v>972.36</v>
      </c>
      <c r="F187" s="50">
        <f>VLOOKUP($A187,'Data Vlaue (Cr)'!$C:$FB,146)*100</f>
        <v>-21.37</v>
      </c>
      <c r="G187" s="49">
        <f>VLOOKUP($A187,'Data Vlaue (Cr)'!$C:$FB,43)</f>
        <v>98</v>
      </c>
      <c r="H187" s="49">
        <f>VLOOKUP($A187,'Data Vlaue (Cr)'!$C:$FB,44)</f>
        <v>140</v>
      </c>
      <c r="I187" s="49">
        <f>VLOOKUP($A187,'Data Vlaue (Cr)'!$C:$FB,46)*100</f>
        <v>-30.48</v>
      </c>
      <c r="J187" s="51">
        <f>VLOOKUP($A187,'Data Vlaue (Cr)'!$C:$FB,59)</f>
        <v>459</v>
      </c>
      <c r="K187" s="51">
        <f>VLOOKUP($A187,'Data Vlaue (Cr)'!$C:$FB,60)</f>
        <v>531</v>
      </c>
      <c r="L187" s="51">
        <f>VLOOKUP($A187,'Data Vlaue (Cr)'!$C:$FB,62)*100</f>
        <v>-13.63</v>
      </c>
      <c r="M187" s="51">
        <f>VLOOKUP($A187,'Data Vlaue (Cr)'!$C:$FB,63)</f>
        <v>185</v>
      </c>
      <c r="N187" s="51">
        <f>VLOOKUP($A187,'Data Vlaue (Cr)'!$C:$FB,64)</f>
        <v>277</v>
      </c>
      <c r="O187" s="51">
        <f>VLOOKUP($A187,'Data Vlaue (Cr)'!$C:$FB,66)*100</f>
        <v>-33.410000000000004</v>
      </c>
    </row>
    <row r="188" spans="1:15" x14ac:dyDescent="0.25">
      <c r="A188" s="101" t="str">
        <f>'Data Vlaue (Cr)'!C183</f>
        <v>SOLARINDS</v>
      </c>
      <c r="B188" s="50">
        <f>VLOOKUP($A188,'Data Vlaue (Cr)'!$C:$FB,8)</f>
        <v>11815</v>
      </c>
      <c r="C188" s="50">
        <f>VLOOKUP($A188,'Data Vlaue (Cr)'!$C:$FB,11)*100</f>
        <v>-0.86</v>
      </c>
      <c r="D188" s="50">
        <f>VLOOKUP($A188,'Data Vlaue (Cr)'!$C:$FB,143)</f>
        <v>1429.62</v>
      </c>
      <c r="E188" s="50">
        <f>VLOOKUP($A188,'Data Vlaue (Cr)'!$C:$FB,144)</f>
        <v>1903.16</v>
      </c>
      <c r="F188" s="50">
        <f>VLOOKUP($A188,'Data Vlaue (Cr)'!$C:$FB,146)*100</f>
        <v>-24.88</v>
      </c>
      <c r="G188" s="49">
        <f>VLOOKUP($A188,'Data Vlaue (Cr)'!$C:$FB,43)</f>
        <v>145</v>
      </c>
      <c r="H188" s="49">
        <f>VLOOKUP($A188,'Data Vlaue (Cr)'!$C:$FB,44)</f>
        <v>210</v>
      </c>
      <c r="I188" s="49">
        <f>VLOOKUP($A188,'Data Vlaue (Cr)'!$C:$FB,46)*100</f>
        <v>-30.94</v>
      </c>
      <c r="J188" s="51">
        <f>VLOOKUP($A188,'Data Vlaue (Cr)'!$C:$FB,59)</f>
        <v>761</v>
      </c>
      <c r="K188" s="51">
        <f>VLOOKUP($A188,'Data Vlaue (Cr)'!$C:$FB,60)</f>
        <v>1103</v>
      </c>
      <c r="L188" s="51">
        <f>VLOOKUP($A188,'Data Vlaue (Cr)'!$C:$FB,62)*100</f>
        <v>-30.98</v>
      </c>
      <c r="M188" s="51">
        <f>VLOOKUP($A188,'Data Vlaue (Cr)'!$C:$FB,63)</f>
        <v>479</v>
      </c>
      <c r="N188" s="51">
        <f>VLOOKUP($A188,'Data Vlaue (Cr)'!$C:$FB,64)</f>
        <v>487</v>
      </c>
      <c r="O188" s="51">
        <f>VLOOKUP($A188,'Data Vlaue (Cr)'!$C:$FB,66)*100</f>
        <v>-1.66</v>
      </c>
    </row>
    <row r="189" spans="1:15" x14ac:dyDescent="0.25">
      <c r="A189" s="101" t="str">
        <f>'Data Vlaue (Cr)'!C215</f>
        <v>ZYDUSLIFE</v>
      </c>
      <c r="B189" s="50">
        <f>VLOOKUP($A189,'Data Vlaue (Cr)'!$C:$FB,8)</f>
        <v>918.1</v>
      </c>
      <c r="C189" s="50">
        <f>VLOOKUP($A189,'Data Vlaue (Cr)'!$C:$FB,11)*100</f>
        <v>0.41000000000000003</v>
      </c>
      <c r="D189" s="50">
        <f>VLOOKUP($A189,'Data Vlaue (Cr)'!$C:$FB,143)</f>
        <v>295.63</v>
      </c>
      <c r="E189" s="50">
        <f>VLOOKUP($A189,'Data Vlaue (Cr)'!$C:$FB,144)</f>
        <v>584.17999999999995</v>
      </c>
      <c r="F189" s="50">
        <f>VLOOKUP($A189,'Data Vlaue (Cr)'!$C:$FB,146)*100</f>
        <v>-49.4</v>
      </c>
      <c r="G189" s="49">
        <f>VLOOKUP($A189,'Data Vlaue (Cr)'!$C:$FB,43)</f>
        <v>78</v>
      </c>
      <c r="H189" s="49">
        <f>VLOOKUP($A189,'Data Vlaue (Cr)'!$C:$FB,44)</f>
        <v>118</v>
      </c>
      <c r="I189" s="49">
        <f>VLOOKUP($A189,'Data Vlaue (Cr)'!$C:$FB,46)*100</f>
        <v>-34.04</v>
      </c>
      <c r="J189" s="51">
        <f>VLOOKUP($A189,'Data Vlaue (Cr)'!$C:$FB,59)</f>
        <v>163</v>
      </c>
      <c r="K189" s="51">
        <f>VLOOKUP($A189,'Data Vlaue (Cr)'!$C:$FB,60)</f>
        <v>358</v>
      </c>
      <c r="L189" s="51">
        <f>VLOOKUP($A189,'Data Vlaue (Cr)'!$C:$FB,62)*100</f>
        <v>-54.559999999999995</v>
      </c>
      <c r="M189" s="51">
        <f>VLOOKUP($A189,'Data Vlaue (Cr)'!$C:$FB,63)</f>
        <v>49</v>
      </c>
      <c r="N189" s="51">
        <f>VLOOKUP($A189,'Data Vlaue (Cr)'!$C:$FB,64)</f>
        <v>95</v>
      </c>
      <c r="O189" s="51">
        <f>VLOOKUP($A189,'Data Vlaue (Cr)'!$C:$FB,66)*100</f>
        <v>-47.77</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10285853.609999994</v>
      </c>
      <c r="E212" s="131">
        <f>SUM(E7:E211)</f>
        <v>52570926.600000009</v>
      </c>
      <c r="F212" s="132">
        <f>(D212-E212)/E212</f>
        <v>-0.80434330769433326</v>
      </c>
      <c r="G212" s="131">
        <f>SUM(G7:G211)</f>
        <v>75216</v>
      </c>
      <c r="H212" s="131">
        <f>SUM(H7:H211)</f>
        <v>80891</v>
      </c>
      <c r="I212" s="132">
        <f>(G212-H212)/H212</f>
        <v>-7.0156136034911179E-2</v>
      </c>
      <c r="J212" s="131">
        <f>SUM(J7:J211)</f>
        <v>5189639</v>
      </c>
      <c r="K212" s="131">
        <f>SUM(K7:K211)</f>
        <v>25889168</v>
      </c>
      <c r="L212" s="132">
        <f>(J212-K212)/K212</f>
        <v>-0.79954400234105627</v>
      </c>
      <c r="M212" s="131">
        <f>SUM(M7:M211)</f>
        <v>4986237</v>
      </c>
      <c r="N212" s="131">
        <f>SUM(N7:N211)</f>
        <v>26492505</v>
      </c>
      <c r="O212" s="132">
        <f>(M212-N212)/N212</f>
        <v>-0.81178688085554762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46008</v>
      </c>
      <c r="C6" s="34" t="s">
        <v>328</v>
      </c>
      <c r="D6" s="21">
        <f>B6</f>
        <v>46008</v>
      </c>
      <c r="E6" s="34" t="s">
        <v>322</v>
      </c>
      <c r="F6" s="34" t="s">
        <v>328</v>
      </c>
      <c r="G6" s="21">
        <f>D6</f>
        <v>46008</v>
      </c>
      <c r="H6" s="34" t="s">
        <v>322</v>
      </c>
      <c r="I6" s="34" t="s">
        <v>328</v>
      </c>
      <c r="J6" s="21">
        <f>D6</f>
        <v>46008</v>
      </c>
      <c r="K6" s="34" t="s">
        <v>322</v>
      </c>
      <c r="L6" s="34" t="s">
        <v>328</v>
      </c>
      <c r="M6" s="21">
        <f>D6</f>
        <v>46008</v>
      </c>
      <c r="N6" s="34" t="s">
        <v>322</v>
      </c>
      <c r="O6" s="34" t="s">
        <v>328</v>
      </c>
    </row>
    <row r="7" spans="1:15" x14ac:dyDescent="0.25">
      <c r="A7" s="101" t="str">
        <f>'Data shares'!C2</f>
        <v>360ONE</v>
      </c>
      <c r="B7" s="50">
        <f>VLOOKUP($A7,'Data shares'!$C:$FB,7)</f>
        <v>1126.0999999999999</v>
      </c>
      <c r="C7" s="50">
        <f>VLOOKUP($A7,'Data shares'!$C:$FB,10)*100</f>
        <v>-0.64</v>
      </c>
      <c r="D7" s="49">
        <f>VLOOKUP($A7,'Data shares'!$C:$FB,66)</f>
        <v>18485000</v>
      </c>
      <c r="E7" s="49">
        <f>VLOOKUP($A7,'Data shares'!$C:$FB,67)</f>
        <v>1429000</v>
      </c>
      <c r="F7" s="50">
        <f>VLOOKUP($A7,'Data shares'!$C:$FB,69)*100</f>
        <v>1193.5600000000002</v>
      </c>
      <c r="G7" s="49">
        <f>VLOOKUP($A7,'Data shares'!$C:$FB,42)</f>
        <v>3078000</v>
      </c>
      <c r="H7" s="49">
        <f>VLOOKUP($A7,'Data shares'!$C:$FB,43)</f>
        <v>420000</v>
      </c>
      <c r="I7" s="50">
        <f>VLOOKUP($A7,'Data shares'!$C:$FB,45)*100</f>
        <v>632.86</v>
      </c>
      <c r="J7" s="49">
        <f>VLOOKUP($A7,'Data shares'!$C:$FB,58)</f>
        <v>9550500</v>
      </c>
      <c r="K7" s="49">
        <f>VLOOKUP($A7,'Data shares'!$C:$FB,59)</f>
        <v>692000</v>
      </c>
      <c r="L7" s="50">
        <f>VLOOKUP($A7,'Data shares'!$C:$FB,61)*100</f>
        <v>1280.1299999999999</v>
      </c>
      <c r="M7" s="49">
        <f>VLOOKUP($A7,'Data shares'!$C:$FB,62)</f>
        <v>5856500</v>
      </c>
      <c r="N7" s="49">
        <f>VLOOKUP($A7,'Data shares'!$C:$FB,63)</f>
        <v>317000</v>
      </c>
      <c r="O7" s="140">
        <f>VLOOKUP($A7,'Data shares'!$C:$FB,65)*100</f>
        <v>1747.4799999999998</v>
      </c>
    </row>
    <row r="8" spans="1:15" x14ac:dyDescent="0.25">
      <c r="A8" s="101" t="str">
        <f>'Data shares'!C3</f>
        <v>ABB</v>
      </c>
      <c r="B8" s="50">
        <f>VLOOKUP($A8,'Data shares'!$C:$FB,7)</f>
        <v>5171</v>
      </c>
      <c r="C8" s="50">
        <f>VLOOKUP($A8,'Data shares'!$C:$FB,10)*100</f>
        <v>-1.35</v>
      </c>
      <c r="D8" s="49">
        <f>VLOOKUP($A8,'Data shares'!$C:$FB,66)</f>
        <v>1434750</v>
      </c>
      <c r="E8" s="49">
        <f>VLOOKUP($A8,'Data shares'!$C:$FB,67)</f>
        <v>1114125</v>
      </c>
      <c r="F8" s="50">
        <f>VLOOKUP($A8,'Data shares'!$C:$FB,69)*100</f>
        <v>28.78</v>
      </c>
      <c r="G8" s="49">
        <f>VLOOKUP($A8,'Data shares'!$C:$FB,42)</f>
        <v>333625</v>
      </c>
      <c r="H8" s="49">
        <f>VLOOKUP($A8,'Data shares'!$C:$FB,43)</f>
        <v>320375</v>
      </c>
      <c r="I8" s="50">
        <f>VLOOKUP($A8,'Data shares'!$C:$FB,45)*100</f>
        <v>4.1399999999999997</v>
      </c>
      <c r="J8" s="49">
        <f>VLOOKUP($A8,'Data shares'!$C:$FB,58)</f>
        <v>733750</v>
      </c>
      <c r="K8" s="49">
        <f>VLOOKUP($A8,'Data shares'!$C:$FB,59)</f>
        <v>522750</v>
      </c>
      <c r="L8" s="50">
        <f>VLOOKUP($A8,'Data shares'!$C:$FB,61)*100</f>
        <v>40.36</v>
      </c>
      <c r="M8" s="49">
        <f>VLOOKUP($A8,'Data shares'!$C:$FB,62)</f>
        <v>367375</v>
      </c>
      <c r="N8" s="49">
        <f>VLOOKUP($A8,'Data shares'!$C:$FB,63)</f>
        <v>271000</v>
      </c>
      <c r="O8" s="140">
        <f>VLOOKUP($A8,'Data shares'!$C:$FB,65)*100</f>
        <v>35.56</v>
      </c>
    </row>
    <row r="9" spans="1:15" x14ac:dyDescent="0.25">
      <c r="A9" s="101" t="str">
        <f>'Data shares'!C4</f>
        <v>ABCAPITAL</v>
      </c>
      <c r="B9" s="50">
        <f>VLOOKUP($A9,'Data shares'!$C:$FB,7)</f>
        <v>346.8</v>
      </c>
      <c r="C9" s="50">
        <f>VLOOKUP($A9,'Data shares'!$C:$FB,10)*100</f>
        <v>-0.36</v>
      </c>
      <c r="D9" s="49">
        <f>VLOOKUP($A9,'Data shares'!$C:$FB,66)</f>
        <v>54637500</v>
      </c>
      <c r="E9" s="49">
        <f>VLOOKUP($A9,'Data shares'!$C:$FB,67)</f>
        <v>51695600</v>
      </c>
      <c r="F9" s="50">
        <f>VLOOKUP($A9,'Data shares'!$C:$FB,69)*100</f>
        <v>5.6899999999999995</v>
      </c>
      <c r="G9" s="49">
        <f>VLOOKUP($A9,'Data shares'!$C:$FB,42)</f>
        <v>8428900</v>
      </c>
      <c r="H9" s="49">
        <f>VLOOKUP($A9,'Data shares'!$C:$FB,43)</f>
        <v>9318600</v>
      </c>
      <c r="I9" s="50">
        <f>VLOOKUP($A9,'Data shares'!$C:$FB,45)*100</f>
        <v>-9.5500000000000007</v>
      </c>
      <c r="J9" s="49">
        <f>VLOOKUP($A9,'Data shares'!$C:$FB,58)</f>
        <v>29815800</v>
      </c>
      <c r="K9" s="49">
        <f>VLOOKUP($A9,'Data shares'!$C:$FB,59)</f>
        <v>30925600</v>
      </c>
      <c r="L9" s="50">
        <f>VLOOKUP($A9,'Data shares'!$C:$FB,61)*100</f>
        <v>-3.5900000000000003</v>
      </c>
      <c r="M9" s="49">
        <f>VLOOKUP($A9,'Data shares'!$C:$FB,62)</f>
        <v>16392800</v>
      </c>
      <c r="N9" s="49">
        <f>VLOOKUP($A9,'Data shares'!$C:$FB,63)</f>
        <v>11451400</v>
      </c>
      <c r="O9" s="140">
        <f>VLOOKUP($A9,'Data shares'!$C:$FB,65)*100</f>
        <v>43.15</v>
      </c>
    </row>
    <row r="10" spans="1:15" x14ac:dyDescent="0.25">
      <c r="A10" s="101" t="str">
        <f>'Data shares'!C5</f>
        <v>ADANIENSOL</v>
      </c>
      <c r="B10" s="50">
        <f>VLOOKUP($A10,'Data shares'!$C:$FB,7)</f>
        <v>977.55</v>
      </c>
      <c r="C10" s="50">
        <f>VLOOKUP($A10,'Data shares'!$C:$FB,10)*100</f>
        <v>-1.68</v>
      </c>
      <c r="D10" s="49">
        <f>VLOOKUP($A10,'Data shares'!$C:$FB,66)</f>
        <v>7362225</v>
      </c>
      <c r="E10" s="49">
        <f>VLOOKUP($A10,'Data shares'!$C:$FB,67)</f>
        <v>6372675</v>
      </c>
      <c r="F10" s="50">
        <f>VLOOKUP($A10,'Data shares'!$C:$FB,69)*100</f>
        <v>15.53</v>
      </c>
      <c r="G10" s="49">
        <f>VLOOKUP($A10,'Data shares'!$C:$FB,42)</f>
        <v>1294650</v>
      </c>
      <c r="H10" s="49">
        <f>VLOOKUP($A10,'Data shares'!$C:$FB,43)</f>
        <v>907875</v>
      </c>
      <c r="I10" s="50">
        <f>VLOOKUP($A10,'Data shares'!$C:$FB,45)*100</f>
        <v>42.6</v>
      </c>
      <c r="J10" s="49">
        <f>VLOOKUP($A10,'Data shares'!$C:$FB,58)</f>
        <v>3787425</v>
      </c>
      <c r="K10" s="49">
        <f>VLOOKUP($A10,'Data shares'!$C:$FB,59)</f>
        <v>3165075</v>
      </c>
      <c r="L10" s="50">
        <f>VLOOKUP($A10,'Data shares'!$C:$FB,61)*100</f>
        <v>19.66</v>
      </c>
      <c r="M10" s="49">
        <f>VLOOKUP($A10,'Data shares'!$C:$FB,62)</f>
        <v>2280150</v>
      </c>
      <c r="N10" s="49">
        <f>VLOOKUP($A10,'Data shares'!$C:$FB,63)</f>
        <v>2299725</v>
      </c>
      <c r="O10" s="140">
        <f>VLOOKUP($A10,'Data shares'!$C:$FB,65)*100</f>
        <v>-0.85000000000000009</v>
      </c>
    </row>
    <row r="11" spans="1:15" x14ac:dyDescent="0.25">
      <c r="A11" s="101" t="str">
        <f>'Data shares'!C6</f>
        <v>ADANIENT</v>
      </c>
      <c r="B11" s="50">
        <f>VLOOKUP($A11,'Data shares'!$C:$FB,7)</f>
        <v>2232.5</v>
      </c>
      <c r="C11" s="50">
        <f>VLOOKUP($A11,'Data shares'!$C:$FB,10)*100</f>
        <v>-0.69</v>
      </c>
      <c r="D11" s="49">
        <f>VLOOKUP($A11,'Data shares'!$C:$FB,66)</f>
        <v>14097816</v>
      </c>
      <c r="E11" s="49">
        <f>VLOOKUP($A11,'Data shares'!$C:$FB,67)</f>
        <v>14190825</v>
      </c>
      <c r="F11" s="50">
        <f>VLOOKUP($A11,'Data shares'!$C:$FB,69)*100</f>
        <v>-0.66</v>
      </c>
      <c r="G11" s="49">
        <f>VLOOKUP($A11,'Data shares'!$C:$FB,42)</f>
        <v>1887063</v>
      </c>
      <c r="H11" s="49">
        <f>VLOOKUP($A11,'Data shares'!$C:$FB,43)</f>
        <v>2186484</v>
      </c>
      <c r="I11" s="50">
        <f>VLOOKUP($A11,'Data shares'!$C:$FB,45)*100</f>
        <v>-13.69</v>
      </c>
      <c r="J11" s="49">
        <f>VLOOKUP($A11,'Data shares'!$C:$FB,58)</f>
        <v>8317662</v>
      </c>
      <c r="K11" s="49">
        <f>VLOOKUP($A11,'Data shares'!$C:$FB,59)</f>
        <v>8532108</v>
      </c>
      <c r="L11" s="50">
        <f>VLOOKUP($A11,'Data shares'!$C:$FB,61)*100</f>
        <v>-2.5100000000000002</v>
      </c>
      <c r="M11" s="49">
        <f>VLOOKUP($A11,'Data shares'!$C:$FB,62)</f>
        <v>3893091</v>
      </c>
      <c r="N11" s="49">
        <f>VLOOKUP($A11,'Data shares'!$C:$FB,63)</f>
        <v>3472233</v>
      </c>
      <c r="O11" s="140">
        <f>VLOOKUP($A11,'Data shares'!$C:$FB,65)*100</f>
        <v>12.120000000000001</v>
      </c>
    </row>
    <row r="12" spans="1:15" x14ac:dyDescent="0.25">
      <c r="A12" s="101" t="str">
        <f>'Data shares'!C7</f>
        <v>ADANIGREEN</v>
      </c>
      <c r="B12" s="50">
        <f>VLOOKUP($A12,'Data shares'!$C:$FB,7)</f>
        <v>1020.7</v>
      </c>
      <c r="C12" s="50">
        <f>VLOOKUP($A12,'Data shares'!$C:$FB,10)*100</f>
        <v>-0.73</v>
      </c>
      <c r="D12" s="49">
        <f>VLOOKUP($A12,'Data shares'!$C:$FB,66)</f>
        <v>16658400</v>
      </c>
      <c r="E12" s="49">
        <f>VLOOKUP($A12,'Data shares'!$C:$FB,67)</f>
        <v>19941000</v>
      </c>
      <c r="F12" s="50">
        <f>VLOOKUP($A12,'Data shares'!$C:$FB,69)*100</f>
        <v>-16.46</v>
      </c>
      <c r="G12" s="49">
        <f>VLOOKUP($A12,'Data shares'!$C:$FB,42)</f>
        <v>1897800</v>
      </c>
      <c r="H12" s="49">
        <f>VLOOKUP($A12,'Data shares'!$C:$FB,43)</f>
        <v>2211600</v>
      </c>
      <c r="I12" s="50">
        <f>VLOOKUP($A12,'Data shares'!$C:$FB,45)*100</f>
        <v>-14.19</v>
      </c>
      <c r="J12" s="49">
        <f>VLOOKUP($A12,'Data shares'!$C:$FB,58)</f>
        <v>9652200</v>
      </c>
      <c r="K12" s="49">
        <f>VLOOKUP($A12,'Data shares'!$C:$FB,59)</f>
        <v>10211400</v>
      </c>
      <c r="L12" s="50">
        <f>VLOOKUP($A12,'Data shares'!$C:$FB,61)*100</f>
        <v>-5.48</v>
      </c>
      <c r="M12" s="49">
        <f>VLOOKUP($A12,'Data shares'!$C:$FB,62)</f>
        <v>5108400</v>
      </c>
      <c r="N12" s="49">
        <f>VLOOKUP($A12,'Data shares'!$C:$FB,63)</f>
        <v>7518000</v>
      </c>
      <c r="O12" s="140">
        <f>VLOOKUP($A12,'Data shares'!$C:$FB,65)*100</f>
        <v>-32.049999999999997</v>
      </c>
    </row>
    <row r="13" spans="1:15" x14ac:dyDescent="0.25">
      <c r="A13" s="101" t="str">
        <f>'Data shares'!C8</f>
        <v>ADANIPORTS</v>
      </c>
      <c r="B13" s="50">
        <f>VLOOKUP($A13,'Data shares'!$C:$FB,7)</f>
        <v>1486.3</v>
      </c>
      <c r="C13" s="50">
        <f>VLOOKUP($A13,'Data shares'!$C:$FB,10)*100</f>
        <v>-0.85000000000000009</v>
      </c>
      <c r="D13" s="49">
        <f>VLOOKUP($A13,'Data shares'!$C:$FB,66)</f>
        <v>11946725</v>
      </c>
      <c r="E13" s="49">
        <f>VLOOKUP($A13,'Data shares'!$C:$FB,67)</f>
        <v>9777400</v>
      </c>
      <c r="F13" s="50">
        <f>VLOOKUP($A13,'Data shares'!$C:$FB,69)*100</f>
        <v>22.189999999999998</v>
      </c>
      <c r="G13" s="49">
        <f>VLOOKUP($A13,'Data shares'!$C:$FB,42)</f>
        <v>1649200</v>
      </c>
      <c r="H13" s="49">
        <f>VLOOKUP($A13,'Data shares'!$C:$FB,43)</f>
        <v>2033000</v>
      </c>
      <c r="I13" s="50">
        <f>VLOOKUP($A13,'Data shares'!$C:$FB,45)*100</f>
        <v>-18.88</v>
      </c>
      <c r="J13" s="49">
        <f>VLOOKUP($A13,'Data shares'!$C:$FB,58)</f>
        <v>7095550</v>
      </c>
      <c r="K13" s="49">
        <f>VLOOKUP($A13,'Data shares'!$C:$FB,59)</f>
        <v>5264900</v>
      </c>
      <c r="L13" s="50">
        <f>VLOOKUP($A13,'Data shares'!$C:$FB,61)*100</f>
        <v>34.770000000000003</v>
      </c>
      <c r="M13" s="49">
        <f>VLOOKUP($A13,'Data shares'!$C:$FB,62)</f>
        <v>3201975</v>
      </c>
      <c r="N13" s="49">
        <f>VLOOKUP($A13,'Data shares'!$C:$FB,63)</f>
        <v>2479500</v>
      </c>
      <c r="O13" s="140">
        <f>VLOOKUP($A13,'Data shares'!$C:$FB,65)*100</f>
        <v>29.14</v>
      </c>
    </row>
    <row r="14" spans="1:15" x14ac:dyDescent="0.25">
      <c r="A14" s="101" t="str">
        <f>'Data shares'!C9</f>
        <v>ALKEM</v>
      </c>
      <c r="B14" s="50">
        <f>VLOOKUP($A14,'Data shares'!$C:$FB,7)</f>
        <v>5628.5</v>
      </c>
      <c r="C14" s="50">
        <f>VLOOKUP($A14,'Data shares'!$C:$FB,10)*100</f>
        <v>-0.62</v>
      </c>
      <c r="D14" s="49">
        <f>VLOOKUP($A14,'Data shares'!$C:$FB,66)</f>
        <v>652625</v>
      </c>
      <c r="E14" s="49">
        <f>VLOOKUP($A14,'Data shares'!$C:$FB,67)</f>
        <v>424625</v>
      </c>
      <c r="F14" s="50">
        <f>VLOOKUP($A14,'Data shares'!$C:$FB,69)*100</f>
        <v>53.690000000000005</v>
      </c>
      <c r="G14" s="49">
        <f>VLOOKUP($A14,'Data shares'!$C:$FB,42)</f>
        <v>225125</v>
      </c>
      <c r="H14" s="49">
        <f>VLOOKUP($A14,'Data shares'!$C:$FB,43)</f>
        <v>109875</v>
      </c>
      <c r="I14" s="50">
        <f>VLOOKUP($A14,'Data shares'!$C:$FB,45)*100</f>
        <v>104.89</v>
      </c>
      <c r="J14" s="49">
        <f>VLOOKUP($A14,'Data shares'!$C:$FB,58)</f>
        <v>301625</v>
      </c>
      <c r="K14" s="49">
        <f>VLOOKUP($A14,'Data shares'!$C:$FB,59)</f>
        <v>238625</v>
      </c>
      <c r="L14" s="50">
        <f>VLOOKUP($A14,'Data shares'!$C:$FB,61)*100</f>
        <v>26.400000000000002</v>
      </c>
      <c r="M14" s="49">
        <f>VLOOKUP($A14,'Data shares'!$C:$FB,62)</f>
        <v>125875</v>
      </c>
      <c r="N14" s="49">
        <f>VLOOKUP($A14,'Data shares'!$C:$FB,63)</f>
        <v>76125</v>
      </c>
      <c r="O14" s="140">
        <f>VLOOKUP($A14,'Data shares'!$C:$FB,65)*100</f>
        <v>65.349999999999994</v>
      </c>
    </row>
    <row r="15" spans="1:15" x14ac:dyDescent="0.25">
      <c r="A15" s="101" t="str">
        <f>'Data shares'!C10</f>
        <v>AMBER</v>
      </c>
      <c r="B15" s="50">
        <f>VLOOKUP($A15,'Data shares'!$C:$FB,7)</f>
        <v>6580.5</v>
      </c>
      <c r="C15" s="50">
        <f>VLOOKUP($A15,'Data shares'!$C:$FB,10)*100</f>
        <v>-2.94</v>
      </c>
      <c r="D15" s="49">
        <f>VLOOKUP($A15,'Data shares'!$C:$FB,66)</f>
        <v>3310900</v>
      </c>
      <c r="E15" s="49">
        <f>VLOOKUP($A15,'Data shares'!$C:$FB,67)</f>
        <v>2052900</v>
      </c>
      <c r="F15" s="50">
        <f>VLOOKUP($A15,'Data shares'!$C:$FB,69)*100</f>
        <v>61.28</v>
      </c>
      <c r="G15" s="49">
        <f>VLOOKUP($A15,'Data shares'!$C:$FB,42)</f>
        <v>336100</v>
      </c>
      <c r="H15" s="49">
        <f>VLOOKUP($A15,'Data shares'!$C:$FB,43)</f>
        <v>201800</v>
      </c>
      <c r="I15" s="50">
        <f>VLOOKUP($A15,'Data shares'!$C:$FB,45)*100</f>
        <v>66.55</v>
      </c>
      <c r="J15" s="49">
        <f>VLOOKUP($A15,'Data shares'!$C:$FB,58)</f>
        <v>1656800</v>
      </c>
      <c r="K15" s="49">
        <f>VLOOKUP($A15,'Data shares'!$C:$FB,59)</f>
        <v>1193700</v>
      </c>
      <c r="L15" s="50">
        <f>VLOOKUP($A15,'Data shares'!$C:$FB,61)*100</f>
        <v>38.800000000000004</v>
      </c>
      <c r="M15" s="49">
        <f>VLOOKUP($A15,'Data shares'!$C:$FB,62)</f>
        <v>1318000</v>
      </c>
      <c r="N15" s="49">
        <f>VLOOKUP($A15,'Data shares'!$C:$FB,63)</f>
        <v>657400</v>
      </c>
      <c r="O15" s="140">
        <f>VLOOKUP($A15,'Data shares'!$C:$FB,65)*100</f>
        <v>100.49</v>
      </c>
    </row>
    <row r="16" spans="1:15" x14ac:dyDescent="0.25">
      <c r="A16" s="101" t="str">
        <f>'Data shares'!C11</f>
        <v>AMBUJACEM</v>
      </c>
      <c r="B16" s="50">
        <f>VLOOKUP($A16,'Data shares'!$C:$FB,7)</f>
        <v>541.29999999999995</v>
      </c>
      <c r="C16" s="50">
        <f>VLOOKUP($A16,'Data shares'!$C:$FB,10)*100</f>
        <v>-1.35</v>
      </c>
      <c r="D16" s="49">
        <f>VLOOKUP($A16,'Data shares'!$C:$FB,66)</f>
        <v>10128300</v>
      </c>
      <c r="E16" s="49">
        <f>VLOOKUP($A16,'Data shares'!$C:$FB,67)</f>
        <v>14701050</v>
      </c>
      <c r="F16" s="50">
        <f>VLOOKUP($A16,'Data shares'!$C:$FB,69)*100</f>
        <v>-31.1</v>
      </c>
      <c r="G16" s="49">
        <f>VLOOKUP($A16,'Data shares'!$C:$FB,42)</f>
        <v>2325750</v>
      </c>
      <c r="H16" s="49">
        <f>VLOOKUP($A16,'Data shares'!$C:$FB,43)</f>
        <v>3269700</v>
      </c>
      <c r="I16" s="50">
        <f>VLOOKUP($A16,'Data shares'!$C:$FB,45)*100</f>
        <v>-28.87</v>
      </c>
      <c r="J16" s="49">
        <f>VLOOKUP($A16,'Data shares'!$C:$FB,58)</f>
        <v>5387550</v>
      </c>
      <c r="K16" s="49">
        <f>VLOOKUP($A16,'Data shares'!$C:$FB,59)</f>
        <v>7133700</v>
      </c>
      <c r="L16" s="50">
        <f>VLOOKUP($A16,'Data shares'!$C:$FB,61)*100</f>
        <v>-24.48</v>
      </c>
      <c r="M16" s="49">
        <f>VLOOKUP($A16,'Data shares'!$C:$FB,62)</f>
        <v>2415000</v>
      </c>
      <c r="N16" s="49">
        <f>VLOOKUP($A16,'Data shares'!$C:$FB,63)</f>
        <v>4297650</v>
      </c>
      <c r="O16" s="140">
        <f>VLOOKUP($A16,'Data shares'!$C:$FB,65)*100</f>
        <v>-43.81</v>
      </c>
    </row>
    <row r="17" spans="1:15" x14ac:dyDescent="0.25">
      <c r="A17" s="101" t="str">
        <f>'Data shares'!C12</f>
        <v>ANGELONE</v>
      </c>
      <c r="B17" s="50">
        <f>VLOOKUP($A17,'Data shares'!$C:$FB,7)</f>
        <v>2504.6</v>
      </c>
      <c r="C17" s="50">
        <f>VLOOKUP($A17,'Data shares'!$C:$FB,10)*100</f>
        <v>-1.0999999999999999</v>
      </c>
      <c r="D17" s="49">
        <f>VLOOKUP($A17,'Data shares'!$C:$FB,66)</f>
        <v>6391500</v>
      </c>
      <c r="E17" s="49">
        <f>VLOOKUP($A17,'Data shares'!$C:$FB,67)</f>
        <v>6226250</v>
      </c>
      <c r="F17" s="50">
        <f>VLOOKUP($A17,'Data shares'!$C:$FB,69)*100</f>
        <v>2.65</v>
      </c>
      <c r="G17" s="49">
        <f>VLOOKUP($A17,'Data shares'!$C:$FB,42)</f>
        <v>931500</v>
      </c>
      <c r="H17" s="49">
        <f>VLOOKUP($A17,'Data shares'!$C:$FB,43)</f>
        <v>889250</v>
      </c>
      <c r="I17" s="50">
        <f>VLOOKUP($A17,'Data shares'!$C:$FB,45)*100</f>
        <v>4.75</v>
      </c>
      <c r="J17" s="49">
        <f>VLOOKUP($A17,'Data shares'!$C:$FB,58)</f>
        <v>3892250</v>
      </c>
      <c r="K17" s="49">
        <f>VLOOKUP($A17,'Data shares'!$C:$FB,59)</f>
        <v>3535750</v>
      </c>
      <c r="L17" s="50">
        <f>VLOOKUP($A17,'Data shares'!$C:$FB,61)*100</f>
        <v>10.08</v>
      </c>
      <c r="M17" s="49">
        <f>VLOOKUP($A17,'Data shares'!$C:$FB,62)</f>
        <v>1567750</v>
      </c>
      <c r="N17" s="49">
        <f>VLOOKUP($A17,'Data shares'!$C:$FB,63)</f>
        <v>1801250</v>
      </c>
      <c r="O17" s="140">
        <f>VLOOKUP($A17,'Data shares'!$C:$FB,65)*100</f>
        <v>-12.959999999999999</v>
      </c>
    </row>
    <row r="18" spans="1:15" x14ac:dyDescent="0.25">
      <c r="A18" s="101" t="str">
        <f>'Data shares'!C13</f>
        <v>APLAPOLLO</v>
      </c>
      <c r="B18" s="50">
        <f>VLOOKUP($A18,'Data shares'!$C:$FB,7)</f>
        <v>1764.5</v>
      </c>
      <c r="C18" s="50">
        <f>VLOOKUP($A18,'Data shares'!$C:$FB,10)*100</f>
        <v>1.82</v>
      </c>
      <c r="D18" s="49">
        <f>VLOOKUP($A18,'Data shares'!$C:$FB,66)</f>
        <v>9178750</v>
      </c>
      <c r="E18" s="49">
        <f>VLOOKUP($A18,'Data shares'!$C:$FB,67)</f>
        <v>1322650</v>
      </c>
      <c r="F18" s="50">
        <f>VLOOKUP($A18,'Data shares'!$C:$FB,69)*100</f>
        <v>593.97</v>
      </c>
      <c r="G18" s="49">
        <f>VLOOKUP($A18,'Data shares'!$C:$FB,42)</f>
        <v>1292550</v>
      </c>
      <c r="H18" s="49">
        <f>VLOOKUP($A18,'Data shares'!$C:$FB,43)</f>
        <v>557200</v>
      </c>
      <c r="I18" s="50">
        <f>VLOOKUP($A18,'Data shares'!$C:$FB,45)*100</f>
        <v>131.97</v>
      </c>
      <c r="J18" s="49">
        <f>VLOOKUP($A18,'Data shares'!$C:$FB,58)</f>
        <v>5972400</v>
      </c>
      <c r="K18" s="49">
        <f>VLOOKUP($A18,'Data shares'!$C:$FB,59)</f>
        <v>548800</v>
      </c>
      <c r="L18" s="50">
        <f>VLOOKUP($A18,'Data shares'!$C:$FB,61)*100</f>
        <v>988.27</v>
      </c>
      <c r="M18" s="49">
        <f>VLOOKUP($A18,'Data shares'!$C:$FB,62)</f>
        <v>1913800</v>
      </c>
      <c r="N18" s="49">
        <f>VLOOKUP($A18,'Data shares'!$C:$FB,63)</f>
        <v>216650</v>
      </c>
      <c r="O18" s="140">
        <f>VLOOKUP($A18,'Data shares'!$C:$FB,65)*100</f>
        <v>783.36</v>
      </c>
    </row>
    <row r="19" spans="1:15" x14ac:dyDescent="0.25">
      <c r="A19" s="101" t="str">
        <f>'Data shares'!C14</f>
        <v>APOLLOHOSP</v>
      </c>
      <c r="B19" s="50">
        <f>VLOOKUP($A19,'Data shares'!$C:$FB,7)</f>
        <v>6921.5</v>
      </c>
      <c r="C19" s="50">
        <f>VLOOKUP($A19,'Data shares'!$C:$FB,10)*100</f>
        <v>-1.8399999999999999</v>
      </c>
      <c r="D19" s="49">
        <f>VLOOKUP($A19,'Data shares'!$C:$FB,66)</f>
        <v>5077125</v>
      </c>
      <c r="E19" s="49">
        <f>VLOOKUP($A19,'Data shares'!$C:$FB,67)</f>
        <v>3961000</v>
      </c>
      <c r="F19" s="50">
        <f>VLOOKUP($A19,'Data shares'!$C:$FB,69)*100</f>
        <v>28.18</v>
      </c>
      <c r="G19" s="49">
        <f>VLOOKUP($A19,'Data shares'!$C:$FB,42)</f>
        <v>527625</v>
      </c>
      <c r="H19" s="49">
        <f>VLOOKUP($A19,'Data shares'!$C:$FB,43)</f>
        <v>412750</v>
      </c>
      <c r="I19" s="50">
        <f>VLOOKUP($A19,'Data shares'!$C:$FB,45)*100</f>
        <v>27.83</v>
      </c>
      <c r="J19" s="49">
        <f>VLOOKUP($A19,'Data shares'!$C:$FB,58)</f>
        <v>2951375</v>
      </c>
      <c r="K19" s="49">
        <f>VLOOKUP($A19,'Data shares'!$C:$FB,59)</f>
        <v>2853250</v>
      </c>
      <c r="L19" s="50">
        <f>VLOOKUP($A19,'Data shares'!$C:$FB,61)*100</f>
        <v>3.44</v>
      </c>
      <c r="M19" s="49">
        <f>VLOOKUP($A19,'Data shares'!$C:$FB,62)</f>
        <v>1598125</v>
      </c>
      <c r="N19" s="49">
        <f>VLOOKUP($A19,'Data shares'!$C:$FB,63)</f>
        <v>695000</v>
      </c>
      <c r="O19" s="140">
        <f>VLOOKUP($A19,'Data shares'!$C:$FB,65)*100</f>
        <v>129.95000000000002</v>
      </c>
    </row>
    <row r="20" spans="1:15" x14ac:dyDescent="0.25">
      <c r="A20" s="101" t="str">
        <f>'Data shares'!C15</f>
        <v>ASHOKLEY</v>
      </c>
      <c r="B20" s="50">
        <f>VLOOKUP($A20,'Data shares'!$C:$FB,7)</f>
        <v>166.14</v>
      </c>
      <c r="C20" s="50">
        <f>VLOOKUP($A20,'Data shares'!$C:$FB,10)*100</f>
        <v>-0.96</v>
      </c>
      <c r="D20" s="49">
        <f>VLOOKUP($A20,'Data shares'!$C:$FB,66)</f>
        <v>123790000</v>
      </c>
      <c r="E20" s="49">
        <f>VLOOKUP($A20,'Data shares'!$C:$FB,67)</f>
        <v>218685000</v>
      </c>
      <c r="F20" s="50">
        <f>VLOOKUP($A20,'Data shares'!$C:$FB,69)*100</f>
        <v>-43.39</v>
      </c>
      <c r="G20" s="49">
        <f>VLOOKUP($A20,'Data shares'!$C:$FB,42)</f>
        <v>22080000</v>
      </c>
      <c r="H20" s="49">
        <f>VLOOKUP($A20,'Data shares'!$C:$FB,43)</f>
        <v>32140000</v>
      </c>
      <c r="I20" s="50">
        <f>VLOOKUP($A20,'Data shares'!$C:$FB,45)*100</f>
        <v>-31.3</v>
      </c>
      <c r="J20" s="49">
        <f>VLOOKUP($A20,'Data shares'!$C:$FB,58)</f>
        <v>61195000</v>
      </c>
      <c r="K20" s="49">
        <f>VLOOKUP($A20,'Data shares'!$C:$FB,59)</f>
        <v>126255000</v>
      </c>
      <c r="L20" s="50">
        <f>VLOOKUP($A20,'Data shares'!$C:$FB,61)*100</f>
        <v>-51.53</v>
      </c>
      <c r="M20" s="49">
        <f>VLOOKUP($A20,'Data shares'!$C:$FB,62)</f>
        <v>40515000</v>
      </c>
      <c r="N20" s="49">
        <f>VLOOKUP($A20,'Data shares'!$C:$FB,63)</f>
        <v>60290000</v>
      </c>
      <c r="O20" s="140">
        <f>VLOOKUP($A20,'Data shares'!$C:$FB,65)*100</f>
        <v>-32.800000000000004</v>
      </c>
    </row>
    <row r="21" spans="1:15" x14ac:dyDescent="0.25">
      <c r="A21" s="101" t="str">
        <f>'Data shares'!C16</f>
        <v>ASIANPAINT</v>
      </c>
      <c r="B21" s="50">
        <f>VLOOKUP($A21,'Data shares'!$C:$FB,7)</f>
        <v>2785.7</v>
      </c>
      <c r="C21" s="50">
        <f>VLOOKUP($A21,'Data shares'!$C:$FB,10)*100</f>
        <v>-0.19</v>
      </c>
      <c r="D21" s="49">
        <f>VLOOKUP($A21,'Data shares'!$C:$FB,66)</f>
        <v>10192750</v>
      </c>
      <c r="E21" s="49">
        <f>VLOOKUP($A21,'Data shares'!$C:$FB,67)</f>
        <v>15616750</v>
      </c>
      <c r="F21" s="50">
        <f>VLOOKUP($A21,'Data shares'!$C:$FB,69)*100</f>
        <v>-34.729999999999997</v>
      </c>
      <c r="G21" s="49">
        <f>VLOOKUP($A21,'Data shares'!$C:$FB,42)</f>
        <v>1192750</v>
      </c>
      <c r="H21" s="49">
        <f>VLOOKUP($A21,'Data shares'!$C:$FB,43)</f>
        <v>1359000</v>
      </c>
      <c r="I21" s="50">
        <f>VLOOKUP($A21,'Data shares'!$C:$FB,45)*100</f>
        <v>-12.23</v>
      </c>
      <c r="J21" s="49">
        <f>VLOOKUP($A21,'Data shares'!$C:$FB,58)</f>
        <v>6514250</v>
      </c>
      <c r="K21" s="49">
        <f>VLOOKUP($A21,'Data shares'!$C:$FB,59)</f>
        <v>10653750</v>
      </c>
      <c r="L21" s="50">
        <f>VLOOKUP($A21,'Data shares'!$C:$FB,61)*100</f>
        <v>-38.85</v>
      </c>
      <c r="M21" s="49">
        <f>VLOOKUP($A21,'Data shares'!$C:$FB,62)</f>
        <v>2485750</v>
      </c>
      <c r="N21" s="49">
        <f>VLOOKUP($A21,'Data shares'!$C:$FB,63)</f>
        <v>3604000</v>
      </c>
      <c r="O21" s="140">
        <f>VLOOKUP($A21,'Data shares'!$C:$FB,65)*100</f>
        <v>-31.03</v>
      </c>
    </row>
    <row r="22" spans="1:15" x14ac:dyDescent="0.25">
      <c r="A22" s="101" t="str">
        <f>'Data shares'!C17</f>
        <v>ASTRAL</v>
      </c>
      <c r="B22" s="50">
        <f>VLOOKUP($A22,'Data shares'!$C:$FB,7)</f>
        <v>1428.9</v>
      </c>
      <c r="C22" s="50">
        <f>VLOOKUP($A22,'Data shares'!$C:$FB,10)*100</f>
        <v>-2.3199999999999998</v>
      </c>
      <c r="D22" s="49">
        <f>VLOOKUP($A22,'Data shares'!$C:$FB,66)</f>
        <v>8644925</v>
      </c>
      <c r="E22" s="49">
        <f>VLOOKUP($A22,'Data shares'!$C:$FB,67)</f>
        <v>23967875</v>
      </c>
      <c r="F22" s="50">
        <f>VLOOKUP($A22,'Data shares'!$C:$FB,69)*100</f>
        <v>-63.93</v>
      </c>
      <c r="G22" s="49">
        <f>VLOOKUP($A22,'Data shares'!$C:$FB,42)</f>
        <v>1251200</v>
      </c>
      <c r="H22" s="49">
        <f>VLOOKUP($A22,'Data shares'!$C:$FB,43)</f>
        <v>3603575</v>
      </c>
      <c r="I22" s="50">
        <f>VLOOKUP($A22,'Data shares'!$C:$FB,45)*100</f>
        <v>-65.28</v>
      </c>
      <c r="J22" s="49">
        <f>VLOOKUP($A22,'Data shares'!$C:$FB,58)</f>
        <v>4308225</v>
      </c>
      <c r="K22" s="49">
        <f>VLOOKUP($A22,'Data shares'!$C:$FB,59)</f>
        <v>14179700</v>
      </c>
      <c r="L22" s="50">
        <f>VLOOKUP($A22,'Data shares'!$C:$FB,61)*100</f>
        <v>-69.62</v>
      </c>
      <c r="M22" s="49">
        <f>VLOOKUP($A22,'Data shares'!$C:$FB,62)</f>
        <v>3085500</v>
      </c>
      <c r="N22" s="49">
        <f>VLOOKUP($A22,'Data shares'!$C:$FB,63)</f>
        <v>6184600</v>
      </c>
      <c r="O22" s="140">
        <f>VLOOKUP($A22,'Data shares'!$C:$FB,65)*100</f>
        <v>-50.11</v>
      </c>
    </row>
    <row r="23" spans="1:15" x14ac:dyDescent="0.25">
      <c r="A23" s="101" t="str">
        <f>'Data shares'!C18</f>
        <v>AUBANK</v>
      </c>
      <c r="B23" s="50">
        <f>VLOOKUP($A23,'Data shares'!$C:$FB,7)</f>
        <v>990.3</v>
      </c>
      <c r="C23" s="50">
        <f>VLOOKUP($A23,'Data shares'!$C:$FB,10)*100</f>
        <v>0.9900000000000001</v>
      </c>
      <c r="D23" s="49">
        <f>VLOOKUP($A23,'Data shares'!$C:$FB,66)</f>
        <v>33329000</v>
      </c>
      <c r="E23" s="49">
        <f>VLOOKUP($A23,'Data shares'!$C:$FB,67)</f>
        <v>12494000</v>
      </c>
      <c r="F23" s="50">
        <f>VLOOKUP($A23,'Data shares'!$C:$FB,69)*100</f>
        <v>166.76</v>
      </c>
      <c r="G23" s="49">
        <f>VLOOKUP($A23,'Data shares'!$C:$FB,42)</f>
        <v>6378000</v>
      </c>
      <c r="H23" s="49">
        <f>VLOOKUP($A23,'Data shares'!$C:$FB,43)</f>
        <v>3402000</v>
      </c>
      <c r="I23" s="50">
        <f>VLOOKUP($A23,'Data shares'!$C:$FB,45)*100</f>
        <v>87.48</v>
      </c>
      <c r="J23" s="49">
        <f>VLOOKUP($A23,'Data shares'!$C:$FB,58)</f>
        <v>19138000</v>
      </c>
      <c r="K23" s="49">
        <f>VLOOKUP($A23,'Data shares'!$C:$FB,59)</f>
        <v>5275000</v>
      </c>
      <c r="L23" s="50">
        <f>VLOOKUP($A23,'Data shares'!$C:$FB,61)*100</f>
        <v>262.81</v>
      </c>
      <c r="M23" s="49">
        <f>VLOOKUP($A23,'Data shares'!$C:$FB,62)</f>
        <v>7813000</v>
      </c>
      <c r="N23" s="49">
        <f>VLOOKUP($A23,'Data shares'!$C:$FB,63)</f>
        <v>3817000</v>
      </c>
      <c r="O23" s="140">
        <f>VLOOKUP($A23,'Data shares'!$C:$FB,65)*100</f>
        <v>104.69</v>
      </c>
    </row>
    <row r="24" spans="1:15" x14ac:dyDescent="0.25">
      <c r="A24" s="101" t="str">
        <f>'Data shares'!C19</f>
        <v>AUROPHARMA</v>
      </c>
      <c r="B24" s="50">
        <f>VLOOKUP($A24,'Data shares'!$C:$FB,7)</f>
        <v>1193</v>
      </c>
      <c r="C24" s="50">
        <f>VLOOKUP($A24,'Data shares'!$C:$FB,10)*100</f>
        <v>1.26</v>
      </c>
      <c r="D24" s="49">
        <f>VLOOKUP($A24,'Data shares'!$C:$FB,66)</f>
        <v>5931750</v>
      </c>
      <c r="E24" s="49">
        <f>VLOOKUP($A24,'Data shares'!$C:$FB,67)</f>
        <v>5702950</v>
      </c>
      <c r="F24" s="50">
        <f>VLOOKUP($A24,'Data shares'!$C:$FB,69)*100</f>
        <v>4.01</v>
      </c>
      <c r="G24" s="49">
        <f>VLOOKUP($A24,'Data shares'!$C:$FB,42)</f>
        <v>1632400</v>
      </c>
      <c r="H24" s="49">
        <f>VLOOKUP($A24,'Data shares'!$C:$FB,43)</f>
        <v>1527350</v>
      </c>
      <c r="I24" s="50">
        <f>VLOOKUP($A24,'Data shares'!$C:$FB,45)*100</f>
        <v>6.88</v>
      </c>
      <c r="J24" s="49">
        <f>VLOOKUP($A24,'Data shares'!$C:$FB,58)</f>
        <v>3166900</v>
      </c>
      <c r="K24" s="49">
        <f>VLOOKUP($A24,'Data shares'!$C:$FB,59)</f>
        <v>2319900</v>
      </c>
      <c r="L24" s="50">
        <f>VLOOKUP($A24,'Data shares'!$C:$FB,61)*100</f>
        <v>36.51</v>
      </c>
      <c r="M24" s="49">
        <f>VLOOKUP($A24,'Data shares'!$C:$FB,62)</f>
        <v>1132450</v>
      </c>
      <c r="N24" s="49">
        <f>VLOOKUP($A24,'Data shares'!$C:$FB,63)</f>
        <v>1855700</v>
      </c>
      <c r="O24" s="140">
        <f>VLOOKUP($A24,'Data shares'!$C:$FB,65)*100</f>
        <v>-38.97</v>
      </c>
    </row>
    <row r="25" spans="1:15" x14ac:dyDescent="0.25">
      <c r="A25" s="101" t="str">
        <f>'Data shares'!C20</f>
        <v>AXISBANK</v>
      </c>
      <c r="B25" s="50">
        <f>VLOOKUP($A25,'Data shares'!$C:$FB,7)</f>
        <v>1224.7</v>
      </c>
      <c r="C25" s="50">
        <f>VLOOKUP($A25,'Data shares'!$C:$FB,10)*100</f>
        <v>0.42</v>
      </c>
      <c r="D25" s="49">
        <f>VLOOKUP($A25,'Data shares'!$C:$FB,66)</f>
        <v>99665625</v>
      </c>
      <c r="E25" s="49">
        <f>VLOOKUP($A25,'Data shares'!$C:$FB,67)</f>
        <v>226303125</v>
      </c>
      <c r="F25" s="50">
        <f>VLOOKUP($A25,'Data shares'!$C:$FB,69)*100</f>
        <v>-55.96</v>
      </c>
      <c r="G25" s="49">
        <f>VLOOKUP($A25,'Data shares'!$C:$FB,42)</f>
        <v>9078125</v>
      </c>
      <c r="H25" s="49">
        <f>VLOOKUP($A25,'Data shares'!$C:$FB,43)</f>
        <v>25905625</v>
      </c>
      <c r="I25" s="50">
        <f>VLOOKUP($A25,'Data shares'!$C:$FB,45)*100</f>
        <v>-64.959999999999994</v>
      </c>
      <c r="J25" s="49">
        <f>VLOOKUP($A25,'Data shares'!$C:$FB,58)</f>
        <v>54635625</v>
      </c>
      <c r="K25" s="49">
        <f>VLOOKUP($A25,'Data shares'!$C:$FB,59)</f>
        <v>111576875</v>
      </c>
      <c r="L25" s="50">
        <f>VLOOKUP($A25,'Data shares'!$C:$FB,61)*100</f>
        <v>-51.03</v>
      </c>
      <c r="M25" s="49">
        <f>VLOOKUP($A25,'Data shares'!$C:$FB,62)</f>
        <v>35951875</v>
      </c>
      <c r="N25" s="49">
        <f>VLOOKUP($A25,'Data shares'!$C:$FB,63)</f>
        <v>88820625</v>
      </c>
      <c r="O25" s="140">
        <f>VLOOKUP($A25,'Data shares'!$C:$FB,65)*100</f>
        <v>-59.519999999999996</v>
      </c>
    </row>
    <row r="26" spans="1:15" x14ac:dyDescent="0.25">
      <c r="A26" s="101" t="str">
        <f>'Data shares'!C21</f>
        <v>BAJAJ-AUTO</v>
      </c>
      <c r="B26" s="50">
        <f>VLOOKUP($A26,'Data shares'!$C:$FB,7)</f>
        <v>8895</v>
      </c>
      <c r="C26" s="50">
        <f>VLOOKUP($A26,'Data shares'!$C:$FB,10)*100</f>
        <v>-1.25</v>
      </c>
      <c r="D26" s="49">
        <f>VLOOKUP($A26,'Data shares'!$C:$FB,66)</f>
        <v>4221675</v>
      </c>
      <c r="E26" s="49">
        <f>VLOOKUP($A26,'Data shares'!$C:$FB,67)</f>
        <v>3321000</v>
      </c>
      <c r="F26" s="50">
        <f>VLOOKUP($A26,'Data shares'!$C:$FB,69)*100</f>
        <v>27.12</v>
      </c>
      <c r="G26" s="49">
        <f>VLOOKUP($A26,'Data shares'!$C:$FB,42)</f>
        <v>578925</v>
      </c>
      <c r="H26" s="49">
        <f>VLOOKUP($A26,'Data shares'!$C:$FB,43)</f>
        <v>399300</v>
      </c>
      <c r="I26" s="50">
        <f>VLOOKUP($A26,'Data shares'!$C:$FB,45)*100</f>
        <v>44.98</v>
      </c>
      <c r="J26" s="49">
        <f>VLOOKUP($A26,'Data shares'!$C:$FB,58)</f>
        <v>2101125</v>
      </c>
      <c r="K26" s="49">
        <f>VLOOKUP($A26,'Data shares'!$C:$FB,59)</f>
        <v>2014050</v>
      </c>
      <c r="L26" s="50">
        <f>VLOOKUP($A26,'Data shares'!$C:$FB,61)*100</f>
        <v>4.32</v>
      </c>
      <c r="M26" s="49">
        <f>VLOOKUP($A26,'Data shares'!$C:$FB,62)</f>
        <v>1541625</v>
      </c>
      <c r="N26" s="49">
        <f>VLOOKUP($A26,'Data shares'!$C:$FB,63)</f>
        <v>907650</v>
      </c>
      <c r="O26" s="140">
        <f>VLOOKUP($A26,'Data shares'!$C:$FB,65)*100</f>
        <v>69.849999999999994</v>
      </c>
    </row>
    <row r="27" spans="1:15" x14ac:dyDescent="0.25">
      <c r="A27" s="101" t="str">
        <f>'Data shares'!C22</f>
        <v>BAJAJFINSV</v>
      </c>
      <c r="B27" s="50">
        <f>VLOOKUP($A27,'Data shares'!$C:$FB,7)</f>
        <v>2021.2</v>
      </c>
      <c r="C27" s="50">
        <f>VLOOKUP($A27,'Data shares'!$C:$FB,10)*100</f>
        <v>-0.69</v>
      </c>
      <c r="D27" s="49">
        <f>VLOOKUP($A27,'Data shares'!$C:$FB,66)</f>
        <v>8635750</v>
      </c>
      <c r="E27" s="49">
        <f>VLOOKUP($A27,'Data shares'!$C:$FB,67)</f>
        <v>8110500</v>
      </c>
      <c r="F27" s="50">
        <f>VLOOKUP($A27,'Data shares'!$C:$FB,69)*100</f>
        <v>6.4799999999999995</v>
      </c>
      <c r="G27" s="49">
        <f>VLOOKUP($A27,'Data shares'!$C:$FB,42)</f>
        <v>1484500</v>
      </c>
      <c r="H27" s="49">
        <f>VLOOKUP($A27,'Data shares'!$C:$FB,43)</f>
        <v>1689000</v>
      </c>
      <c r="I27" s="50">
        <f>VLOOKUP($A27,'Data shares'!$C:$FB,45)*100</f>
        <v>-12.11</v>
      </c>
      <c r="J27" s="49">
        <f>VLOOKUP($A27,'Data shares'!$C:$FB,58)</f>
        <v>4274500</v>
      </c>
      <c r="K27" s="49">
        <f>VLOOKUP($A27,'Data shares'!$C:$FB,59)</f>
        <v>3913250</v>
      </c>
      <c r="L27" s="50">
        <f>VLOOKUP($A27,'Data shares'!$C:$FB,61)*100</f>
        <v>9.2299999999999986</v>
      </c>
      <c r="M27" s="49">
        <f>VLOOKUP($A27,'Data shares'!$C:$FB,62)</f>
        <v>2876750</v>
      </c>
      <c r="N27" s="49">
        <f>VLOOKUP($A27,'Data shares'!$C:$FB,63)</f>
        <v>2508250</v>
      </c>
      <c r="O27" s="140">
        <f>VLOOKUP($A27,'Data shares'!$C:$FB,65)*100</f>
        <v>14.69</v>
      </c>
    </row>
    <row r="28" spans="1:15" x14ac:dyDescent="0.25">
      <c r="A28" s="101" t="str">
        <f>'Data shares'!C23</f>
        <v>BAJFINANCE</v>
      </c>
      <c r="B28" s="50">
        <f>VLOOKUP($A28,'Data shares'!$C:$FB,7)</f>
        <v>999.6</v>
      </c>
      <c r="C28" s="50">
        <f>VLOOKUP($A28,'Data shares'!$C:$FB,10)*100</f>
        <v>0.12</v>
      </c>
      <c r="D28" s="49">
        <f>VLOOKUP($A28,'Data shares'!$C:$FB,66)</f>
        <v>47657250</v>
      </c>
      <c r="E28" s="49">
        <f>VLOOKUP($A28,'Data shares'!$C:$FB,67)</f>
        <v>38676750</v>
      </c>
      <c r="F28" s="50">
        <f>VLOOKUP($A28,'Data shares'!$C:$FB,69)*100</f>
        <v>23.22</v>
      </c>
      <c r="G28" s="49">
        <f>VLOOKUP($A28,'Data shares'!$C:$FB,42)</f>
        <v>9633750</v>
      </c>
      <c r="H28" s="49">
        <f>VLOOKUP($A28,'Data shares'!$C:$FB,43)</f>
        <v>8215500</v>
      </c>
      <c r="I28" s="50">
        <f>VLOOKUP($A28,'Data shares'!$C:$FB,45)*100</f>
        <v>17.260000000000002</v>
      </c>
      <c r="J28" s="49">
        <f>VLOOKUP($A28,'Data shares'!$C:$FB,58)</f>
        <v>25860750</v>
      </c>
      <c r="K28" s="49">
        <f>VLOOKUP($A28,'Data shares'!$C:$FB,59)</f>
        <v>20904750</v>
      </c>
      <c r="L28" s="50">
        <f>VLOOKUP($A28,'Data shares'!$C:$FB,61)*100</f>
        <v>23.71</v>
      </c>
      <c r="M28" s="49">
        <f>VLOOKUP($A28,'Data shares'!$C:$FB,62)</f>
        <v>12162750</v>
      </c>
      <c r="N28" s="49">
        <f>VLOOKUP($A28,'Data shares'!$C:$FB,63)</f>
        <v>9556500</v>
      </c>
      <c r="O28" s="140">
        <f>VLOOKUP($A28,'Data shares'!$C:$FB,65)*100</f>
        <v>27.27</v>
      </c>
    </row>
    <row r="29" spans="1:15" x14ac:dyDescent="0.25">
      <c r="A29" s="101" t="str">
        <f>'Data shares'!C24</f>
        <v>BANDHANBNK</v>
      </c>
      <c r="B29" s="50">
        <f>VLOOKUP($A29,'Data shares'!$C:$FB,7)</f>
        <v>147.84</v>
      </c>
      <c r="C29" s="50">
        <f>VLOOKUP($A29,'Data shares'!$C:$FB,10)*100</f>
        <v>-1.0999999999999999</v>
      </c>
      <c r="D29" s="49">
        <f>VLOOKUP($A29,'Data shares'!$C:$FB,66)</f>
        <v>2296800</v>
      </c>
      <c r="E29" s="49">
        <f>VLOOKUP($A29,'Data shares'!$C:$FB,67)</f>
        <v>1256400</v>
      </c>
      <c r="F29" s="50">
        <f>VLOOKUP($A29,'Data shares'!$C:$FB,69)*100</f>
        <v>82.809999999999988</v>
      </c>
      <c r="G29" s="49">
        <f>VLOOKUP($A29,'Data shares'!$C:$FB,42)</f>
        <v>331200</v>
      </c>
      <c r="H29" s="49">
        <f>VLOOKUP($A29,'Data shares'!$C:$FB,43)</f>
        <v>622800</v>
      </c>
      <c r="I29" s="50">
        <f>VLOOKUP($A29,'Data shares'!$C:$FB,45)*100</f>
        <v>-46.82</v>
      </c>
      <c r="J29" s="49">
        <f>VLOOKUP($A29,'Data shares'!$C:$FB,58)</f>
        <v>1688400</v>
      </c>
      <c r="K29" s="49">
        <f>VLOOKUP($A29,'Data shares'!$C:$FB,59)</f>
        <v>478800</v>
      </c>
      <c r="L29" s="50">
        <f>VLOOKUP($A29,'Data shares'!$C:$FB,61)*100</f>
        <v>252.63</v>
      </c>
      <c r="M29" s="49">
        <f>VLOOKUP($A29,'Data shares'!$C:$FB,62)</f>
        <v>277200</v>
      </c>
      <c r="N29" s="49">
        <f>VLOOKUP($A29,'Data shares'!$C:$FB,63)</f>
        <v>154800</v>
      </c>
      <c r="O29" s="140">
        <f>VLOOKUP($A29,'Data shares'!$C:$FB,65)*100</f>
        <v>79.069999999999993</v>
      </c>
    </row>
    <row r="30" spans="1:15" x14ac:dyDescent="0.25">
      <c r="A30" s="101" t="str">
        <f>'Data shares'!C25</f>
        <v>BANKBARODA</v>
      </c>
      <c r="B30" s="50">
        <f>VLOOKUP($A30,'Data shares'!$C:$FB,7)</f>
        <v>287.60000000000002</v>
      </c>
      <c r="C30" s="50">
        <f>VLOOKUP($A30,'Data shares'!$C:$FB,10)*100</f>
        <v>1.68</v>
      </c>
      <c r="D30" s="49">
        <f>VLOOKUP($A30,'Data shares'!$C:$FB,66)</f>
        <v>122265000</v>
      </c>
      <c r="E30" s="49">
        <f>VLOOKUP($A30,'Data shares'!$C:$FB,67)</f>
        <v>73402875</v>
      </c>
      <c r="F30" s="50">
        <f>VLOOKUP($A30,'Data shares'!$C:$FB,69)*100</f>
        <v>66.569999999999993</v>
      </c>
      <c r="G30" s="49">
        <f>VLOOKUP($A30,'Data shares'!$C:$FB,42)</f>
        <v>19334250</v>
      </c>
      <c r="H30" s="49">
        <f>VLOOKUP($A30,'Data shares'!$C:$FB,43)</f>
        <v>12908025</v>
      </c>
      <c r="I30" s="50">
        <f>VLOOKUP($A30,'Data shares'!$C:$FB,45)*100</f>
        <v>49.78</v>
      </c>
      <c r="J30" s="49">
        <f>VLOOKUP($A30,'Data shares'!$C:$FB,58)</f>
        <v>67585050</v>
      </c>
      <c r="K30" s="49">
        <f>VLOOKUP($A30,'Data shares'!$C:$FB,59)</f>
        <v>42348150</v>
      </c>
      <c r="L30" s="50">
        <f>VLOOKUP($A30,'Data shares'!$C:$FB,61)*100</f>
        <v>59.589999999999996</v>
      </c>
      <c r="M30" s="49">
        <f>VLOOKUP($A30,'Data shares'!$C:$FB,62)</f>
        <v>35345700</v>
      </c>
      <c r="N30" s="49">
        <f>VLOOKUP($A30,'Data shares'!$C:$FB,63)</f>
        <v>18146700</v>
      </c>
      <c r="O30" s="140">
        <f>VLOOKUP($A30,'Data shares'!$C:$FB,65)*100</f>
        <v>94.78</v>
      </c>
    </row>
    <row r="31" spans="1:15" x14ac:dyDescent="0.25">
      <c r="A31" s="101" t="str">
        <f>'Data shares'!C26</f>
        <v>BANKINDIA</v>
      </c>
      <c r="B31" s="50">
        <f>VLOOKUP($A31,'Data shares'!$C:$FB,7)</f>
        <v>141.96</v>
      </c>
      <c r="C31" s="50">
        <f>VLOOKUP($A31,'Data shares'!$C:$FB,10)*100</f>
        <v>1.8499999999999999</v>
      </c>
      <c r="D31" s="49">
        <f>VLOOKUP($A31,'Data shares'!$C:$FB,66)</f>
        <v>56893200</v>
      </c>
      <c r="E31" s="49">
        <f>VLOOKUP($A31,'Data shares'!$C:$FB,67)</f>
        <v>19505200</v>
      </c>
      <c r="F31" s="50">
        <f>VLOOKUP($A31,'Data shares'!$C:$FB,69)*100</f>
        <v>191.68</v>
      </c>
      <c r="G31" s="49">
        <f>VLOOKUP($A31,'Data shares'!$C:$FB,42)</f>
        <v>11008400</v>
      </c>
      <c r="H31" s="49">
        <f>VLOOKUP($A31,'Data shares'!$C:$FB,43)</f>
        <v>6973200</v>
      </c>
      <c r="I31" s="50">
        <f>VLOOKUP($A31,'Data shares'!$C:$FB,45)*100</f>
        <v>57.87</v>
      </c>
      <c r="J31" s="49">
        <f>VLOOKUP($A31,'Data shares'!$C:$FB,58)</f>
        <v>33727200</v>
      </c>
      <c r="K31" s="49">
        <f>VLOOKUP($A31,'Data shares'!$C:$FB,59)</f>
        <v>9594000</v>
      </c>
      <c r="L31" s="50">
        <f>VLOOKUP($A31,'Data shares'!$C:$FB,61)*100</f>
        <v>251.54000000000002</v>
      </c>
      <c r="M31" s="49">
        <f>VLOOKUP($A31,'Data shares'!$C:$FB,62)</f>
        <v>12157600</v>
      </c>
      <c r="N31" s="49">
        <f>VLOOKUP($A31,'Data shares'!$C:$FB,63)</f>
        <v>2938000</v>
      </c>
      <c r="O31" s="140">
        <f>VLOOKUP($A31,'Data shares'!$C:$FB,65)*100</f>
        <v>313.81</v>
      </c>
    </row>
    <row r="32" spans="1:15" x14ac:dyDescent="0.25">
      <c r="A32" s="101" t="str">
        <f>'Data shares'!C27</f>
        <v>BANKNIFTY</v>
      </c>
      <c r="B32" s="50">
        <f>VLOOKUP($A32,'Data shares'!$C:$FB,7)</f>
        <v>58926.75</v>
      </c>
      <c r="C32" s="50">
        <f>VLOOKUP($A32,'Data shares'!$C:$FB,10)*100</f>
        <v>-0.18</v>
      </c>
      <c r="D32" s="49">
        <f>VLOOKUP($A32,'Data shares'!$C:$FB,66)</f>
        <v>98172585</v>
      </c>
      <c r="E32" s="49">
        <f>VLOOKUP($A32,'Data shares'!$C:$FB,67)</f>
        <v>89968060</v>
      </c>
      <c r="F32" s="50">
        <f>VLOOKUP($A32,'Data shares'!$C:$FB,69)*100</f>
        <v>9.120000000000001</v>
      </c>
      <c r="G32" s="49">
        <f>VLOOKUP($A32,'Data shares'!$C:$FB,42)</f>
        <v>769020</v>
      </c>
      <c r="H32" s="49">
        <f>VLOOKUP($A32,'Data shares'!$C:$FB,43)</f>
        <v>945455</v>
      </c>
      <c r="I32" s="50">
        <f>VLOOKUP($A32,'Data shares'!$C:$FB,45)*100</f>
        <v>-18.66</v>
      </c>
      <c r="J32" s="49">
        <f>VLOOKUP($A32,'Data shares'!$C:$FB,58)</f>
        <v>49637910</v>
      </c>
      <c r="K32" s="49">
        <f>VLOOKUP($A32,'Data shares'!$C:$FB,59)</f>
        <v>45734675</v>
      </c>
      <c r="L32" s="50">
        <f>VLOOKUP($A32,'Data shares'!$C:$FB,61)*100</f>
        <v>8.5299999999999994</v>
      </c>
      <c r="M32" s="49">
        <f>VLOOKUP($A32,'Data shares'!$C:$FB,62)</f>
        <v>47765655</v>
      </c>
      <c r="N32" s="49">
        <f>VLOOKUP($A32,'Data shares'!$C:$FB,63)</f>
        <v>43287930</v>
      </c>
      <c r="O32" s="140">
        <f>VLOOKUP($A32,'Data shares'!$C:$FB,65)*100</f>
        <v>10.34</v>
      </c>
    </row>
    <row r="33" spans="1:15" x14ac:dyDescent="0.25">
      <c r="A33" s="101" t="str">
        <f>'Data shares'!C28</f>
        <v>BDL</v>
      </c>
      <c r="B33" s="50">
        <f>VLOOKUP($A33,'Data shares'!$C:$FB,7)</f>
        <v>1324.3</v>
      </c>
      <c r="C33" s="50">
        <f>VLOOKUP($A33,'Data shares'!$C:$FB,10)*100</f>
        <v>-2.31</v>
      </c>
      <c r="D33" s="49">
        <f>VLOOKUP($A33,'Data shares'!$C:$FB,66)</f>
        <v>17512625</v>
      </c>
      <c r="E33" s="49">
        <f>VLOOKUP($A33,'Data shares'!$C:$FB,67)</f>
        <v>17481750</v>
      </c>
      <c r="F33" s="50">
        <f>VLOOKUP($A33,'Data shares'!$C:$FB,69)*100</f>
        <v>0.18</v>
      </c>
      <c r="G33" s="49">
        <f>VLOOKUP($A33,'Data shares'!$C:$FB,42)</f>
        <v>1398475</v>
      </c>
      <c r="H33" s="49">
        <f>VLOOKUP($A33,'Data shares'!$C:$FB,43)</f>
        <v>1822600</v>
      </c>
      <c r="I33" s="50">
        <f>VLOOKUP($A33,'Data shares'!$C:$FB,45)*100</f>
        <v>-23.27</v>
      </c>
      <c r="J33" s="49">
        <f>VLOOKUP($A33,'Data shares'!$C:$FB,58)</f>
        <v>9880975</v>
      </c>
      <c r="K33" s="49">
        <f>VLOOKUP($A33,'Data shares'!$C:$FB,59)</f>
        <v>9568975</v>
      </c>
      <c r="L33" s="50">
        <f>VLOOKUP($A33,'Data shares'!$C:$FB,61)*100</f>
        <v>3.26</v>
      </c>
      <c r="M33" s="49">
        <f>VLOOKUP($A33,'Data shares'!$C:$FB,62)</f>
        <v>6233175</v>
      </c>
      <c r="N33" s="49">
        <f>VLOOKUP($A33,'Data shares'!$C:$FB,63)</f>
        <v>6090175</v>
      </c>
      <c r="O33" s="140">
        <f>VLOOKUP($A33,'Data shares'!$C:$FB,65)*100</f>
        <v>2.35</v>
      </c>
    </row>
    <row r="34" spans="1:15" x14ac:dyDescent="0.25">
      <c r="A34" s="101" t="str">
        <f>'Data shares'!C29</f>
        <v>BEL</v>
      </c>
      <c r="B34" s="50">
        <f>VLOOKUP($A34,'Data shares'!$C:$FB,7)</f>
        <v>385.6</v>
      </c>
      <c r="C34" s="50">
        <f>VLOOKUP($A34,'Data shares'!$C:$FB,10)*100</f>
        <v>-0.62</v>
      </c>
      <c r="D34" s="49">
        <f>VLOOKUP($A34,'Data shares'!$C:$FB,66)</f>
        <v>105411525</v>
      </c>
      <c r="E34" s="49">
        <f>VLOOKUP($A34,'Data shares'!$C:$FB,67)</f>
        <v>114396150</v>
      </c>
      <c r="F34" s="50">
        <f>VLOOKUP($A34,'Data shares'!$C:$FB,69)*100</f>
        <v>-7.85</v>
      </c>
      <c r="G34" s="49">
        <f>VLOOKUP($A34,'Data shares'!$C:$FB,42)</f>
        <v>14264250</v>
      </c>
      <c r="H34" s="49">
        <f>VLOOKUP($A34,'Data shares'!$C:$FB,43)</f>
        <v>14480850</v>
      </c>
      <c r="I34" s="50">
        <f>VLOOKUP($A34,'Data shares'!$C:$FB,45)*100</f>
        <v>-1.5</v>
      </c>
      <c r="J34" s="49">
        <f>VLOOKUP($A34,'Data shares'!$C:$FB,58)</f>
        <v>65381850</v>
      </c>
      <c r="K34" s="49">
        <f>VLOOKUP($A34,'Data shares'!$C:$FB,59)</f>
        <v>69934725</v>
      </c>
      <c r="L34" s="50">
        <f>VLOOKUP($A34,'Data shares'!$C:$FB,61)*100</f>
        <v>-6.5100000000000007</v>
      </c>
      <c r="M34" s="49">
        <f>VLOOKUP($A34,'Data shares'!$C:$FB,62)</f>
        <v>25765425</v>
      </c>
      <c r="N34" s="49">
        <f>VLOOKUP($A34,'Data shares'!$C:$FB,63)</f>
        <v>29980575</v>
      </c>
      <c r="O34" s="140">
        <f>VLOOKUP($A34,'Data shares'!$C:$FB,65)*100</f>
        <v>-14.06</v>
      </c>
    </row>
    <row r="35" spans="1:15" x14ac:dyDescent="0.25">
      <c r="A35" s="101" t="str">
        <f>'Data shares'!C30</f>
        <v>BHARATFORG</v>
      </c>
      <c r="B35" s="50">
        <f>VLOOKUP($A35,'Data shares'!$C:$FB,7)</f>
        <v>1413.3</v>
      </c>
      <c r="C35" s="50">
        <f>VLOOKUP($A35,'Data shares'!$C:$FB,10)*100</f>
        <v>-0.28999999999999998</v>
      </c>
      <c r="D35" s="49">
        <f>VLOOKUP($A35,'Data shares'!$C:$FB,66)</f>
        <v>6660000</v>
      </c>
      <c r="E35" s="49">
        <f>VLOOKUP($A35,'Data shares'!$C:$FB,67)</f>
        <v>8554000</v>
      </c>
      <c r="F35" s="50">
        <f>VLOOKUP($A35,'Data shares'!$C:$FB,69)*100</f>
        <v>-22.14</v>
      </c>
      <c r="G35" s="49">
        <f>VLOOKUP($A35,'Data shares'!$C:$FB,42)</f>
        <v>1373000</v>
      </c>
      <c r="H35" s="49">
        <f>VLOOKUP($A35,'Data shares'!$C:$FB,43)</f>
        <v>1458000</v>
      </c>
      <c r="I35" s="50">
        <f>VLOOKUP($A35,'Data shares'!$C:$FB,45)*100</f>
        <v>-5.83</v>
      </c>
      <c r="J35" s="49">
        <f>VLOOKUP($A35,'Data shares'!$C:$FB,58)</f>
        <v>3680000</v>
      </c>
      <c r="K35" s="49">
        <f>VLOOKUP($A35,'Data shares'!$C:$FB,59)</f>
        <v>5212000</v>
      </c>
      <c r="L35" s="50">
        <f>VLOOKUP($A35,'Data shares'!$C:$FB,61)*100</f>
        <v>-29.39</v>
      </c>
      <c r="M35" s="49">
        <f>VLOOKUP($A35,'Data shares'!$C:$FB,62)</f>
        <v>1607000</v>
      </c>
      <c r="N35" s="49">
        <f>VLOOKUP($A35,'Data shares'!$C:$FB,63)</f>
        <v>1884000</v>
      </c>
      <c r="O35" s="140">
        <f>VLOOKUP($A35,'Data shares'!$C:$FB,65)*100</f>
        <v>-14.7</v>
      </c>
    </row>
    <row r="36" spans="1:15" x14ac:dyDescent="0.25">
      <c r="A36" s="101" t="str">
        <f>'Data shares'!C31</f>
        <v>BHARTIARTL</v>
      </c>
      <c r="B36" s="50">
        <f>VLOOKUP($A36,'Data shares'!$C:$FB,7)</f>
        <v>2108</v>
      </c>
      <c r="C36" s="50">
        <f>VLOOKUP($A36,'Data shares'!$C:$FB,10)*100</f>
        <v>0.28999999999999998</v>
      </c>
      <c r="D36" s="49">
        <f>VLOOKUP($A36,'Data shares'!$C:$FB,66)</f>
        <v>37221950</v>
      </c>
      <c r="E36" s="49">
        <f>VLOOKUP($A36,'Data shares'!$C:$FB,67)</f>
        <v>65665900</v>
      </c>
      <c r="F36" s="50">
        <f>VLOOKUP($A36,'Data shares'!$C:$FB,69)*100</f>
        <v>-43.32</v>
      </c>
      <c r="G36" s="49">
        <f>VLOOKUP($A36,'Data shares'!$C:$FB,42)</f>
        <v>4034650</v>
      </c>
      <c r="H36" s="49">
        <f>VLOOKUP($A36,'Data shares'!$C:$FB,43)</f>
        <v>5532325</v>
      </c>
      <c r="I36" s="50">
        <f>VLOOKUP($A36,'Data shares'!$C:$FB,45)*100</f>
        <v>-27.07</v>
      </c>
      <c r="J36" s="49">
        <f>VLOOKUP($A36,'Data shares'!$C:$FB,58)</f>
        <v>21973500</v>
      </c>
      <c r="K36" s="49">
        <f>VLOOKUP($A36,'Data shares'!$C:$FB,59)</f>
        <v>41994275</v>
      </c>
      <c r="L36" s="50">
        <f>VLOOKUP($A36,'Data shares'!$C:$FB,61)*100</f>
        <v>-47.68</v>
      </c>
      <c r="M36" s="49">
        <f>VLOOKUP($A36,'Data shares'!$C:$FB,62)</f>
        <v>11213800</v>
      </c>
      <c r="N36" s="49">
        <f>VLOOKUP($A36,'Data shares'!$C:$FB,63)</f>
        <v>18139300</v>
      </c>
      <c r="O36" s="140">
        <f>VLOOKUP($A36,'Data shares'!$C:$FB,65)*100</f>
        <v>-38.18</v>
      </c>
    </row>
    <row r="37" spans="1:15" x14ac:dyDescent="0.25">
      <c r="A37" s="101" t="str">
        <f>'Data shares'!C32</f>
        <v>BHEL</v>
      </c>
      <c r="B37" s="50">
        <f>VLOOKUP($A37,'Data shares'!$C:$FB,7)</f>
        <v>277.85000000000002</v>
      </c>
      <c r="C37" s="50">
        <f>VLOOKUP($A37,'Data shares'!$C:$FB,10)*100</f>
        <v>-0.54</v>
      </c>
      <c r="D37" s="49">
        <f>VLOOKUP($A37,'Data shares'!$C:$FB,66)</f>
        <v>60705750</v>
      </c>
      <c r="E37" s="49">
        <f>VLOOKUP($A37,'Data shares'!$C:$FB,67)</f>
        <v>80666250</v>
      </c>
      <c r="F37" s="50">
        <f>VLOOKUP($A37,'Data shares'!$C:$FB,69)*100</f>
        <v>-24.740000000000002</v>
      </c>
      <c r="G37" s="49">
        <f>VLOOKUP($A37,'Data shares'!$C:$FB,42)</f>
        <v>7980000</v>
      </c>
      <c r="H37" s="49">
        <f>VLOOKUP($A37,'Data shares'!$C:$FB,43)</f>
        <v>12828375</v>
      </c>
      <c r="I37" s="50">
        <f>VLOOKUP($A37,'Data shares'!$C:$FB,45)*100</f>
        <v>-37.79</v>
      </c>
      <c r="J37" s="49">
        <f>VLOOKUP($A37,'Data shares'!$C:$FB,58)</f>
        <v>39921000</v>
      </c>
      <c r="K37" s="49">
        <f>VLOOKUP($A37,'Data shares'!$C:$FB,59)</f>
        <v>46113375</v>
      </c>
      <c r="L37" s="50">
        <f>VLOOKUP($A37,'Data shares'!$C:$FB,61)*100</f>
        <v>-13.43</v>
      </c>
      <c r="M37" s="49">
        <f>VLOOKUP($A37,'Data shares'!$C:$FB,62)</f>
        <v>12804750</v>
      </c>
      <c r="N37" s="49">
        <f>VLOOKUP($A37,'Data shares'!$C:$FB,63)</f>
        <v>21724500</v>
      </c>
      <c r="O37" s="140">
        <f>VLOOKUP($A37,'Data shares'!$C:$FB,65)*100</f>
        <v>-41.06</v>
      </c>
    </row>
    <row r="38" spans="1:15" x14ac:dyDescent="0.25">
      <c r="A38" s="101" t="str">
        <f>'Data shares'!C33</f>
        <v>BIOCON</v>
      </c>
      <c r="B38" s="50">
        <f>VLOOKUP($A38,'Data shares'!$C:$FB,7)</f>
        <v>386.1</v>
      </c>
      <c r="C38" s="50">
        <f>VLOOKUP($A38,'Data shares'!$C:$FB,10)*100</f>
        <v>0.31</v>
      </c>
      <c r="D38" s="49">
        <f>VLOOKUP($A38,'Data shares'!$C:$FB,66)</f>
        <v>28362500</v>
      </c>
      <c r="E38" s="49">
        <f>VLOOKUP($A38,'Data shares'!$C:$FB,67)</f>
        <v>25147500</v>
      </c>
      <c r="F38" s="50">
        <f>VLOOKUP($A38,'Data shares'!$C:$FB,69)*100</f>
        <v>12.78</v>
      </c>
      <c r="G38" s="49">
        <f>VLOOKUP($A38,'Data shares'!$C:$FB,42)</f>
        <v>3705000</v>
      </c>
      <c r="H38" s="49">
        <f>VLOOKUP($A38,'Data shares'!$C:$FB,43)</f>
        <v>3717500</v>
      </c>
      <c r="I38" s="50">
        <f>VLOOKUP($A38,'Data shares'!$C:$FB,45)*100</f>
        <v>-0.33999999999999997</v>
      </c>
      <c r="J38" s="49">
        <f>VLOOKUP($A38,'Data shares'!$C:$FB,58)</f>
        <v>18440000</v>
      </c>
      <c r="K38" s="49">
        <f>VLOOKUP($A38,'Data shares'!$C:$FB,59)</f>
        <v>15727500</v>
      </c>
      <c r="L38" s="50">
        <f>VLOOKUP($A38,'Data shares'!$C:$FB,61)*100</f>
        <v>17.25</v>
      </c>
      <c r="M38" s="49">
        <f>VLOOKUP($A38,'Data shares'!$C:$FB,62)</f>
        <v>6217500</v>
      </c>
      <c r="N38" s="49">
        <f>VLOOKUP($A38,'Data shares'!$C:$FB,63)</f>
        <v>5702500</v>
      </c>
      <c r="O38" s="140">
        <f>VLOOKUP($A38,'Data shares'!$C:$FB,65)*100</f>
        <v>9.0300000000000011</v>
      </c>
    </row>
    <row r="39" spans="1:15" x14ac:dyDescent="0.25">
      <c r="A39" s="101" t="str">
        <f>'Data shares'!C34</f>
        <v>BLUESTARCO</v>
      </c>
      <c r="B39" s="50">
        <f>VLOOKUP($A39,'Data shares'!$C:$FB,7)</f>
        <v>1826.8</v>
      </c>
      <c r="C39" s="50">
        <f>VLOOKUP($A39,'Data shares'!$C:$FB,10)*100</f>
        <v>0.62</v>
      </c>
      <c r="D39" s="49">
        <f>VLOOKUP($A39,'Data shares'!$C:$FB,66)</f>
        <v>1531075</v>
      </c>
      <c r="E39" s="49">
        <f>VLOOKUP($A39,'Data shares'!$C:$FB,67)</f>
        <v>1391975</v>
      </c>
      <c r="F39" s="50">
        <f>VLOOKUP($A39,'Data shares'!$C:$FB,69)*100</f>
        <v>9.99</v>
      </c>
      <c r="G39" s="49">
        <f>VLOOKUP($A39,'Data shares'!$C:$FB,42)</f>
        <v>264875</v>
      </c>
      <c r="H39" s="49">
        <f>VLOOKUP($A39,'Data shares'!$C:$FB,43)</f>
        <v>393575</v>
      </c>
      <c r="I39" s="50">
        <f>VLOOKUP($A39,'Data shares'!$C:$FB,45)*100</f>
        <v>-32.700000000000003</v>
      </c>
      <c r="J39" s="49">
        <f>VLOOKUP($A39,'Data shares'!$C:$FB,58)</f>
        <v>1029925</v>
      </c>
      <c r="K39" s="49">
        <f>VLOOKUP($A39,'Data shares'!$C:$FB,59)</f>
        <v>704275</v>
      </c>
      <c r="L39" s="50">
        <f>VLOOKUP($A39,'Data shares'!$C:$FB,61)*100</f>
        <v>46.239999999999995</v>
      </c>
      <c r="M39" s="49">
        <f>VLOOKUP($A39,'Data shares'!$C:$FB,62)</f>
        <v>236275</v>
      </c>
      <c r="N39" s="49">
        <f>VLOOKUP($A39,'Data shares'!$C:$FB,63)</f>
        <v>294125</v>
      </c>
      <c r="O39" s="140">
        <f>VLOOKUP($A39,'Data shares'!$C:$FB,65)*100</f>
        <v>-19.670000000000002</v>
      </c>
    </row>
    <row r="40" spans="1:15" x14ac:dyDescent="0.25">
      <c r="A40" s="101" t="str">
        <f>'Data shares'!C35</f>
        <v>BOSCHLTD</v>
      </c>
      <c r="B40" s="50">
        <f>VLOOKUP($A40,'Data shares'!$C:$FB,7)</f>
        <v>35975</v>
      </c>
      <c r="C40" s="50">
        <f>VLOOKUP($A40,'Data shares'!$C:$FB,10)*100</f>
        <v>-0.70000000000000007</v>
      </c>
      <c r="D40" s="49">
        <f>VLOOKUP($A40,'Data shares'!$C:$FB,66)</f>
        <v>182375</v>
      </c>
      <c r="E40" s="49">
        <f>VLOOKUP($A40,'Data shares'!$C:$FB,67)</f>
        <v>118300</v>
      </c>
      <c r="F40" s="50">
        <f>VLOOKUP($A40,'Data shares'!$C:$FB,69)*100</f>
        <v>54.16</v>
      </c>
      <c r="G40" s="49">
        <f>VLOOKUP($A40,'Data shares'!$C:$FB,42)</f>
        <v>20825</v>
      </c>
      <c r="H40" s="49">
        <f>VLOOKUP($A40,'Data shares'!$C:$FB,43)</f>
        <v>20875</v>
      </c>
      <c r="I40" s="50">
        <f>VLOOKUP($A40,'Data shares'!$C:$FB,45)*100</f>
        <v>-0.24</v>
      </c>
      <c r="J40" s="49">
        <f>VLOOKUP($A40,'Data shares'!$C:$FB,58)</f>
        <v>140550</v>
      </c>
      <c r="K40" s="49">
        <f>VLOOKUP($A40,'Data shares'!$C:$FB,59)</f>
        <v>70500</v>
      </c>
      <c r="L40" s="50">
        <f>VLOOKUP($A40,'Data shares'!$C:$FB,61)*100</f>
        <v>99.36</v>
      </c>
      <c r="M40" s="49">
        <f>VLOOKUP($A40,'Data shares'!$C:$FB,62)</f>
        <v>21000</v>
      </c>
      <c r="N40" s="49">
        <f>VLOOKUP($A40,'Data shares'!$C:$FB,63)</f>
        <v>26925</v>
      </c>
      <c r="O40" s="140">
        <f>VLOOKUP($A40,'Data shares'!$C:$FB,65)*100</f>
        <v>-22.009999999999998</v>
      </c>
    </row>
    <row r="41" spans="1:15" x14ac:dyDescent="0.25">
      <c r="A41" s="101" t="str">
        <f>'Data shares'!C36</f>
        <v>BPCL</v>
      </c>
      <c r="B41" s="50">
        <f>VLOOKUP($A41,'Data shares'!$C:$FB,7)</f>
        <v>368.35</v>
      </c>
      <c r="C41" s="50">
        <f>VLOOKUP($A41,'Data shares'!$C:$FB,10)*100</f>
        <v>0.05</v>
      </c>
      <c r="D41" s="49">
        <f>VLOOKUP($A41,'Data shares'!$C:$FB,66)</f>
        <v>67782000</v>
      </c>
      <c r="E41" s="49">
        <f>VLOOKUP($A41,'Data shares'!$C:$FB,67)</f>
        <v>50435575</v>
      </c>
      <c r="F41" s="50">
        <f>VLOOKUP($A41,'Data shares'!$C:$FB,69)*100</f>
        <v>34.39</v>
      </c>
      <c r="G41" s="49">
        <f>VLOOKUP($A41,'Data shares'!$C:$FB,42)</f>
        <v>6353575</v>
      </c>
      <c r="H41" s="49">
        <f>VLOOKUP($A41,'Data shares'!$C:$FB,43)</f>
        <v>6426650</v>
      </c>
      <c r="I41" s="50">
        <f>VLOOKUP($A41,'Data shares'!$C:$FB,45)*100</f>
        <v>-1.1400000000000001</v>
      </c>
      <c r="J41" s="49">
        <f>VLOOKUP($A41,'Data shares'!$C:$FB,58)</f>
        <v>48448725</v>
      </c>
      <c r="K41" s="49">
        <f>VLOOKUP($A41,'Data shares'!$C:$FB,59)</f>
        <v>34287975</v>
      </c>
      <c r="L41" s="50">
        <f>VLOOKUP($A41,'Data shares'!$C:$FB,61)*100</f>
        <v>41.3</v>
      </c>
      <c r="M41" s="49">
        <f>VLOOKUP($A41,'Data shares'!$C:$FB,62)</f>
        <v>12979700</v>
      </c>
      <c r="N41" s="49">
        <f>VLOOKUP($A41,'Data shares'!$C:$FB,63)</f>
        <v>9720950</v>
      </c>
      <c r="O41" s="140">
        <f>VLOOKUP($A41,'Data shares'!$C:$FB,65)*100</f>
        <v>33.520000000000003</v>
      </c>
    </row>
    <row r="42" spans="1:15" x14ac:dyDescent="0.25">
      <c r="A42" s="101" t="str">
        <f>'Data shares'!C37</f>
        <v>BRITANNIA</v>
      </c>
      <c r="B42" s="50">
        <f>VLOOKUP($A42,'Data shares'!$C:$FB,7)</f>
        <v>6096</v>
      </c>
      <c r="C42" s="50">
        <f>VLOOKUP($A42,'Data shares'!$C:$FB,10)*100</f>
        <v>0.49</v>
      </c>
      <c r="D42" s="49">
        <f>VLOOKUP($A42,'Data shares'!$C:$FB,66)</f>
        <v>2917375</v>
      </c>
      <c r="E42" s="49">
        <f>VLOOKUP($A42,'Data shares'!$C:$FB,67)</f>
        <v>7395875</v>
      </c>
      <c r="F42" s="50">
        <f>VLOOKUP($A42,'Data shares'!$C:$FB,69)*100</f>
        <v>-60.550000000000004</v>
      </c>
      <c r="G42" s="49">
        <f>VLOOKUP($A42,'Data shares'!$C:$FB,42)</f>
        <v>247125</v>
      </c>
      <c r="H42" s="49">
        <f>VLOOKUP($A42,'Data shares'!$C:$FB,43)</f>
        <v>473375</v>
      </c>
      <c r="I42" s="50">
        <f>VLOOKUP($A42,'Data shares'!$C:$FB,45)*100</f>
        <v>-47.8</v>
      </c>
      <c r="J42" s="49">
        <f>VLOOKUP($A42,'Data shares'!$C:$FB,58)</f>
        <v>1958375</v>
      </c>
      <c r="K42" s="49">
        <f>VLOOKUP($A42,'Data shares'!$C:$FB,59)</f>
        <v>5118750</v>
      </c>
      <c r="L42" s="50">
        <f>VLOOKUP($A42,'Data shares'!$C:$FB,61)*100</f>
        <v>-61.739999999999995</v>
      </c>
      <c r="M42" s="49">
        <f>VLOOKUP($A42,'Data shares'!$C:$FB,62)</f>
        <v>711875</v>
      </c>
      <c r="N42" s="49">
        <f>VLOOKUP($A42,'Data shares'!$C:$FB,63)</f>
        <v>1803750</v>
      </c>
      <c r="O42" s="140">
        <f>VLOOKUP($A42,'Data shares'!$C:$FB,65)*100</f>
        <v>-60.529999999999994</v>
      </c>
    </row>
    <row r="43" spans="1:15" x14ac:dyDescent="0.25">
      <c r="A43" s="101" t="str">
        <f>'Data shares'!C38</f>
        <v>BSE</v>
      </c>
      <c r="B43" s="50">
        <f>VLOOKUP($A43,'Data shares'!$C:$FB,7)</f>
        <v>2630.5</v>
      </c>
      <c r="C43" s="50">
        <f>VLOOKUP($A43,'Data shares'!$C:$FB,10)*100</f>
        <v>0.94000000000000006</v>
      </c>
      <c r="D43" s="49">
        <f>VLOOKUP($A43,'Data shares'!$C:$FB,66)</f>
        <v>42535500</v>
      </c>
      <c r="E43" s="49">
        <f>VLOOKUP($A43,'Data shares'!$C:$FB,67)</f>
        <v>45189750</v>
      </c>
      <c r="F43" s="50">
        <f>VLOOKUP($A43,'Data shares'!$C:$FB,69)*100</f>
        <v>-5.87</v>
      </c>
      <c r="G43" s="49">
        <f>VLOOKUP($A43,'Data shares'!$C:$FB,42)</f>
        <v>4072500</v>
      </c>
      <c r="H43" s="49">
        <f>VLOOKUP($A43,'Data shares'!$C:$FB,43)</f>
        <v>4383000</v>
      </c>
      <c r="I43" s="50">
        <f>VLOOKUP($A43,'Data shares'!$C:$FB,45)*100</f>
        <v>-7.08</v>
      </c>
      <c r="J43" s="49">
        <f>VLOOKUP($A43,'Data shares'!$C:$FB,58)</f>
        <v>25101000</v>
      </c>
      <c r="K43" s="49">
        <f>VLOOKUP($A43,'Data shares'!$C:$FB,59)</f>
        <v>24248250</v>
      </c>
      <c r="L43" s="50">
        <f>VLOOKUP($A43,'Data shares'!$C:$FB,61)*100</f>
        <v>3.52</v>
      </c>
      <c r="M43" s="49">
        <f>VLOOKUP($A43,'Data shares'!$C:$FB,62)</f>
        <v>13362000</v>
      </c>
      <c r="N43" s="49">
        <f>VLOOKUP($A43,'Data shares'!$C:$FB,63)</f>
        <v>16558500</v>
      </c>
      <c r="O43" s="140">
        <f>VLOOKUP($A43,'Data shares'!$C:$FB,65)*100</f>
        <v>-19.3</v>
      </c>
    </row>
    <row r="44" spans="1:15" x14ac:dyDescent="0.25">
      <c r="A44" s="101" t="str">
        <f>'Data shares'!C39</f>
        <v>CAMS</v>
      </c>
      <c r="B44" s="50">
        <f>VLOOKUP($A44,'Data shares'!$C:$FB,7)</f>
        <v>733.8</v>
      </c>
      <c r="C44" s="50">
        <f>VLOOKUP($A44,'Data shares'!$C:$FB,10)*100</f>
        <v>-2.65</v>
      </c>
      <c r="D44" s="49">
        <f>VLOOKUP($A44,'Data shares'!$C:$FB,66)</f>
        <v>8454000</v>
      </c>
      <c r="E44" s="49">
        <f>VLOOKUP($A44,'Data shares'!$C:$FB,67)</f>
        <v>3581250</v>
      </c>
      <c r="F44" s="50">
        <f>VLOOKUP($A44,'Data shares'!$C:$FB,69)*100</f>
        <v>136.06</v>
      </c>
      <c r="G44" s="49">
        <f>VLOOKUP($A44,'Data shares'!$C:$FB,42)</f>
        <v>2556750</v>
      </c>
      <c r="H44" s="49">
        <f>VLOOKUP($A44,'Data shares'!$C:$FB,43)</f>
        <v>1232250</v>
      </c>
      <c r="I44" s="50">
        <f>VLOOKUP($A44,'Data shares'!$C:$FB,45)*100</f>
        <v>107.49</v>
      </c>
      <c r="J44" s="49">
        <f>VLOOKUP($A44,'Data shares'!$C:$FB,58)</f>
        <v>3035250</v>
      </c>
      <c r="K44" s="49">
        <f>VLOOKUP($A44,'Data shares'!$C:$FB,59)</f>
        <v>1896000</v>
      </c>
      <c r="L44" s="50">
        <f>VLOOKUP($A44,'Data shares'!$C:$FB,61)*100</f>
        <v>60.089999999999996</v>
      </c>
      <c r="M44" s="49">
        <f>VLOOKUP($A44,'Data shares'!$C:$FB,62)</f>
        <v>2862000</v>
      </c>
      <c r="N44" s="49">
        <f>VLOOKUP($A44,'Data shares'!$C:$FB,63)</f>
        <v>453000</v>
      </c>
      <c r="O44" s="140">
        <f>VLOOKUP($A44,'Data shares'!$C:$FB,65)*100</f>
        <v>531.79</v>
      </c>
    </row>
    <row r="45" spans="1:15" x14ac:dyDescent="0.25">
      <c r="A45" s="101" t="str">
        <f>'Data shares'!C40</f>
        <v>CANBK</v>
      </c>
      <c r="B45" s="50">
        <f>VLOOKUP($A45,'Data shares'!$C:$FB,7)</f>
        <v>150.21</v>
      </c>
      <c r="C45" s="50">
        <f>VLOOKUP($A45,'Data shares'!$C:$FB,10)*100</f>
        <v>2.0699999999999998</v>
      </c>
      <c r="D45" s="49">
        <f>VLOOKUP($A45,'Data shares'!$C:$FB,66)</f>
        <v>394530750</v>
      </c>
      <c r="E45" s="49">
        <f>VLOOKUP($A45,'Data shares'!$C:$FB,67)</f>
        <v>122384250</v>
      </c>
      <c r="F45" s="50">
        <f>VLOOKUP($A45,'Data shares'!$C:$FB,69)*100</f>
        <v>222.37</v>
      </c>
      <c r="G45" s="49">
        <f>VLOOKUP($A45,'Data shares'!$C:$FB,42)</f>
        <v>53905500</v>
      </c>
      <c r="H45" s="49">
        <f>VLOOKUP($A45,'Data shares'!$C:$FB,43)</f>
        <v>29322000</v>
      </c>
      <c r="I45" s="50">
        <f>VLOOKUP($A45,'Data shares'!$C:$FB,45)*100</f>
        <v>83.84</v>
      </c>
      <c r="J45" s="49">
        <f>VLOOKUP($A45,'Data shares'!$C:$FB,58)</f>
        <v>228831750</v>
      </c>
      <c r="K45" s="49">
        <f>VLOOKUP($A45,'Data shares'!$C:$FB,59)</f>
        <v>57658500</v>
      </c>
      <c r="L45" s="50">
        <f>VLOOKUP($A45,'Data shares'!$C:$FB,61)*100</f>
        <v>296.87</v>
      </c>
      <c r="M45" s="49">
        <f>VLOOKUP($A45,'Data shares'!$C:$FB,62)</f>
        <v>111793500</v>
      </c>
      <c r="N45" s="49">
        <f>VLOOKUP($A45,'Data shares'!$C:$FB,63)</f>
        <v>35403750</v>
      </c>
      <c r="O45" s="140">
        <f>VLOOKUP($A45,'Data shares'!$C:$FB,65)*100</f>
        <v>215.77</v>
      </c>
    </row>
    <row r="46" spans="1:15" x14ac:dyDescent="0.25">
      <c r="A46" s="101" t="str">
        <f>'Data shares'!C41</f>
        <v>CDSL</v>
      </c>
      <c r="B46" s="50">
        <f>VLOOKUP($A46,'Data shares'!$C:$FB,7)</f>
        <v>1477.3</v>
      </c>
      <c r="C46" s="50">
        <f>VLOOKUP($A46,'Data shares'!$C:$FB,10)*100</f>
        <v>-1.59</v>
      </c>
      <c r="D46" s="49">
        <f>VLOOKUP($A46,'Data shares'!$C:$FB,66)</f>
        <v>13350825</v>
      </c>
      <c r="E46" s="49">
        <f>VLOOKUP($A46,'Data shares'!$C:$FB,67)</f>
        <v>8312500</v>
      </c>
      <c r="F46" s="50">
        <f>VLOOKUP($A46,'Data shares'!$C:$FB,69)*100</f>
        <v>60.61</v>
      </c>
      <c r="G46" s="49">
        <f>VLOOKUP($A46,'Data shares'!$C:$FB,42)</f>
        <v>1986450</v>
      </c>
      <c r="H46" s="49">
        <f>VLOOKUP($A46,'Data shares'!$C:$FB,43)</f>
        <v>1175625</v>
      </c>
      <c r="I46" s="50">
        <f>VLOOKUP($A46,'Data shares'!$C:$FB,45)*100</f>
        <v>68.97</v>
      </c>
      <c r="J46" s="49">
        <f>VLOOKUP($A46,'Data shares'!$C:$FB,58)</f>
        <v>8439325</v>
      </c>
      <c r="K46" s="49">
        <f>VLOOKUP($A46,'Data shares'!$C:$FB,59)</f>
        <v>5399800</v>
      </c>
      <c r="L46" s="50">
        <f>VLOOKUP($A46,'Data shares'!$C:$FB,61)*100</f>
        <v>56.289999999999992</v>
      </c>
      <c r="M46" s="49">
        <f>VLOOKUP($A46,'Data shares'!$C:$FB,62)</f>
        <v>2925050</v>
      </c>
      <c r="N46" s="49">
        <f>VLOOKUP($A46,'Data shares'!$C:$FB,63)</f>
        <v>1737075</v>
      </c>
      <c r="O46" s="140">
        <f>VLOOKUP($A46,'Data shares'!$C:$FB,65)*100</f>
        <v>68.39</v>
      </c>
    </row>
    <row r="47" spans="1:15" x14ac:dyDescent="0.25">
      <c r="A47" s="101" t="str">
        <f>'Data shares'!C42</f>
        <v>CGPOWER</v>
      </c>
      <c r="B47" s="50">
        <f>VLOOKUP($A47,'Data shares'!$C:$FB,7)</f>
        <v>670.4</v>
      </c>
      <c r="C47" s="50">
        <f>VLOOKUP($A47,'Data shares'!$C:$FB,10)*100</f>
        <v>-0.38999999999999996</v>
      </c>
      <c r="D47" s="49">
        <f>VLOOKUP($A47,'Data shares'!$C:$FB,66)</f>
        <v>49492100</v>
      </c>
      <c r="E47" s="49">
        <f>VLOOKUP($A47,'Data shares'!$C:$FB,67)</f>
        <v>7306600</v>
      </c>
      <c r="F47" s="50">
        <f>VLOOKUP($A47,'Data shares'!$C:$FB,69)*100</f>
        <v>577.36</v>
      </c>
      <c r="G47" s="49">
        <f>VLOOKUP($A47,'Data shares'!$C:$FB,42)</f>
        <v>5528400</v>
      </c>
      <c r="H47" s="49">
        <f>VLOOKUP($A47,'Data shares'!$C:$FB,43)</f>
        <v>2351100</v>
      </c>
      <c r="I47" s="50">
        <f>VLOOKUP($A47,'Data shares'!$C:$FB,45)*100</f>
        <v>135.13999999999999</v>
      </c>
      <c r="J47" s="49">
        <f>VLOOKUP($A47,'Data shares'!$C:$FB,58)</f>
        <v>36110550</v>
      </c>
      <c r="K47" s="49">
        <f>VLOOKUP($A47,'Data shares'!$C:$FB,59)</f>
        <v>3829250</v>
      </c>
      <c r="L47" s="50">
        <f>VLOOKUP($A47,'Data shares'!$C:$FB,61)*100</f>
        <v>843.02</v>
      </c>
      <c r="M47" s="49">
        <f>VLOOKUP($A47,'Data shares'!$C:$FB,62)</f>
        <v>7853150</v>
      </c>
      <c r="N47" s="49">
        <f>VLOOKUP($A47,'Data shares'!$C:$FB,63)</f>
        <v>1126250</v>
      </c>
      <c r="O47" s="140">
        <f>VLOOKUP($A47,'Data shares'!$C:$FB,65)*100</f>
        <v>597.28000000000009</v>
      </c>
    </row>
    <row r="48" spans="1:15" x14ac:dyDescent="0.25">
      <c r="A48" s="101" t="str">
        <f>'Data shares'!C43</f>
        <v>CHOLAFIN</v>
      </c>
      <c r="B48" s="50">
        <f>VLOOKUP($A48,'Data shares'!$C:$FB,7)</f>
        <v>1673.5</v>
      </c>
      <c r="C48" s="50">
        <f>VLOOKUP($A48,'Data shares'!$C:$FB,10)*100</f>
        <v>-2.44</v>
      </c>
      <c r="D48" s="49">
        <f>VLOOKUP($A48,'Data shares'!$C:$FB,66)</f>
        <v>24314375</v>
      </c>
      <c r="E48" s="49">
        <f>VLOOKUP($A48,'Data shares'!$C:$FB,67)</f>
        <v>5951250</v>
      </c>
      <c r="F48" s="50">
        <f>VLOOKUP($A48,'Data shares'!$C:$FB,69)*100</f>
        <v>308.56</v>
      </c>
      <c r="G48" s="49">
        <f>VLOOKUP($A48,'Data shares'!$C:$FB,42)</f>
        <v>3037500</v>
      </c>
      <c r="H48" s="49">
        <f>VLOOKUP($A48,'Data shares'!$C:$FB,43)</f>
        <v>1291875</v>
      </c>
      <c r="I48" s="50">
        <f>VLOOKUP($A48,'Data shares'!$C:$FB,45)*100</f>
        <v>135.12</v>
      </c>
      <c r="J48" s="49">
        <f>VLOOKUP($A48,'Data shares'!$C:$FB,58)</f>
        <v>13011250</v>
      </c>
      <c r="K48" s="49">
        <f>VLOOKUP($A48,'Data shares'!$C:$FB,59)</f>
        <v>3397500</v>
      </c>
      <c r="L48" s="50">
        <f>VLOOKUP($A48,'Data shares'!$C:$FB,61)*100</f>
        <v>282.96999999999997</v>
      </c>
      <c r="M48" s="49">
        <f>VLOOKUP($A48,'Data shares'!$C:$FB,62)</f>
        <v>8265625</v>
      </c>
      <c r="N48" s="49">
        <f>VLOOKUP($A48,'Data shares'!$C:$FB,63)</f>
        <v>1261875</v>
      </c>
      <c r="O48" s="140">
        <f>VLOOKUP($A48,'Data shares'!$C:$FB,65)*100</f>
        <v>555.03</v>
      </c>
    </row>
    <row r="49" spans="1:15" x14ac:dyDescent="0.25">
      <c r="A49" s="101" t="str">
        <f>'Data shares'!C44</f>
        <v>CIPLA</v>
      </c>
      <c r="B49" s="50">
        <f>VLOOKUP($A49,'Data shares'!$C:$FB,7)</f>
        <v>1496.9</v>
      </c>
      <c r="C49" s="50">
        <f>VLOOKUP($A49,'Data shares'!$C:$FB,10)*100</f>
        <v>-0.18</v>
      </c>
      <c r="D49" s="49">
        <f>VLOOKUP($A49,'Data shares'!$C:$FB,66)</f>
        <v>6340875</v>
      </c>
      <c r="E49" s="49">
        <f>VLOOKUP($A49,'Data shares'!$C:$FB,67)</f>
        <v>5595750</v>
      </c>
      <c r="F49" s="50">
        <f>VLOOKUP($A49,'Data shares'!$C:$FB,69)*100</f>
        <v>13.320000000000002</v>
      </c>
      <c r="G49" s="49">
        <f>VLOOKUP($A49,'Data shares'!$C:$FB,42)</f>
        <v>1416750</v>
      </c>
      <c r="H49" s="49">
        <f>VLOOKUP($A49,'Data shares'!$C:$FB,43)</f>
        <v>1147875</v>
      </c>
      <c r="I49" s="50">
        <f>VLOOKUP($A49,'Data shares'!$C:$FB,45)*100</f>
        <v>23.419999999999998</v>
      </c>
      <c r="J49" s="49">
        <f>VLOOKUP($A49,'Data shares'!$C:$FB,58)</f>
        <v>3576000</v>
      </c>
      <c r="K49" s="49">
        <f>VLOOKUP($A49,'Data shares'!$C:$FB,59)</f>
        <v>3206250</v>
      </c>
      <c r="L49" s="50">
        <f>VLOOKUP($A49,'Data shares'!$C:$FB,61)*100</f>
        <v>11.53</v>
      </c>
      <c r="M49" s="49">
        <f>VLOOKUP($A49,'Data shares'!$C:$FB,62)</f>
        <v>1348125</v>
      </c>
      <c r="N49" s="49">
        <f>VLOOKUP($A49,'Data shares'!$C:$FB,63)</f>
        <v>1241625</v>
      </c>
      <c r="O49" s="140">
        <f>VLOOKUP($A49,'Data shares'!$C:$FB,65)*100</f>
        <v>8.58</v>
      </c>
    </row>
    <row r="50" spans="1:15" x14ac:dyDescent="0.25">
      <c r="A50" s="101" t="str">
        <f>'Data shares'!C45</f>
        <v>COALINDIA</v>
      </c>
      <c r="B50" s="50">
        <f>VLOOKUP($A50,'Data shares'!$C:$FB,7)</f>
        <v>384.75</v>
      </c>
      <c r="C50" s="50">
        <f>VLOOKUP($A50,'Data shares'!$C:$FB,10)*100</f>
        <v>0.83</v>
      </c>
      <c r="D50" s="49">
        <f>VLOOKUP($A50,'Data shares'!$C:$FB,66)</f>
        <v>23284800</v>
      </c>
      <c r="E50" s="49">
        <f>VLOOKUP($A50,'Data shares'!$C:$FB,67)</f>
        <v>24586200</v>
      </c>
      <c r="F50" s="50">
        <f>VLOOKUP($A50,'Data shares'!$C:$FB,69)*100</f>
        <v>-5.29</v>
      </c>
      <c r="G50" s="49">
        <f>VLOOKUP($A50,'Data shares'!$C:$FB,42)</f>
        <v>4444200</v>
      </c>
      <c r="H50" s="49">
        <f>VLOOKUP($A50,'Data shares'!$C:$FB,43)</f>
        <v>5209650</v>
      </c>
      <c r="I50" s="50">
        <f>VLOOKUP($A50,'Data shares'!$C:$FB,45)*100</f>
        <v>-14.69</v>
      </c>
      <c r="J50" s="49">
        <f>VLOOKUP($A50,'Data shares'!$C:$FB,58)</f>
        <v>11956950</v>
      </c>
      <c r="K50" s="49">
        <f>VLOOKUP($A50,'Data shares'!$C:$FB,59)</f>
        <v>11465550</v>
      </c>
      <c r="L50" s="50">
        <f>VLOOKUP($A50,'Data shares'!$C:$FB,61)*100</f>
        <v>4.29</v>
      </c>
      <c r="M50" s="49">
        <f>VLOOKUP($A50,'Data shares'!$C:$FB,62)</f>
        <v>6883650</v>
      </c>
      <c r="N50" s="49">
        <f>VLOOKUP($A50,'Data shares'!$C:$FB,63)</f>
        <v>7911000</v>
      </c>
      <c r="O50" s="140">
        <f>VLOOKUP($A50,'Data shares'!$C:$FB,65)*100</f>
        <v>-12.989999999999998</v>
      </c>
    </row>
    <row r="51" spans="1:15" x14ac:dyDescent="0.25">
      <c r="A51" s="101" t="str">
        <f>'Data shares'!C46</f>
        <v>COFORGE</v>
      </c>
      <c r="B51" s="50">
        <f>VLOOKUP($A51,'Data shares'!$C:$FB,7)</f>
        <v>1844.7</v>
      </c>
      <c r="C51" s="50">
        <f>VLOOKUP($A51,'Data shares'!$C:$FB,10)*100</f>
        <v>-1.18</v>
      </c>
      <c r="D51" s="49">
        <f>VLOOKUP($A51,'Data shares'!$C:$FB,66)</f>
        <v>15108375</v>
      </c>
      <c r="E51" s="49">
        <f>VLOOKUP($A51,'Data shares'!$C:$FB,67)</f>
        <v>11493000</v>
      </c>
      <c r="F51" s="50">
        <f>VLOOKUP($A51,'Data shares'!$C:$FB,69)*100</f>
        <v>31.46</v>
      </c>
      <c r="G51" s="49">
        <f>VLOOKUP($A51,'Data shares'!$C:$FB,42)</f>
        <v>2319750</v>
      </c>
      <c r="H51" s="49">
        <f>VLOOKUP($A51,'Data shares'!$C:$FB,43)</f>
        <v>1959000</v>
      </c>
      <c r="I51" s="50">
        <f>VLOOKUP($A51,'Data shares'!$C:$FB,45)*100</f>
        <v>18.420000000000002</v>
      </c>
      <c r="J51" s="49">
        <f>VLOOKUP($A51,'Data shares'!$C:$FB,58)</f>
        <v>9087000</v>
      </c>
      <c r="K51" s="49">
        <f>VLOOKUP($A51,'Data shares'!$C:$FB,59)</f>
        <v>7138875</v>
      </c>
      <c r="L51" s="50">
        <f>VLOOKUP($A51,'Data shares'!$C:$FB,61)*100</f>
        <v>27.29</v>
      </c>
      <c r="M51" s="49">
        <f>VLOOKUP($A51,'Data shares'!$C:$FB,62)</f>
        <v>3701625</v>
      </c>
      <c r="N51" s="49">
        <f>VLOOKUP($A51,'Data shares'!$C:$FB,63)</f>
        <v>2395125</v>
      </c>
      <c r="O51" s="140">
        <f>VLOOKUP($A51,'Data shares'!$C:$FB,65)*100</f>
        <v>54.55</v>
      </c>
    </row>
    <row r="52" spans="1:15" x14ac:dyDescent="0.25">
      <c r="A52" s="101" t="str">
        <f>'Data shares'!C47</f>
        <v>COLPAL</v>
      </c>
      <c r="B52" s="50">
        <f>VLOOKUP($A52,'Data shares'!$C:$FB,7)</f>
        <v>2087.4</v>
      </c>
      <c r="C52" s="50">
        <f>VLOOKUP($A52,'Data shares'!$C:$FB,10)*100</f>
        <v>-3.38</v>
      </c>
      <c r="D52" s="49">
        <f>VLOOKUP($A52,'Data shares'!$C:$FB,66)</f>
        <v>8384400</v>
      </c>
      <c r="E52" s="49">
        <f>VLOOKUP($A52,'Data shares'!$C:$FB,67)</f>
        <v>5555250</v>
      </c>
      <c r="F52" s="50">
        <f>VLOOKUP($A52,'Data shares'!$C:$FB,69)*100</f>
        <v>50.93</v>
      </c>
      <c r="G52" s="49">
        <f>VLOOKUP($A52,'Data shares'!$C:$FB,42)</f>
        <v>1998900</v>
      </c>
      <c r="H52" s="49">
        <f>VLOOKUP($A52,'Data shares'!$C:$FB,43)</f>
        <v>870075</v>
      </c>
      <c r="I52" s="50">
        <f>VLOOKUP($A52,'Data shares'!$C:$FB,45)*100</f>
        <v>129.74</v>
      </c>
      <c r="J52" s="49">
        <f>VLOOKUP($A52,'Data shares'!$C:$FB,58)</f>
        <v>3636225</v>
      </c>
      <c r="K52" s="49">
        <f>VLOOKUP($A52,'Data shares'!$C:$FB,59)</f>
        <v>3893400</v>
      </c>
      <c r="L52" s="50">
        <f>VLOOKUP($A52,'Data shares'!$C:$FB,61)*100</f>
        <v>-6.61</v>
      </c>
      <c r="M52" s="49">
        <f>VLOOKUP($A52,'Data shares'!$C:$FB,62)</f>
        <v>2749275</v>
      </c>
      <c r="N52" s="49">
        <f>VLOOKUP($A52,'Data shares'!$C:$FB,63)</f>
        <v>791775</v>
      </c>
      <c r="O52" s="140">
        <f>VLOOKUP($A52,'Data shares'!$C:$FB,65)*100</f>
        <v>247.23000000000002</v>
      </c>
    </row>
    <row r="53" spans="1:15" x14ac:dyDescent="0.25">
      <c r="A53" s="101" t="str">
        <f>'Data shares'!C48</f>
        <v>CONCOR</v>
      </c>
      <c r="B53" s="50">
        <f>VLOOKUP($A53,'Data shares'!$C:$FB,7)</f>
        <v>496.35</v>
      </c>
      <c r="C53" s="50">
        <f>VLOOKUP($A53,'Data shares'!$C:$FB,10)*100</f>
        <v>-0.65</v>
      </c>
      <c r="D53" s="49">
        <f>VLOOKUP($A53,'Data shares'!$C:$FB,66)</f>
        <v>10385000</v>
      </c>
      <c r="E53" s="49">
        <f>VLOOKUP($A53,'Data shares'!$C:$FB,67)</f>
        <v>11201250</v>
      </c>
      <c r="F53" s="50">
        <f>VLOOKUP($A53,'Data shares'!$C:$FB,69)*100</f>
        <v>-7.2900000000000009</v>
      </c>
      <c r="G53" s="49">
        <f>VLOOKUP($A53,'Data shares'!$C:$FB,42)</f>
        <v>2678750</v>
      </c>
      <c r="H53" s="49">
        <f>VLOOKUP($A53,'Data shares'!$C:$FB,43)</f>
        <v>3101250</v>
      </c>
      <c r="I53" s="50">
        <f>VLOOKUP($A53,'Data shares'!$C:$FB,45)*100</f>
        <v>-13.62</v>
      </c>
      <c r="J53" s="49">
        <f>VLOOKUP($A53,'Data shares'!$C:$FB,58)</f>
        <v>5351250</v>
      </c>
      <c r="K53" s="49">
        <f>VLOOKUP($A53,'Data shares'!$C:$FB,59)</f>
        <v>5990000</v>
      </c>
      <c r="L53" s="50">
        <f>VLOOKUP($A53,'Data shares'!$C:$FB,61)*100</f>
        <v>-10.66</v>
      </c>
      <c r="M53" s="49">
        <f>VLOOKUP($A53,'Data shares'!$C:$FB,62)</f>
        <v>2355000</v>
      </c>
      <c r="N53" s="49">
        <f>VLOOKUP($A53,'Data shares'!$C:$FB,63)</f>
        <v>2110000</v>
      </c>
      <c r="O53" s="140">
        <f>VLOOKUP($A53,'Data shares'!$C:$FB,65)*100</f>
        <v>11.61</v>
      </c>
    </row>
    <row r="54" spans="1:15" x14ac:dyDescent="0.25">
      <c r="A54" s="101" t="str">
        <f>'Data shares'!C49</f>
        <v>CROMPTON</v>
      </c>
      <c r="B54" s="50">
        <f>VLOOKUP($A54,'Data shares'!$C:$FB,7)</f>
        <v>249.15</v>
      </c>
      <c r="C54" s="50">
        <f>VLOOKUP($A54,'Data shares'!$C:$FB,10)*100</f>
        <v>-1.31</v>
      </c>
      <c r="D54" s="49">
        <f>VLOOKUP($A54,'Data shares'!$C:$FB,66)</f>
        <v>21252600</v>
      </c>
      <c r="E54" s="49">
        <f>VLOOKUP($A54,'Data shares'!$C:$FB,67)</f>
        <v>9876600</v>
      </c>
      <c r="F54" s="50">
        <f>VLOOKUP($A54,'Data shares'!$C:$FB,69)*100</f>
        <v>115.17999999999999</v>
      </c>
      <c r="G54" s="49">
        <f>VLOOKUP($A54,'Data shares'!$C:$FB,42)</f>
        <v>4588200</v>
      </c>
      <c r="H54" s="49">
        <f>VLOOKUP($A54,'Data shares'!$C:$FB,43)</f>
        <v>2691000</v>
      </c>
      <c r="I54" s="50">
        <f>VLOOKUP($A54,'Data shares'!$C:$FB,45)*100</f>
        <v>70.5</v>
      </c>
      <c r="J54" s="49">
        <f>VLOOKUP($A54,'Data shares'!$C:$FB,58)</f>
        <v>12891600</v>
      </c>
      <c r="K54" s="49">
        <f>VLOOKUP($A54,'Data shares'!$C:$FB,59)</f>
        <v>5538600</v>
      </c>
      <c r="L54" s="50">
        <f>VLOOKUP($A54,'Data shares'!$C:$FB,61)*100</f>
        <v>132.76</v>
      </c>
      <c r="M54" s="49">
        <f>VLOOKUP($A54,'Data shares'!$C:$FB,62)</f>
        <v>3772800</v>
      </c>
      <c r="N54" s="49">
        <f>VLOOKUP($A54,'Data shares'!$C:$FB,63)</f>
        <v>1647000</v>
      </c>
      <c r="O54" s="140">
        <f>VLOOKUP($A54,'Data shares'!$C:$FB,65)*100</f>
        <v>129.07</v>
      </c>
    </row>
    <row r="55" spans="1:15" x14ac:dyDescent="0.25">
      <c r="A55" s="101" t="str">
        <f>'Data shares'!C50</f>
        <v>CUMMINSIND</v>
      </c>
      <c r="B55" s="50">
        <f>VLOOKUP($A55,'Data shares'!$C:$FB,7)</f>
        <v>4512.7</v>
      </c>
      <c r="C55" s="50">
        <f>VLOOKUP($A55,'Data shares'!$C:$FB,10)*100</f>
        <v>0.41000000000000003</v>
      </c>
      <c r="D55" s="49">
        <f>VLOOKUP($A55,'Data shares'!$C:$FB,66)</f>
        <v>2634600</v>
      </c>
      <c r="E55" s="49">
        <f>VLOOKUP($A55,'Data shares'!$C:$FB,67)</f>
        <v>1975200</v>
      </c>
      <c r="F55" s="50">
        <f>VLOOKUP($A55,'Data shares'!$C:$FB,69)*100</f>
        <v>33.379999999999995</v>
      </c>
      <c r="G55" s="49">
        <f>VLOOKUP($A55,'Data shares'!$C:$FB,42)</f>
        <v>276600</v>
      </c>
      <c r="H55" s="49">
        <f>VLOOKUP($A55,'Data shares'!$C:$FB,43)</f>
        <v>345800</v>
      </c>
      <c r="I55" s="50">
        <f>VLOOKUP($A55,'Data shares'!$C:$FB,45)*100</f>
        <v>-20.010000000000002</v>
      </c>
      <c r="J55" s="49">
        <f>VLOOKUP($A55,'Data shares'!$C:$FB,58)</f>
        <v>1767600</v>
      </c>
      <c r="K55" s="49">
        <f>VLOOKUP($A55,'Data shares'!$C:$FB,59)</f>
        <v>1046400</v>
      </c>
      <c r="L55" s="50">
        <f>VLOOKUP($A55,'Data shares'!$C:$FB,61)*100</f>
        <v>68.92</v>
      </c>
      <c r="M55" s="49">
        <f>VLOOKUP($A55,'Data shares'!$C:$FB,62)</f>
        <v>590400</v>
      </c>
      <c r="N55" s="49">
        <f>VLOOKUP($A55,'Data shares'!$C:$FB,63)</f>
        <v>583000</v>
      </c>
      <c r="O55" s="140">
        <f>VLOOKUP($A55,'Data shares'!$C:$FB,65)*100</f>
        <v>1.27</v>
      </c>
    </row>
    <row r="56" spans="1:15" x14ac:dyDescent="0.25">
      <c r="A56" s="101" t="str">
        <f>'Data shares'!C51</f>
        <v>CYIENT</v>
      </c>
      <c r="B56" s="50">
        <f>VLOOKUP($A56,'Data shares'!$C:$FB,7)</f>
        <v>1138.8</v>
      </c>
      <c r="C56" s="50">
        <f>VLOOKUP($A56,'Data shares'!$C:$FB,10)*100</f>
        <v>-0.96</v>
      </c>
      <c r="D56" s="49">
        <f>VLOOKUP($A56,'Data shares'!$C:$FB,66)</f>
        <v>15132550</v>
      </c>
      <c r="E56" s="49">
        <f>VLOOKUP($A56,'Data shares'!$C:$FB,67)</f>
        <v>1326850</v>
      </c>
      <c r="F56" s="50">
        <f>VLOOKUP($A56,'Data shares'!$C:$FB,69)*100</f>
        <v>1040.49</v>
      </c>
      <c r="G56" s="49">
        <f>VLOOKUP($A56,'Data shares'!$C:$FB,42)</f>
        <v>2452250</v>
      </c>
      <c r="H56" s="49">
        <f>VLOOKUP($A56,'Data shares'!$C:$FB,43)</f>
        <v>425000</v>
      </c>
      <c r="I56" s="50">
        <f>VLOOKUP($A56,'Data shares'!$C:$FB,45)*100</f>
        <v>476.99999999999994</v>
      </c>
      <c r="J56" s="49">
        <f>VLOOKUP($A56,'Data shares'!$C:$FB,58)</f>
        <v>7228825</v>
      </c>
      <c r="K56" s="49">
        <f>VLOOKUP($A56,'Data shares'!$C:$FB,59)</f>
        <v>559300</v>
      </c>
      <c r="L56" s="50">
        <f>VLOOKUP($A56,'Data shares'!$C:$FB,61)*100</f>
        <v>1192.48</v>
      </c>
      <c r="M56" s="49">
        <f>VLOOKUP($A56,'Data shares'!$C:$FB,62)</f>
        <v>5451475</v>
      </c>
      <c r="N56" s="49">
        <f>VLOOKUP($A56,'Data shares'!$C:$FB,63)</f>
        <v>342550</v>
      </c>
      <c r="O56" s="140">
        <f>VLOOKUP($A56,'Data shares'!$C:$FB,65)*100</f>
        <v>1491.44</v>
      </c>
    </row>
    <row r="57" spans="1:15" x14ac:dyDescent="0.25">
      <c r="A57" s="101" t="str">
        <f>'Data shares'!C52</f>
        <v>DABUR</v>
      </c>
      <c r="B57" s="50">
        <f>VLOOKUP($A57,'Data shares'!$C:$FB,7)</f>
        <v>494.15</v>
      </c>
      <c r="C57" s="50">
        <f>VLOOKUP($A57,'Data shares'!$C:$FB,10)*100</f>
        <v>-0.61</v>
      </c>
      <c r="D57" s="49">
        <f>VLOOKUP($A57,'Data shares'!$C:$FB,66)</f>
        <v>11976250</v>
      </c>
      <c r="E57" s="49">
        <f>VLOOKUP($A57,'Data shares'!$C:$FB,67)</f>
        <v>31688750</v>
      </c>
      <c r="F57" s="50">
        <f>VLOOKUP($A57,'Data shares'!$C:$FB,69)*100</f>
        <v>-62.21</v>
      </c>
      <c r="G57" s="49">
        <f>VLOOKUP($A57,'Data shares'!$C:$FB,42)</f>
        <v>2035000</v>
      </c>
      <c r="H57" s="49">
        <f>VLOOKUP($A57,'Data shares'!$C:$FB,43)</f>
        <v>3508750</v>
      </c>
      <c r="I57" s="50">
        <f>VLOOKUP($A57,'Data shares'!$C:$FB,45)*100</f>
        <v>-42</v>
      </c>
      <c r="J57" s="49">
        <f>VLOOKUP($A57,'Data shares'!$C:$FB,58)</f>
        <v>7313750</v>
      </c>
      <c r="K57" s="49">
        <f>VLOOKUP($A57,'Data shares'!$C:$FB,59)</f>
        <v>21768750</v>
      </c>
      <c r="L57" s="50">
        <f>VLOOKUP($A57,'Data shares'!$C:$FB,61)*100</f>
        <v>-66.400000000000006</v>
      </c>
      <c r="M57" s="49">
        <f>VLOOKUP($A57,'Data shares'!$C:$FB,62)</f>
        <v>2627500</v>
      </c>
      <c r="N57" s="49">
        <f>VLOOKUP($A57,'Data shares'!$C:$FB,63)</f>
        <v>6411250</v>
      </c>
      <c r="O57" s="140">
        <f>VLOOKUP($A57,'Data shares'!$C:$FB,65)*100</f>
        <v>-59.019999999999996</v>
      </c>
    </row>
    <row r="58" spans="1:15" x14ac:dyDescent="0.25">
      <c r="A58" s="101" t="str">
        <f>'Data shares'!C53</f>
        <v>DALBHARAT</v>
      </c>
      <c r="B58" s="50">
        <f>VLOOKUP($A58,'Data shares'!$C:$FB,7)</f>
        <v>2073.9</v>
      </c>
      <c r="C58" s="50">
        <f>VLOOKUP($A58,'Data shares'!$C:$FB,10)*100</f>
        <v>0.36</v>
      </c>
      <c r="D58" s="49">
        <f>VLOOKUP($A58,'Data shares'!$C:$FB,66)</f>
        <v>2290275</v>
      </c>
      <c r="E58" s="49">
        <f>VLOOKUP($A58,'Data shares'!$C:$FB,67)</f>
        <v>2966600</v>
      </c>
      <c r="F58" s="50">
        <f>VLOOKUP($A58,'Data shares'!$C:$FB,69)*100</f>
        <v>-22.8</v>
      </c>
      <c r="G58" s="49">
        <f>VLOOKUP($A58,'Data shares'!$C:$FB,42)</f>
        <v>610350</v>
      </c>
      <c r="H58" s="49">
        <f>VLOOKUP($A58,'Data shares'!$C:$FB,43)</f>
        <v>650000</v>
      </c>
      <c r="I58" s="50">
        <f>VLOOKUP($A58,'Data shares'!$C:$FB,45)*100</f>
        <v>-6.1</v>
      </c>
      <c r="J58" s="49">
        <f>VLOOKUP($A58,'Data shares'!$C:$FB,58)</f>
        <v>1201850</v>
      </c>
      <c r="K58" s="49">
        <f>VLOOKUP($A58,'Data shares'!$C:$FB,59)</f>
        <v>1415050</v>
      </c>
      <c r="L58" s="50">
        <f>VLOOKUP($A58,'Data shares'!$C:$FB,61)*100</f>
        <v>-15.07</v>
      </c>
      <c r="M58" s="49">
        <f>VLOOKUP($A58,'Data shares'!$C:$FB,62)</f>
        <v>478075</v>
      </c>
      <c r="N58" s="49">
        <f>VLOOKUP($A58,'Data shares'!$C:$FB,63)</f>
        <v>901550</v>
      </c>
      <c r="O58" s="140">
        <f>VLOOKUP($A58,'Data shares'!$C:$FB,65)*100</f>
        <v>-46.97</v>
      </c>
    </row>
    <row r="59" spans="1:15" x14ac:dyDescent="0.25">
      <c r="A59" s="101" t="str">
        <f>'Data shares'!C54</f>
        <v>DELHIVERY</v>
      </c>
      <c r="B59" s="50">
        <f>VLOOKUP($A59,'Data shares'!$C:$FB,7)</f>
        <v>399.8</v>
      </c>
      <c r="C59" s="50">
        <f>VLOOKUP($A59,'Data shares'!$C:$FB,10)*100</f>
        <v>-0.5</v>
      </c>
      <c r="D59" s="49">
        <f>VLOOKUP($A59,'Data shares'!$C:$FB,66)</f>
        <v>13209450</v>
      </c>
      <c r="E59" s="49">
        <f>VLOOKUP($A59,'Data shares'!$C:$FB,67)</f>
        <v>17274375</v>
      </c>
      <c r="F59" s="50">
        <f>VLOOKUP($A59,'Data shares'!$C:$FB,69)*100</f>
        <v>-23.53</v>
      </c>
      <c r="G59" s="49">
        <f>VLOOKUP($A59,'Data shares'!$C:$FB,42)</f>
        <v>2365500</v>
      </c>
      <c r="H59" s="49">
        <f>VLOOKUP($A59,'Data shares'!$C:$FB,43)</f>
        <v>3064775</v>
      </c>
      <c r="I59" s="50">
        <f>VLOOKUP($A59,'Data shares'!$C:$FB,45)*100</f>
        <v>-22.82</v>
      </c>
      <c r="J59" s="49">
        <f>VLOOKUP($A59,'Data shares'!$C:$FB,58)</f>
        <v>7237600</v>
      </c>
      <c r="K59" s="49">
        <f>VLOOKUP($A59,'Data shares'!$C:$FB,59)</f>
        <v>9625925</v>
      </c>
      <c r="L59" s="50">
        <f>VLOOKUP($A59,'Data shares'!$C:$FB,61)*100</f>
        <v>-24.81</v>
      </c>
      <c r="M59" s="49">
        <f>VLOOKUP($A59,'Data shares'!$C:$FB,62)</f>
        <v>3606350</v>
      </c>
      <c r="N59" s="49">
        <f>VLOOKUP($A59,'Data shares'!$C:$FB,63)</f>
        <v>4583675</v>
      </c>
      <c r="O59" s="140">
        <f>VLOOKUP($A59,'Data shares'!$C:$FB,65)*100</f>
        <v>-21.32</v>
      </c>
    </row>
    <row r="60" spans="1:15" x14ac:dyDescent="0.25">
      <c r="A60" s="101" t="str">
        <f>'Data shares'!C55</f>
        <v>DIVISLAB</v>
      </c>
      <c r="B60" s="50">
        <f>VLOOKUP($A60,'Data shares'!$C:$FB,7)</f>
        <v>6293</v>
      </c>
      <c r="C60" s="50">
        <f>VLOOKUP($A60,'Data shares'!$C:$FB,10)*100</f>
        <v>-0.67</v>
      </c>
      <c r="D60" s="49">
        <f>VLOOKUP($A60,'Data shares'!$C:$FB,66)</f>
        <v>937800</v>
      </c>
      <c r="E60" s="49">
        <f>VLOOKUP($A60,'Data shares'!$C:$FB,67)</f>
        <v>976500</v>
      </c>
      <c r="F60" s="50">
        <f>VLOOKUP($A60,'Data shares'!$C:$FB,69)*100</f>
        <v>-3.9600000000000004</v>
      </c>
      <c r="G60" s="49">
        <f>VLOOKUP($A60,'Data shares'!$C:$FB,42)</f>
        <v>172300</v>
      </c>
      <c r="H60" s="49">
        <f>VLOOKUP($A60,'Data shares'!$C:$FB,43)</f>
        <v>240300</v>
      </c>
      <c r="I60" s="50">
        <f>VLOOKUP($A60,'Data shares'!$C:$FB,45)*100</f>
        <v>-28.299999999999997</v>
      </c>
      <c r="J60" s="49">
        <f>VLOOKUP($A60,'Data shares'!$C:$FB,58)</f>
        <v>529500</v>
      </c>
      <c r="K60" s="49">
        <f>VLOOKUP($A60,'Data shares'!$C:$FB,59)</f>
        <v>489600</v>
      </c>
      <c r="L60" s="50">
        <f>VLOOKUP($A60,'Data shares'!$C:$FB,61)*100</f>
        <v>8.15</v>
      </c>
      <c r="M60" s="49">
        <f>VLOOKUP($A60,'Data shares'!$C:$FB,62)</f>
        <v>236000</v>
      </c>
      <c r="N60" s="49">
        <f>VLOOKUP($A60,'Data shares'!$C:$FB,63)</f>
        <v>246600</v>
      </c>
      <c r="O60" s="140">
        <f>VLOOKUP($A60,'Data shares'!$C:$FB,65)*100</f>
        <v>-4.3</v>
      </c>
    </row>
    <row r="61" spans="1:15" x14ac:dyDescent="0.25">
      <c r="A61" s="101" t="str">
        <f>'Data shares'!C56</f>
        <v>DIXON</v>
      </c>
      <c r="B61" s="50">
        <f>VLOOKUP($A61,'Data shares'!$C:$FB,7)</f>
        <v>13274</v>
      </c>
      <c r="C61" s="50">
        <f>VLOOKUP($A61,'Data shares'!$C:$FB,10)*100</f>
        <v>-2.6</v>
      </c>
      <c r="D61" s="49">
        <f>VLOOKUP($A61,'Data shares'!$C:$FB,66)</f>
        <v>12586050</v>
      </c>
      <c r="E61" s="49">
        <f>VLOOKUP($A61,'Data shares'!$C:$FB,67)</f>
        <v>8822550</v>
      </c>
      <c r="F61" s="50">
        <f>VLOOKUP($A61,'Data shares'!$C:$FB,69)*100</f>
        <v>42.66</v>
      </c>
      <c r="G61" s="49">
        <f>VLOOKUP($A61,'Data shares'!$C:$FB,42)</f>
        <v>698050</v>
      </c>
      <c r="H61" s="49">
        <f>VLOOKUP($A61,'Data shares'!$C:$FB,43)</f>
        <v>502000</v>
      </c>
      <c r="I61" s="50">
        <f>VLOOKUP($A61,'Data shares'!$C:$FB,45)*100</f>
        <v>39.050000000000004</v>
      </c>
      <c r="J61" s="49">
        <f>VLOOKUP($A61,'Data shares'!$C:$FB,58)</f>
        <v>5696550</v>
      </c>
      <c r="K61" s="49">
        <f>VLOOKUP($A61,'Data shares'!$C:$FB,59)</f>
        <v>4769250</v>
      </c>
      <c r="L61" s="50">
        <f>VLOOKUP($A61,'Data shares'!$C:$FB,61)*100</f>
        <v>19.439999999999998</v>
      </c>
      <c r="M61" s="49">
        <f>VLOOKUP($A61,'Data shares'!$C:$FB,62)</f>
        <v>6191450</v>
      </c>
      <c r="N61" s="49">
        <f>VLOOKUP($A61,'Data shares'!$C:$FB,63)</f>
        <v>3551300</v>
      </c>
      <c r="O61" s="140">
        <f>VLOOKUP($A61,'Data shares'!$C:$FB,65)*100</f>
        <v>74.339999999999989</v>
      </c>
    </row>
    <row r="62" spans="1:15" x14ac:dyDescent="0.25">
      <c r="A62" s="101" t="str">
        <f>'Data shares'!C57</f>
        <v>DLF</v>
      </c>
      <c r="B62" s="50">
        <f>VLOOKUP($A62,'Data shares'!$C:$FB,7)</f>
        <v>683.1</v>
      </c>
      <c r="C62" s="50">
        <f>VLOOKUP($A62,'Data shares'!$C:$FB,10)*100</f>
        <v>-1.28</v>
      </c>
      <c r="D62" s="49">
        <f>VLOOKUP($A62,'Data shares'!$C:$FB,66)</f>
        <v>29743725</v>
      </c>
      <c r="E62" s="49">
        <f>VLOOKUP($A62,'Data shares'!$C:$FB,67)</f>
        <v>19511250</v>
      </c>
      <c r="F62" s="50">
        <f>VLOOKUP($A62,'Data shares'!$C:$FB,69)*100</f>
        <v>52.44</v>
      </c>
      <c r="G62" s="49">
        <f>VLOOKUP($A62,'Data shares'!$C:$FB,42)</f>
        <v>4733850</v>
      </c>
      <c r="H62" s="49">
        <f>VLOOKUP($A62,'Data shares'!$C:$FB,43)</f>
        <v>3193575</v>
      </c>
      <c r="I62" s="50">
        <f>VLOOKUP($A62,'Data shares'!$C:$FB,45)*100</f>
        <v>48.230000000000004</v>
      </c>
      <c r="J62" s="49">
        <f>VLOOKUP($A62,'Data shares'!$C:$FB,58)</f>
        <v>18013050</v>
      </c>
      <c r="K62" s="49">
        <f>VLOOKUP($A62,'Data shares'!$C:$FB,59)</f>
        <v>12741300</v>
      </c>
      <c r="L62" s="50">
        <f>VLOOKUP($A62,'Data shares'!$C:$FB,61)*100</f>
        <v>41.38</v>
      </c>
      <c r="M62" s="49">
        <f>VLOOKUP($A62,'Data shares'!$C:$FB,62)</f>
        <v>6996825</v>
      </c>
      <c r="N62" s="49">
        <f>VLOOKUP($A62,'Data shares'!$C:$FB,63)</f>
        <v>3576375</v>
      </c>
      <c r="O62" s="140">
        <f>VLOOKUP($A62,'Data shares'!$C:$FB,65)*100</f>
        <v>95.64</v>
      </c>
    </row>
    <row r="63" spans="1:15" x14ac:dyDescent="0.25">
      <c r="A63" s="101" t="str">
        <f>'Data shares'!C58</f>
        <v>DMART</v>
      </c>
      <c r="B63" s="50">
        <f>VLOOKUP($A63,'Data shares'!$C:$FB,7)</f>
        <v>3826.2</v>
      </c>
      <c r="C63" s="50">
        <f>VLOOKUP($A63,'Data shares'!$C:$FB,10)*100</f>
        <v>-0.79</v>
      </c>
      <c r="D63" s="49">
        <f>VLOOKUP($A63,'Data shares'!$C:$FB,66)</f>
        <v>3317700</v>
      </c>
      <c r="E63" s="49">
        <f>VLOOKUP($A63,'Data shares'!$C:$FB,67)</f>
        <v>12093900</v>
      </c>
      <c r="F63" s="50">
        <f>VLOOKUP($A63,'Data shares'!$C:$FB,69)*100</f>
        <v>-72.570000000000007</v>
      </c>
      <c r="G63" s="49">
        <f>VLOOKUP($A63,'Data shares'!$C:$FB,42)</f>
        <v>651750</v>
      </c>
      <c r="H63" s="49">
        <f>VLOOKUP($A63,'Data shares'!$C:$FB,43)</f>
        <v>967050</v>
      </c>
      <c r="I63" s="50">
        <f>VLOOKUP($A63,'Data shares'!$C:$FB,45)*100</f>
        <v>-32.6</v>
      </c>
      <c r="J63" s="49">
        <f>VLOOKUP($A63,'Data shares'!$C:$FB,58)</f>
        <v>1898100</v>
      </c>
      <c r="K63" s="49">
        <f>VLOOKUP($A63,'Data shares'!$C:$FB,59)</f>
        <v>8598600</v>
      </c>
      <c r="L63" s="50">
        <f>VLOOKUP($A63,'Data shares'!$C:$FB,61)*100</f>
        <v>-77.929999999999993</v>
      </c>
      <c r="M63" s="49">
        <f>VLOOKUP($A63,'Data shares'!$C:$FB,62)</f>
        <v>767850</v>
      </c>
      <c r="N63" s="49">
        <f>VLOOKUP($A63,'Data shares'!$C:$FB,63)</f>
        <v>2528250</v>
      </c>
      <c r="O63" s="140">
        <f>VLOOKUP($A63,'Data shares'!$C:$FB,65)*100</f>
        <v>-69.63000000000001</v>
      </c>
    </row>
    <row r="64" spans="1:15" x14ac:dyDescent="0.25">
      <c r="A64" s="101" t="str">
        <f>'Data shares'!C59</f>
        <v>DRREDDY</v>
      </c>
      <c r="B64" s="50">
        <f>VLOOKUP($A64,'Data shares'!$C:$FB,7)</f>
        <v>1272</v>
      </c>
      <c r="C64" s="50">
        <f>VLOOKUP($A64,'Data shares'!$C:$FB,10)*100</f>
        <v>-0.38</v>
      </c>
      <c r="D64" s="49">
        <f>VLOOKUP($A64,'Data shares'!$C:$FB,66)</f>
        <v>6504375</v>
      </c>
      <c r="E64" s="49">
        <f>VLOOKUP($A64,'Data shares'!$C:$FB,67)</f>
        <v>5816250</v>
      </c>
      <c r="F64" s="50">
        <f>VLOOKUP($A64,'Data shares'!$C:$FB,69)*100</f>
        <v>11.83</v>
      </c>
      <c r="G64" s="49">
        <f>VLOOKUP($A64,'Data shares'!$C:$FB,42)</f>
        <v>1308125</v>
      </c>
      <c r="H64" s="49">
        <f>VLOOKUP($A64,'Data shares'!$C:$FB,43)</f>
        <v>1110625</v>
      </c>
      <c r="I64" s="50">
        <f>VLOOKUP($A64,'Data shares'!$C:$FB,45)*100</f>
        <v>17.78</v>
      </c>
      <c r="J64" s="49">
        <f>VLOOKUP($A64,'Data shares'!$C:$FB,58)</f>
        <v>3399375</v>
      </c>
      <c r="K64" s="49">
        <f>VLOOKUP($A64,'Data shares'!$C:$FB,59)</f>
        <v>3087500</v>
      </c>
      <c r="L64" s="50">
        <f>VLOOKUP($A64,'Data shares'!$C:$FB,61)*100</f>
        <v>10.100000000000001</v>
      </c>
      <c r="M64" s="49">
        <f>VLOOKUP($A64,'Data shares'!$C:$FB,62)</f>
        <v>1796875</v>
      </c>
      <c r="N64" s="49">
        <f>VLOOKUP($A64,'Data shares'!$C:$FB,63)</f>
        <v>1618125</v>
      </c>
      <c r="O64" s="140">
        <f>VLOOKUP($A64,'Data shares'!$C:$FB,65)*100</f>
        <v>11.05</v>
      </c>
    </row>
    <row r="65" spans="1:15" x14ac:dyDescent="0.25">
      <c r="A65" s="101" t="str">
        <f>'Data shares'!C60</f>
        <v>EICHERMOT</v>
      </c>
      <c r="B65" s="50">
        <f>VLOOKUP($A65,'Data shares'!$C:$FB,7)</f>
        <v>7134.5</v>
      </c>
      <c r="C65" s="50">
        <f>VLOOKUP($A65,'Data shares'!$C:$FB,10)*100</f>
        <v>1.03</v>
      </c>
      <c r="D65" s="49">
        <f>VLOOKUP($A65,'Data shares'!$C:$FB,66)</f>
        <v>8274175</v>
      </c>
      <c r="E65" s="49">
        <f>VLOOKUP($A65,'Data shares'!$C:$FB,67)</f>
        <v>5581100</v>
      </c>
      <c r="F65" s="50">
        <f>VLOOKUP($A65,'Data shares'!$C:$FB,69)*100</f>
        <v>48.25</v>
      </c>
      <c r="G65" s="49">
        <f>VLOOKUP($A65,'Data shares'!$C:$FB,42)</f>
        <v>1008875</v>
      </c>
      <c r="H65" s="49">
        <f>VLOOKUP($A65,'Data shares'!$C:$FB,43)</f>
        <v>613025</v>
      </c>
      <c r="I65" s="50">
        <f>VLOOKUP($A65,'Data shares'!$C:$FB,45)*100</f>
        <v>64.570000000000007</v>
      </c>
      <c r="J65" s="49">
        <f>VLOOKUP($A65,'Data shares'!$C:$FB,58)</f>
        <v>4751075</v>
      </c>
      <c r="K65" s="49">
        <f>VLOOKUP($A65,'Data shares'!$C:$FB,59)</f>
        <v>2685900</v>
      </c>
      <c r="L65" s="50">
        <f>VLOOKUP($A65,'Data shares'!$C:$FB,61)*100</f>
        <v>76.89</v>
      </c>
      <c r="M65" s="49">
        <f>VLOOKUP($A65,'Data shares'!$C:$FB,62)</f>
        <v>2514225</v>
      </c>
      <c r="N65" s="49">
        <f>VLOOKUP($A65,'Data shares'!$C:$FB,63)</f>
        <v>2282175</v>
      </c>
      <c r="O65" s="140">
        <f>VLOOKUP($A65,'Data shares'!$C:$FB,65)*100</f>
        <v>10.17</v>
      </c>
    </row>
    <row r="66" spans="1:15" x14ac:dyDescent="0.25">
      <c r="A66" s="101" t="str">
        <f>'Data shares'!C61</f>
        <v>ETERNAL</v>
      </c>
      <c r="B66" s="50">
        <f>VLOOKUP($A66,'Data shares'!$C:$FB,7)</f>
        <v>284.45</v>
      </c>
      <c r="C66" s="50">
        <f>VLOOKUP($A66,'Data shares'!$C:$FB,10)*100</f>
        <v>0</v>
      </c>
      <c r="D66" s="49">
        <f>VLOOKUP($A66,'Data shares'!$C:$FB,66)</f>
        <v>189865375</v>
      </c>
      <c r="E66" s="49">
        <f>VLOOKUP($A66,'Data shares'!$C:$FB,67)</f>
        <v>540285150</v>
      </c>
      <c r="F66" s="50">
        <f>VLOOKUP($A66,'Data shares'!$C:$FB,69)*100</f>
        <v>-64.86</v>
      </c>
      <c r="G66" s="49">
        <f>VLOOKUP($A66,'Data shares'!$C:$FB,42)</f>
        <v>26381575</v>
      </c>
      <c r="H66" s="49">
        <f>VLOOKUP($A66,'Data shares'!$C:$FB,43)</f>
        <v>64109725</v>
      </c>
      <c r="I66" s="50">
        <f>VLOOKUP($A66,'Data shares'!$C:$FB,45)*100</f>
        <v>-58.85</v>
      </c>
      <c r="J66" s="49">
        <f>VLOOKUP($A66,'Data shares'!$C:$FB,58)</f>
        <v>102351975</v>
      </c>
      <c r="K66" s="49">
        <f>VLOOKUP($A66,'Data shares'!$C:$FB,59)</f>
        <v>271888575</v>
      </c>
      <c r="L66" s="50">
        <f>VLOOKUP($A66,'Data shares'!$C:$FB,61)*100</f>
        <v>-62.360000000000007</v>
      </c>
      <c r="M66" s="49">
        <f>VLOOKUP($A66,'Data shares'!$C:$FB,62)</f>
        <v>61131825</v>
      </c>
      <c r="N66" s="49">
        <f>VLOOKUP($A66,'Data shares'!$C:$FB,63)</f>
        <v>204286850</v>
      </c>
      <c r="O66" s="140">
        <f>VLOOKUP($A66,'Data shares'!$C:$FB,65)*100</f>
        <v>-70.08</v>
      </c>
    </row>
    <row r="67" spans="1:15" x14ac:dyDescent="0.25">
      <c r="A67" s="101" t="str">
        <f>'Data shares'!C62</f>
        <v>EXIDEIND</v>
      </c>
      <c r="B67" s="50">
        <f>VLOOKUP($A67,'Data shares'!$C:$FB,7)</f>
        <v>363.8</v>
      </c>
      <c r="C67" s="50">
        <f>VLOOKUP($A67,'Data shares'!$C:$FB,10)*100</f>
        <v>-0.67</v>
      </c>
      <c r="D67" s="49">
        <f>VLOOKUP($A67,'Data shares'!$C:$FB,66)</f>
        <v>16549200</v>
      </c>
      <c r="E67" s="49">
        <f>VLOOKUP($A67,'Data shares'!$C:$FB,67)</f>
        <v>19830600</v>
      </c>
      <c r="F67" s="50">
        <f>VLOOKUP($A67,'Data shares'!$C:$FB,69)*100</f>
        <v>-16.55</v>
      </c>
      <c r="G67" s="49">
        <f>VLOOKUP($A67,'Data shares'!$C:$FB,42)</f>
        <v>2070000</v>
      </c>
      <c r="H67" s="49">
        <f>VLOOKUP($A67,'Data shares'!$C:$FB,43)</f>
        <v>3265200</v>
      </c>
      <c r="I67" s="50">
        <f>VLOOKUP($A67,'Data shares'!$C:$FB,45)*100</f>
        <v>-36.6</v>
      </c>
      <c r="J67" s="49">
        <f>VLOOKUP($A67,'Data shares'!$C:$FB,58)</f>
        <v>10245600</v>
      </c>
      <c r="K67" s="49">
        <f>VLOOKUP($A67,'Data shares'!$C:$FB,59)</f>
        <v>11829600</v>
      </c>
      <c r="L67" s="50">
        <f>VLOOKUP($A67,'Data shares'!$C:$FB,61)*100</f>
        <v>-13.389999999999999</v>
      </c>
      <c r="M67" s="49">
        <f>VLOOKUP($A67,'Data shares'!$C:$FB,62)</f>
        <v>4233600</v>
      </c>
      <c r="N67" s="49">
        <f>VLOOKUP($A67,'Data shares'!$C:$FB,63)</f>
        <v>4735800</v>
      </c>
      <c r="O67" s="140">
        <f>VLOOKUP($A67,'Data shares'!$C:$FB,65)*100</f>
        <v>-10.6</v>
      </c>
    </row>
    <row r="68" spans="1:15" x14ac:dyDescent="0.25">
      <c r="A68" s="101" t="str">
        <f>'Data shares'!C63</f>
        <v>FEDERALBNK</v>
      </c>
      <c r="B68" s="50">
        <f>VLOOKUP($A68,'Data shares'!$C:$FB,7)</f>
        <v>263.60000000000002</v>
      </c>
      <c r="C68" s="50">
        <f>VLOOKUP($A68,'Data shares'!$C:$FB,10)*100</f>
        <v>0.53</v>
      </c>
      <c r="D68" s="49">
        <f>VLOOKUP($A68,'Data shares'!$C:$FB,66)</f>
        <v>87350000</v>
      </c>
      <c r="E68" s="49">
        <f>VLOOKUP($A68,'Data shares'!$C:$FB,67)</f>
        <v>96530000</v>
      </c>
      <c r="F68" s="50">
        <f>VLOOKUP($A68,'Data shares'!$C:$FB,69)*100</f>
        <v>-9.51</v>
      </c>
      <c r="G68" s="49">
        <f>VLOOKUP($A68,'Data shares'!$C:$FB,42)</f>
        <v>11685000</v>
      </c>
      <c r="H68" s="49">
        <f>VLOOKUP($A68,'Data shares'!$C:$FB,43)</f>
        <v>15720000</v>
      </c>
      <c r="I68" s="50">
        <f>VLOOKUP($A68,'Data shares'!$C:$FB,45)*100</f>
        <v>-25.669999999999998</v>
      </c>
      <c r="J68" s="49">
        <f>VLOOKUP($A68,'Data shares'!$C:$FB,58)</f>
        <v>47700000</v>
      </c>
      <c r="K68" s="49">
        <f>VLOOKUP($A68,'Data shares'!$C:$FB,59)</f>
        <v>52195000</v>
      </c>
      <c r="L68" s="50">
        <f>VLOOKUP($A68,'Data shares'!$C:$FB,61)*100</f>
        <v>-8.61</v>
      </c>
      <c r="M68" s="49">
        <f>VLOOKUP($A68,'Data shares'!$C:$FB,62)</f>
        <v>27965000</v>
      </c>
      <c r="N68" s="49">
        <f>VLOOKUP($A68,'Data shares'!$C:$FB,63)</f>
        <v>28615000</v>
      </c>
      <c r="O68" s="140">
        <f>VLOOKUP($A68,'Data shares'!$C:$FB,65)*100</f>
        <v>-2.27</v>
      </c>
    </row>
    <row r="69" spans="1:15" x14ac:dyDescent="0.25">
      <c r="A69" s="101" t="str">
        <f>'Data shares'!C64</f>
        <v>FINNIFTY</v>
      </c>
      <c r="B69" s="50">
        <f>VLOOKUP($A69,'Data shares'!$C:$FB,7)</f>
        <v>27251.95</v>
      </c>
      <c r="C69" s="50">
        <f>VLOOKUP($A69,'Data shares'!$C:$FB,10)*100</f>
        <v>-0.49</v>
      </c>
      <c r="D69" s="49">
        <f>VLOOKUP($A69,'Data shares'!$C:$FB,66)</f>
        <v>2995785</v>
      </c>
      <c r="E69" s="49">
        <f>VLOOKUP($A69,'Data shares'!$C:$FB,67)</f>
        <v>2279810</v>
      </c>
      <c r="F69" s="50">
        <f>VLOOKUP($A69,'Data shares'!$C:$FB,69)*100</f>
        <v>31.41</v>
      </c>
      <c r="G69" s="49">
        <f>VLOOKUP($A69,'Data shares'!$C:$FB,42)</f>
        <v>27690</v>
      </c>
      <c r="H69" s="49">
        <f>VLOOKUP($A69,'Data shares'!$C:$FB,43)</f>
        <v>24115</v>
      </c>
      <c r="I69" s="50">
        <f>VLOOKUP($A69,'Data shares'!$C:$FB,45)*100</f>
        <v>14.82</v>
      </c>
      <c r="J69" s="49">
        <f>VLOOKUP($A69,'Data shares'!$C:$FB,58)</f>
        <v>1789060</v>
      </c>
      <c r="K69" s="49">
        <f>VLOOKUP($A69,'Data shares'!$C:$FB,59)</f>
        <v>1328470</v>
      </c>
      <c r="L69" s="50">
        <f>VLOOKUP($A69,'Data shares'!$C:$FB,61)*100</f>
        <v>34.67</v>
      </c>
      <c r="M69" s="49">
        <f>VLOOKUP($A69,'Data shares'!$C:$FB,62)</f>
        <v>1179035</v>
      </c>
      <c r="N69" s="49">
        <f>VLOOKUP($A69,'Data shares'!$C:$FB,63)</f>
        <v>927225</v>
      </c>
      <c r="O69" s="140">
        <f>VLOOKUP($A69,'Data shares'!$C:$FB,65)*100</f>
        <v>27.16</v>
      </c>
    </row>
    <row r="70" spans="1:15" x14ac:dyDescent="0.25">
      <c r="A70" s="101" t="str">
        <f>'Data shares'!C65</f>
        <v>FORTIS</v>
      </c>
      <c r="B70" s="50">
        <f>VLOOKUP($A70,'Data shares'!$C:$FB,7)</f>
        <v>870.95</v>
      </c>
      <c r="C70" s="50">
        <f>VLOOKUP($A70,'Data shares'!$C:$FB,10)*100</f>
        <v>-0.45999999999999996</v>
      </c>
      <c r="D70" s="49">
        <f>VLOOKUP($A70,'Data shares'!$C:$FB,66)</f>
        <v>6222475</v>
      </c>
      <c r="E70" s="49">
        <f>VLOOKUP($A70,'Data shares'!$C:$FB,67)</f>
        <v>12451150</v>
      </c>
      <c r="F70" s="50">
        <f>VLOOKUP($A70,'Data shares'!$C:$FB,69)*100</f>
        <v>-50.019999999999996</v>
      </c>
      <c r="G70" s="49">
        <f>VLOOKUP($A70,'Data shares'!$C:$FB,42)</f>
        <v>2116525</v>
      </c>
      <c r="H70" s="49">
        <f>VLOOKUP($A70,'Data shares'!$C:$FB,43)</f>
        <v>2199450</v>
      </c>
      <c r="I70" s="50">
        <f>VLOOKUP($A70,'Data shares'!$C:$FB,45)*100</f>
        <v>-3.7699999999999996</v>
      </c>
      <c r="J70" s="49">
        <f>VLOOKUP($A70,'Data shares'!$C:$FB,58)</f>
        <v>2927950</v>
      </c>
      <c r="K70" s="49">
        <f>VLOOKUP($A70,'Data shares'!$C:$FB,59)</f>
        <v>8187875</v>
      </c>
      <c r="L70" s="50">
        <f>VLOOKUP($A70,'Data shares'!$C:$FB,61)*100</f>
        <v>-64.239999999999995</v>
      </c>
      <c r="M70" s="49">
        <f>VLOOKUP($A70,'Data shares'!$C:$FB,62)</f>
        <v>1178000</v>
      </c>
      <c r="N70" s="49">
        <f>VLOOKUP($A70,'Data shares'!$C:$FB,63)</f>
        <v>2063825</v>
      </c>
      <c r="O70" s="140">
        <f>VLOOKUP($A70,'Data shares'!$C:$FB,65)*100</f>
        <v>-42.92</v>
      </c>
    </row>
    <row r="71" spans="1:15" x14ac:dyDescent="0.25">
      <c r="A71" s="101" t="str">
        <f>'Data shares'!C66</f>
        <v>GAIL</v>
      </c>
      <c r="B71" s="50">
        <f>VLOOKUP($A71,'Data shares'!$C:$FB,7)</f>
        <v>169.07</v>
      </c>
      <c r="C71" s="50">
        <f>VLOOKUP($A71,'Data shares'!$C:$FB,10)*100</f>
        <v>0.44999999999999996</v>
      </c>
      <c r="D71" s="49">
        <f>VLOOKUP($A71,'Data shares'!$C:$FB,66)</f>
        <v>41312250</v>
      </c>
      <c r="E71" s="49">
        <f>VLOOKUP($A71,'Data shares'!$C:$FB,67)</f>
        <v>48132000</v>
      </c>
      <c r="F71" s="50">
        <f>VLOOKUP($A71,'Data shares'!$C:$FB,69)*100</f>
        <v>-14.17</v>
      </c>
      <c r="G71" s="49">
        <f>VLOOKUP($A71,'Data shares'!$C:$FB,42)</f>
        <v>7440300</v>
      </c>
      <c r="H71" s="49">
        <f>VLOOKUP($A71,'Data shares'!$C:$FB,43)</f>
        <v>12114900</v>
      </c>
      <c r="I71" s="50">
        <f>VLOOKUP($A71,'Data shares'!$C:$FB,45)*100</f>
        <v>-38.590000000000003</v>
      </c>
      <c r="J71" s="49">
        <f>VLOOKUP($A71,'Data shares'!$C:$FB,58)</f>
        <v>24453450</v>
      </c>
      <c r="K71" s="49">
        <f>VLOOKUP($A71,'Data shares'!$C:$FB,59)</f>
        <v>22642200</v>
      </c>
      <c r="L71" s="50">
        <f>VLOOKUP($A71,'Data shares'!$C:$FB,61)*100</f>
        <v>8</v>
      </c>
      <c r="M71" s="49">
        <f>VLOOKUP($A71,'Data shares'!$C:$FB,62)</f>
        <v>9418500</v>
      </c>
      <c r="N71" s="49">
        <f>VLOOKUP($A71,'Data shares'!$C:$FB,63)</f>
        <v>13374900</v>
      </c>
      <c r="O71" s="140">
        <f>VLOOKUP($A71,'Data shares'!$C:$FB,65)*100</f>
        <v>-29.580000000000002</v>
      </c>
    </row>
    <row r="72" spans="1:15" x14ac:dyDescent="0.25">
      <c r="A72" s="101" t="str">
        <f>'Data shares'!C67</f>
        <v>GLENMARK</v>
      </c>
      <c r="B72" s="50">
        <f>VLOOKUP($A72,'Data shares'!$C:$FB,7)</f>
        <v>1948.4</v>
      </c>
      <c r="C72" s="50">
        <f>VLOOKUP($A72,'Data shares'!$C:$FB,10)*100</f>
        <v>-0.91999999999999993</v>
      </c>
      <c r="D72" s="49">
        <f>VLOOKUP($A72,'Data shares'!$C:$FB,66)</f>
        <v>6593625</v>
      </c>
      <c r="E72" s="49">
        <f>VLOOKUP($A72,'Data shares'!$C:$FB,67)</f>
        <v>5804625</v>
      </c>
      <c r="F72" s="50">
        <f>VLOOKUP($A72,'Data shares'!$C:$FB,69)*100</f>
        <v>13.59</v>
      </c>
      <c r="G72" s="49">
        <f>VLOOKUP($A72,'Data shares'!$C:$FB,42)</f>
        <v>1385625</v>
      </c>
      <c r="H72" s="49">
        <f>VLOOKUP($A72,'Data shares'!$C:$FB,43)</f>
        <v>1369875</v>
      </c>
      <c r="I72" s="50">
        <f>VLOOKUP($A72,'Data shares'!$C:$FB,45)*100</f>
        <v>1.1499999999999999</v>
      </c>
      <c r="J72" s="49">
        <f>VLOOKUP($A72,'Data shares'!$C:$FB,58)</f>
        <v>3508875</v>
      </c>
      <c r="K72" s="49">
        <f>VLOOKUP($A72,'Data shares'!$C:$FB,59)</f>
        <v>2685750</v>
      </c>
      <c r="L72" s="50">
        <f>VLOOKUP($A72,'Data shares'!$C:$FB,61)*100</f>
        <v>30.65</v>
      </c>
      <c r="M72" s="49">
        <f>VLOOKUP($A72,'Data shares'!$C:$FB,62)</f>
        <v>1699125</v>
      </c>
      <c r="N72" s="49">
        <f>VLOOKUP($A72,'Data shares'!$C:$FB,63)</f>
        <v>1749000</v>
      </c>
      <c r="O72" s="140">
        <f>VLOOKUP($A72,'Data shares'!$C:$FB,65)*100</f>
        <v>-2.85</v>
      </c>
    </row>
    <row r="73" spans="1:15" x14ac:dyDescent="0.25">
      <c r="A73" s="101" t="str">
        <f>'Data shares'!C68</f>
        <v>GMRAIRPORT</v>
      </c>
      <c r="B73" s="50">
        <f>VLOOKUP($A73,'Data shares'!$C:$FB,7)</f>
        <v>100.95</v>
      </c>
      <c r="C73" s="50">
        <f>VLOOKUP($A73,'Data shares'!$C:$FB,10)*100</f>
        <v>-2.48</v>
      </c>
      <c r="D73" s="49">
        <f>VLOOKUP($A73,'Data shares'!$C:$FB,66)</f>
        <v>218254725</v>
      </c>
      <c r="E73" s="49">
        <f>VLOOKUP($A73,'Data shares'!$C:$FB,67)</f>
        <v>241558200</v>
      </c>
      <c r="F73" s="50">
        <f>VLOOKUP($A73,'Data shares'!$C:$FB,69)*100</f>
        <v>-9.65</v>
      </c>
      <c r="G73" s="49">
        <f>VLOOKUP($A73,'Data shares'!$C:$FB,42)</f>
        <v>29594925</v>
      </c>
      <c r="H73" s="49">
        <f>VLOOKUP($A73,'Data shares'!$C:$FB,43)</f>
        <v>37441800</v>
      </c>
      <c r="I73" s="50">
        <f>VLOOKUP($A73,'Data shares'!$C:$FB,45)*100</f>
        <v>-20.96</v>
      </c>
      <c r="J73" s="49">
        <f>VLOOKUP($A73,'Data shares'!$C:$FB,58)</f>
        <v>128953800</v>
      </c>
      <c r="K73" s="49">
        <f>VLOOKUP($A73,'Data shares'!$C:$FB,59)</f>
        <v>145631025</v>
      </c>
      <c r="L73" s="50">
        <f>VLOOKUP($A73,'Data shares'!$C:$FB,61)*100</f>
        <v>-11.450000000000001</v>
      </c>
      <c r="M73" s="49">
        <f>VLOOKUP($A73,'Data shares'!$C:$FB,62)</f>
        <v>59706000</v>
      </c>
      <c r="N73" s="49">
        <f>VLOOKUP($A73,'Data shares'!$C:$FB,63)</f>
        <v>58485375</v>
      </c>
      <c r="O73" s="140">
        <f>VLOOKUP($A73,'Data shares'!$C:$FB,65)*100</f>
        <v>2.09</v>
      </c>
    </row>
    <row r="74" spans="1:15" x14ac:dyDescent="0.25">
      <c r="A74" s="101" t="str">
        <f>'Data shares'!C69</f>
        <v>GODREJCP</v>
      </c>
      <c r="B74" s="50">
        <f>VLOOKUP($A74,'Data shares'!$C:$FB,7)</f>
        <v>1179.7</v>
      </c>
      <c r="C74" s="50">
        <f>VLOOKUP($A74,'Data shares'!$C:$FB,10)*100</f>
        <v>-0.22999999999999998</v>
      </c>
      <c r="D74" s="49">
        <f>VLOOKUP($A74,'Data shares'!$C:$FB,66)</f>
        <v>4818000</v>
      </c>
      <c r="E74" s="49">
        <f>VLOOKUP($A74,'Data shares'!$C:$FB,67)</f>
        <v>31567500</v>
      </c>
      <c r="F74" s="50">
        <f>VLOOKUP($A74,'Data shares'!$C:$FB,69)*100</f>
        <v>-84.740000000000009</v>
      </c>
      <c r="G74" s="49">
        <f>VLOOKUP($A74,'Data shares'!$C:$FB,42)</f>
        <v>947500</v>
      </c>
      <c r="H74" s="49">
        <f>VLOOKUP($A74,'Data shares'!$C:$FB,43)</f>
        <v>3142500</v>
      </c>
      <c r="I74" s="50">
        <f>VLOOKUP($A74,'Data shares'!$C:$FB,45)*100</f>
        <v>-69.849999999999994</v>
      </c>
      <c r="J74" s="49">
        <f>VLOOKUP($A74,'Data shares'!$C:$FB,58)</f>
        <v>2602000</v>
      </c>
      <c r="K74" s="49">
        <f>VLOOKUP($A74,'Data shares'!$C:$FB,59)</f>
        <v>20770000</v>
      </c>
      <c r="L74" s="50">
        <f>VLOOKUP($A74,'Data shares'!$C:$FB,61)*100</f>
        <v>-87.47</v>
      </c>
      <c r="M74" s="49">
        <f>VLOOKUP($A74,'Data shares'!$C:$FB,62)</f>
        <v>1268500</v>
      </c>
      <c r="N74" s="49">
        <f>VLOOKUP($A74,'Data shares'!$C:$FB,63)</f>
        <v>7655000</v>
      </c>
      <c r="O74" s="140">
        <f>VLOOKUP($A74,'Data shares'!$C:$FB,65)*100</f>
        <v>-83.43</v>
      </c>
    </row>
    <row r="75" spans="1:15" x14ac:dyDescent="0.25">
      <c r="A75" s="101" t="str">
        <f>'Data shares'!C70</f>
        <v>GODREJPROP</v>
      </c>
      <c r="B75" s="50">
        <f>VLOOKUP($A75,'Data shares'!$C:$FB,7)</f>
        <v>2014.9</v>
      </c>
      <c r="C75" s="50">
        <f>VLOOKUP($A75,'Data shares'!$C:$FB,10)*100</f>
        <v>-0.43</v>
      </c>
      <c r="D75" s="49">
        <f>VLOOKUP($A75,'Data shares'!$C:$FB,66)</f>
        <v>3151775</v>
      </c>
      <c r="E75" s="49">
        <f>VLOOKUP($A75,'Data shares'!$C:$FB,67)</f>
        <v>3572250</v>
      </c>
      <c r="F75" s="50">
        <f>VLOOKUP($A75,'Data shares'!$C:$FB,69)*100</f>
        <v>-11.77</v>
      </c>
      <c r="G75" s="49">
        <f>VLOOKUP($A75,'Data shares'!$C:$FB,42)</f>
        <v>1335400</v>
      </c>
      <c r="H75" s="49">
        <f>VLOOKUP($A75,'Data shares'!$C:$FB,43)</f>
        <v>704825</v>
      </c>
      <c r="I75" s="50">
        <f>VLOOKUP($A75,'Data shares'!$C:$FB,45)*100</f>
        <v>89.47</v>
      </c>
      <c r="J75" s="49">
        <f>VLOOKUP($A75,'Data shares'!$C:$FB,58)</f>
        <v>1131350</v>
      </c>
      <c r="K75" s="49">
        <f>VLOOKUP($A75,'Data shares'!$C:$FB,59)</f>
        <v>1876050</v>
      </c>
      <c r="L75" s="50">
        <f>VLOOKUP($A75,'Data shares'!$C:$FB,61)*100</f>
        <v>-39.700000000000003</v>
      </c>
      <c r="M75" s="49">
        <f>VLOOKUP($A75,'Data shares'!$C:$FB,62)</f>
        <v>685025</v>
      </c>
      <c r="N75" s="49">
        <f>VLOOKUP($A75,'Data shares'!$C:$FB,63)</f>
        <v>991375</v>
      </c>
      <c r="O75" s="140">
        <f>VLOOKUP($A75,'Data shares'!$C:$FB,65)*100</f>
        <v>-30.9</v>
      </c>
    </row>
    <row r="76" spans="1:15" x14ac:dyDescent="0.25">
      <c r="A76" s="101" t="str">
        <f>'Data shares'!C71</f>
        <v>GRASIM</v>
      </c>
      <c r="B76" s="50">
        <f>VLOOKUP($A76,'Data shares'!$C:$FB,7)</f>
        <v>2806.6</v>
      </c>
      <c r="C76" s="50">
        <f>VLOOKUP($A76,'Data shares'!$C:$FB,10)*100</f>
        <v>0.27</v>
      </c>
      <c r="D76" s="49">
        <f>VLOOKUP($A76,'Data shares'!$C:$FB,66)</f>
        <v>2956500</v>
      </c>
      <c r="E76" s="49">
        <f>VLOOKUP($A76,'Data shares'!$C:$FB,67)</f>
        <v>3112500</v>
      </c>
      <c r="F76" s="50">
        <f>VLOOKUP($A76,'Data shares'!$C:$FB,69)*100</f>
        <v>-5.01</v>
      </c>
      <c r="G76" s="49">
        <f>VLOOKUP($A76,'Data shares'!$C:$FB,42)</f>
        <v>983250</v>
      </c>
      <c r="H76" s="49">
        <f>VLOOKUP($A76,'Data shares'!$C:$FB,43)</f>
        <v>767250</v>
      </c>
      <c r="I76" s="50">
        <f>VLOOKUP($A76,'Data shares'!$C:$FB,45)*100</f>
        <v>28.15</v>
      </c>
      <c r="J76" s="49">
        <f>VLOOKUP($A76,'Data shares'!$C:$FB,58)</f>
        <v>1291750</v>
      </c>
      <c r="K76" s="49">
        <f>VLOOKUP($A76,'Data shares'!$C:$FB,59)</f>
        <v>1509000</v>
      </c>
      <c r="L76" s="50">
        <f>VLOOKUP($A76,'Data shares'!$C:$FB,61)*100</f>
        <v>-14.399999999999999</v>
      </c>
      <c r="M76" s="49">
        <f>VLOOKUP($A76,'Data shares'!$C:$FB,62)</f>
        <v>681500</v>
      </c>
      <c r="N76" s="49">
        <f>VLOOKUP($A76,'Data shares'!$C:$FB,63)</f>
        <v>836250</v>
      </c>
      <c r="O76" s="140">
        <f>VLOOKUP($A76,'Data shares'!$C:$FB,65)*100</f>
        <v>-18.509999999999998</v>
      </c>
    </row>
    <row r="77" spans="1:15" x14ac:dyDescent="0.25">
      <c r="A77" s="101" t="str">
        <f>'Data shares'!C72</f>
        <v>HAL</v>
      </c>
      <c r="B77" s="50">
        <f>VLOOKUP($A77,'Data shares'!$C:$FB,7)</f>
        <v>4228.3999999999996</v>
      </c>
      <c r="C77" s="50">
        <f>VLOOKUP($A77,'Data shares'!$C:$FB,10)*100</f>
        <v>-0.77</v>
      </c>
      <c r="D77" s="49">
        <f>VLOOKUP($A77,'Data shares'!$C:$FB,66)</f>
        <v>9669600</v>
      </c>
      <c r="E77" s="49">
        <f>VLOOKUP($A77,'Data shares'!$C:$FB,67)</f>
        <v>9735600</v>
      </c>
      <c r="F77" s="50">
        <f>VLOOKUP($A77,'Data shares'!$C:$FB,69)*100</f>
        <v>-0.67999999999999994</v>
      </c>
      <c r="G77" s="49">
        <f>VLOOKUP($A77,'Data shares'!$C:$FB,42)</f>
        <v>729750</v>
      </c>
      <c r="H77" s="49">
        <f>VLOOKUP($A77,'Data shares'!$C:$FB,43)</f>
        <v>1047900</v>
      </c>
      <c r="I77" s="50">
        <f>VLOOKUP($A77,'Data shares'!$C:$FB,45)*100</f>
        <v>-30.36</v>
      </c>
      <c r="J77" s="49">
        <f>VLOOKUP($A77,'Data shares'!$C:$FB,58)</f>
        <v>6190650</v>
      </c>
      <c r="K77" s="49">
        <f>VLOOKUP($A77,'Data shares'!$C:$FB,59)</f>
        <v>6173850</v>
      </c>
      <c r="L77" s="50">
        <f>VLOOKUP($A77,'Data shares'!$C:$FB,61)*100</f>
        <v>0.27</v>
      </c>
      <c r="M77" s="49">
        <f>VLOOKUP($A77,'Data shares'!$C:$FB,62)</f>
        <v>2749200</v>
      </c>
      <c r="N77" s="49">
        <f>VLOOKUP($A77,'Data shares'!$C:$FB,63)</f>
        <v>2513850</v>
      </c>
      <c r="O77" s="140">
        <f>VLOOKUP($A77,'Data shares'!$C:$FB,65)*100</f>
        <v>9.36</v>
      </c>
    </row>
    <row r="78" spans="1:15" x14ac:dyDescent="0.25">
      <c r="A78" s="101" t="str">
        <f>'Data shares'!C73</f>
        <v>HAVELLS</v>
      </c>
      <c r="B78" s="50">
        <f>VLOOKUP($A78,'Data shares'!$C:$FB,7)</f>
        <v>1397</v>
      </c>
      <c r="C78" s="50">
        <f>VLOOKUP($A78,'Data shares'!$C:$FB,10)*100</f>
        <v>-1.06</v>
      </c>
      <c r="D78" s="49">
        <f>VLOOKUP($A78,'Data shares'!$C:$FB,66)</f>
        <v>3960500</v>
      </c>
      <c r="E78" s="49">
        <f>VLOOKUP($A78,'Data shares'!$C:$FB,67)</f>
        <v>3336500</v>
      </c>
      <c r="F78" s="50">
        <f>VLOOKUP($A78,'Data shares'!$C:$FB,69)*100</f>
        <v>18.7</v>
      </c>
      <c r="G78" s="49">
        <f>VLOOKUP($A78,'Data shares'!$C:$FB,42)</f>
        <v>1057500</v>
      </c>
      <c r="H78" s="49">
        <f>VLOOKUP($A78,'Data shares'!$C:$FB,43)</f>
        <v>885500</v>
      </c>
      <c r="I78" s="50">
        <f>VLOOKUP($A78,'Data shares'!$C:$FB,45)*100</f>
        <v>19.420000000000002</v>
      </c>
      <c r="J78" s="49">
        <f>VLOOKUP($A78,'Data shares'!$C:$FB,58)</f>
        <v>1673000</v>
      </c>
      <c r="K78" s="49">
        <f>VLOOKUP($A78,'Data shares'!$C:$FB,59)</f>
        <v>1828500</v>
      </c>
      <c r="L78" s="50">
        <f>VLOOKUP($A78,'Data shares'!$C:$FB,61)*100</f>
        <v>-8.5</v>
      </c>
      <c r="M78" s="49">
        <f>VLOOKUP($A78,'Data shares'!$C:$FB,62)</f>
        <v>1230000</v>
      </c>
      <c r="N78" s="49">
        <f>VLOOKUP($A78,'Data shares'!$C:$FB,63)</f>
        <v>622500</v>
      </c>
      <c r="O78" s="140">
        <f>VLOOKUP($A78,'Data shares'!$C:$FB,65)*100</f>
        <v>97.59</v>
      </c>
    </row>
    <row r="79" spans="1:15" x14ac:dyDescent="0.25">
      <c r="A79" s="101" t="str">
        <f>'Data shares'!C74</f>
        <v>HCLTECH</v>
      </c>
      <c r="B79" s="50">
        <f>VLOOKUP($A79,'Data shares'!$C:$FB,7)</f>
        <v>1655</v>
      </c>
      <c r="C79" s="50">
        <f>VLOOKUP($A79,'Data shares'!$C:$FB,10)*100</f>
        <v>0.2</v>
      </c>
      <c r="D79" s="49">
        <f>VLOOKUP($A79,'Data shares'!$C:$FB,66)</f>
        <v>9174900</v>
      </c>
      <c r="E79" s="49">
        <f>VLOOKUP($A79,'Data shares'!$C:$FB,67)</f>
        <v>15531250</v>
      </c>
      <c r="F79" s="50">
        <f>VLOOKUP($A79,'Data shares'!$C:$FB,69)*100</f>
        <v>-40.93</v>
      </c>
      <c r="G79" s="49">
        <f>VLOOKUP($A79,'Data shares'!$C:$FB,42)</f>
        <v>1625050</v>
      </c>
      <c r="H79" s="49">
        <f>VLOOKUP($A79,'Data shares'!$C:$FB,43)</f>
        <v>3235750</v>
      </c>
      <c r="I79" s="50">
        <f>VLOOKUP($A79,'Data shares'!$C:$FB,45)*100</f>
        <v>-49.78</v>
      </c>
      <c r="J79" s="49">
        <f>VLOOKUP($A79,'Data shares'!$C:$FB,58)</f>
        <v>5045250</v>
      </c>
      <c r="K79" s="49">
        <f>VLOOKUP($A79,'Data shares'!$C:$FB,59)</f>
        <v>7728350</v>
      </c>
      <c r="L79" s="50">
        <f>VLOOKUP($A79,'Data shares'!$C:$FB,61)*100</f>
        <v>-34.72</v>
      </c>
      <c r="M79" s="49">
        <f>VLOOKUP($A79,'Data shares'!$C:$FB,62)</f>
        <v>2504600</v>
      </c>
      <c r="N79" s="49">
        <f>VLOOKUP($A79,'Data shares'!$C:$FB,63)</f>
        <v>4567150</v>
      </c>
      <c r="O79" s="140">
        <f>VLOOKUP($A79,'Data shares'!$C:$FB,65)*100</f>
        <v>-45.16</v>
      </c>
    </row>
    <row r="80" spans="1:15" x14ac:dyDescent="0.25">
      <c r="A80" s="101" t="str">
        <f>'Data shares'!C75</f>
        <v>HDFCAMC</v>
      </c>
      <c r="B80" s="50">
        <f>VLOOKUP($A80,'Data shares'!$C:$FB,7)</f>
        <v>2541.1999999999998</v>
      </c>
      <c r="C80" s="50">
        <f>VLOOKUP($A80,'Data shares'!$C:$FB,10)*100</f>
        <v>-1.6400000000000001</v>
      </c>
      <c r="D80" s="49">
        <f>VLOOKUP($A80,'Data shares'!$C:$FB,66)</f>
        <v>5461200</v>
      </c>
      <c r="E80" s="49">
        <f>VLOOKUP($A80,'Data shares'!$C:$FB,67)</f>
        <v>4520100</v>
      </c>
      <c r="F80" s="50">
        <f>VLOOKUP($A80,'Data shares'!$C:$FB,69)*100</f>
        <v>20.82</v>
      </c>
      <c r="G80" s="49">
        <f>VLOOKUP($A80,'Data shares'!$C:$FB,42)</f>
        <v>1247100</v>
      </c>
      <c r="H80" s="49">
        <f>VLOOKUP($A80,'Data shares'!$C:$FB,43)</f>
        <v>1342200</v>
      </c>
      <c r="I80" s="50">
        <f>VLOOKUP($A80,'Data shares'!$C:$FB,45)*100</f>
        <v>-7.0900000000000007</v>
      </c>
      <c r="J80" s="49">
        <f>VLOOKUP($A80,'Data shares'!$C:$FB,58)</f>
        <v>2131200</v>
      </c>
      <c r="K80" s="49">
        <f>VLOOKUP($A80,'Data shares'!$C:$FB,59)</f>
        <v>1904700</v>
      </c>
      <c r="L80" s="50">
        <f>VLOOKUP($A80,'Data shares'!$C:$FB,61)*100</f>
        <v>11.89</v>
      </c>
      <c r="M80" s="49">
        <f>VLOOKUP($A80,'Data shares'!$C:$FB,62)</f>
        <v>2082900</v>
      </c>
      <c r="N80" s="49">
        <f>VLOOKUP($A80,'Data shares'!$C:$FB,63)</f>
        <v>1273200</v>
      </c>
      <c r="O80" s="140">
        <f>VLOOKUP($A80,'Data shares'!$C:$FB,65)*100</f>
        <v>63.6</v>
      </c>
    </row>
    <row r="81" spans="1:15" x14ac:dyDescent="0.25">
      <c r="A81" s="101" t="str">
        <f>'Data shares'!C76</f>
        <v>HDFCBANK</v>
      </c>
      <c r="B81" s="50">
        <f>VLOOKUP($A81,'Data shares'!$C:$FB,7)</f>
        <v>984</v>
      </c>
      <c r="C81" s="50">
        <f>VLOOKUP($A81,'Data shares'!$C:$FB,10)*100</f>
        <v>-1.04</v>
      </c>
      <c r="D81" s="49">
        <f>VLOOKUP($A81,'Data shares'!$C:$FB,66)</f>
        <v>104513200</v>
      </c>
      <c r="E81" s="49">
        <f>VLOOKUP($A81,'Data shares'!$C:$FB,67)</f>
        <v>94643450</v>
      </c>
      <c r="F81" s="50">
        <f>VLOOKUP($A81,'Data shares'!$C:$FB,69)*100</f>
        <v>10.43</v>
      </c>
      <c r="G81" s="49">
        <f>VLOOKUP($A81,'Data shares'!$C:$FB,42)</f>
        <v>20124500</v>
      </c>
      <c r="H81" s="49">
        <f>VLOOKUP($A81,'Data shares'!$C:$FB,43)</f>
        <v>27826700</v>
      </c>
      <c r="I81" s="50">
        <f>VLOOKUP($A81,'Data shares'!$C:$FB,45)*100</f>
        <v>-27.68</v>
      </c>
      <c r="J81" s="49">
        <f>VLOOKUP($A81,'Data shares'!$C:$FB,58)</f>
        <v>51999750</v>
      </c>
      <c r="K81" s="49">
        <f>VLOOKUP($A81,'Data shares'!$C:$FB,59)</f>
        <v>37460500</v>
      </c>
      <c r="L81" s="50">
        <f>VLOOKUP($A81,'Data shares'!$C:$FB,61)*100</f>
        <v>38.81</v>
      </c>
      <c r="M81" s="49">
        <f>VLOOKUP($A81,'Data shares'!$C:$FB,62)</f>
        <v>32388950</v>
      </c>
      <c r="N81" s="49">
        <f>VLOOKUP($A81,'Data shares'!$C:$FB,63)</f>
        <v>29356250</v>
      </c>
      <c r="O81" s="140">
        <f>VLOOKUP($A81,'Data shares'!$C:$FB,65)*100</f>
        <v>10.33</v>
      </c>
    </row>
    <row r="82" spans="1:15" x14ac:dyDescent="0.25">
      <c r="A82" s="101" t="str">
        <f>'Data shares'!C77</f>
        <v>HDFCLIFE</v>
      </c>
      <c r="B82" s="50">
        <f>VLOOKUP($A82,'Data shares'!$C:$FB,7)</f>
        <v>753.5</v>
      </c>
      <c r="C82" s="50">
        <f>VLOOKUP($A82,'Data shares'!$C:$FB,10)*100</f>
        <v>-1.4200000000000002</v>
      </c>
      <c r="D82" s="49">
        <f>VLOOKUP($A82,'Data shares'!$C:$FB,66)</f>
        <v>44337700</v>
      </c>
      <c r="E82" s="49">
        <f>VLOOKUP($A82,'Data shares'!$C:$FB,67)</f>
        <v>40882600</v>
      </c>
      <c r="F82" s="50">
        <f>VLOOKUP($A82,'Data shares'!$C:$FB,69)*100</f>
        <v>8.4500000000000011</v>
      </c>
      <c r="G82" s="49">
        <f>VLOOKUP($A82,'Data shares'!$C:$FB,42)</f>
        <v>4440700</v>
      </c>
      <c r="H82" s="49">
        <f>VLOOKUP($A82,'Data shares'!$C:$FB,43)</f>
        <v>4107400</v>
      </c>
      <c r="I82" s="50">
        <f>VLOOKUP($A82,'Data shares'!$C:$FB,45)*100</f>
        <v>8.1100000000000012</v>
      </c>
      <c r="J82" s="49">
        <f>VLOOKUP($A82,'Data shares'!$C:$FB,58)</f>
        <v>30162000</v>
      </c>
      <c r="K82" s="49">
        <f>VLOOKUP($A82,'Data shares'!$C:$FB,59)</f>
        <v>28809000</v>
      </c>
      <c r="L82" s="50">
        <f>VLOOKUP($A82,'Data shares'!$C:$FB,61)*100</f>
        <v>4.7</v>
      </c>
      <c r="M82" s="49">
        <f>VLOOKUP($A82,'Data shares'!$C:$FB,62)</f>
        <v>9735000</v>
      </c>
      <c r="N82" s="49">
        <f>VLOOKUP($A82,'Data shares'!$C:$FB,63)</f>
        <v>7966200</v>
      </c>
      <c r="O82" s="140">
        <f>VLOOKUP($A82,'Data shares'!$C:$FB,65)*100</f>
        <v>22.2</v>
      </c>
    </row>
    <row r="83" spans="1:15" x14ac:dyDescent="0.25">
      <c r="A83" s="101" t="str">
        <f>'Data shares'!C78</f>
        <v>HEROMOTOCO</v>
      </c>
      <c r="B83" s="50">
        <f>VLOOKUP($A83,'Data shares'!$C:$FB,7)</f>
        <v>5817</v>
      </c>
      <c r="C83" s="50">
        <f>VLOOKUP($A83,'Data shares'!$C:$FB,10)*100</f>
        <v>-2.1800000000000002</v>
      </c>
      <c r="D83" s="49">
        <f>VLOOKUP($A83,'Data shares'!$C:$FB,66)</f>
        <v>13040550</v>
      </c>
      <c r="E83" s="49">
        <f>VLOOKUP($A83,'Data shares'!$C:$FB,67)</f>
        <v>3376500</v>
      </c>
      <c r="F83" s="50">
        <f>VLOOKUP($A83,'Data shares'!$C:$FB,69)*100</f>
        <v>286.22000000000003</v>
      </c>
      <c r="G83" s="49">
        <f>VLOOKUP($A83,'Data shares'!$C:$FB,42)</f>
        <v>987450</v>
      </c>
      <c r="H83" s="49">
        <f>VLOOKUP($A83,'Data shares'!$C:$FB,43)</f>
        <v>531600</v>
      </c>
      <c r="I83" s="50">
        <f>VLOOKUP($A83,'Data shares'!$C:$FB,45)*100</f>
        <v>85.75</v>
      </c>
      <c r="J83" s="49">
        <f>VLOOKUP($A83,'Data shares'!$C:$FB,58)</f>
        <v>6744450</v>
      </c>
      <c r="K83" s="49">
        <f>VLOOKUP($A83,'Data shares'!$C:$FB,59)</f>
        <v>1770600</v>
      </c>
      <c r="L83" s="50">
        <f>VLOOKUP($A83,'Data shares'!$C:$FB,61)*100</f>
        <v>280.90999999999997</v>
      </c>
      <c r="M83" s="49">
        <f>VLOOKUP($A83,'Data shares'!$C:$FB,62)</f>
        <v>5308650</v>
      </c>
      <c r="N83" s="49">
        <f>VLOOKUP($A83,'Data shares'!$C:$FB,63)</f>
        <v>1074300</v>
      </c>
      <c r="O83" s="140">
        <f>VLOOKUP($A83,'Data shares'!$C:$FB,65)*100</f>
        <v>394.15</v>
      </c>
    </row>
    <row r="84" spans="1:15" x14ac:dyDescent="0.25">
      <c r="A84" s="101" t="str">
        <f>'Data shares'!C79</f>
        <v>HFCL</v>
      </c>
      <c r="B84" s="50">
        <f>VLOOKUP($A84,'Data shares'!$C:$FB,7)</f>
        <v>64.53</v>
      </c>
      <c r="C84" s="50">
        <f>VLOOKUP($A84,'Data shares'!$C:$FB,10)*100</f>
        <v>-1.38</v>
      </c>
      <c r="D84" s="49">
        <f>VLOOKUP($A84,'Data shares'!$C:$FB,66)</f>
        <v>56927700</v>
      </c>
      <c r="E84" s="49">
        <f>VLOOKUP($A84,'Data shares'!$C:$FB,67)</f>
        <v>63210000</v>
      </c>
      <c r="F84" s="50">
        <f>VLOOKUP($A84,'Data shares'!$C:$FB,69)*100</f>
        <v>-9.94</v>
      </c>
      <c r="G84" s="49">
        <f>VLOOKUP($A84,'Data shares'!$C:$FB,42)</f>
        <v>7759350</v>
      </c>
      <c r="H84" s="49">
        <f>VLOOKUP($A84,'Data shares'!$C:$FB,43)</f>
        <v>9668550</v>
      </c>
      <c r="I84" s="50">
        <f>VLOOKUP($A84,'Data shares'!$C:$FB,45)*100</f>
        <v>-19.75</v>
      </c>
      <c r="J84" s="49">
        <f>VLOOKUP($A84,'Data shares'!$C:$FB,58)</f>
        <v>30031200</v>
      </c>
      <c r="K84" s="49">
        <f>VLOOKUP($A84,'Data shares'!$C:$FB,59)</f>
        <v>43311750</v>
      </c>
      <c r="L84" s="50">
        <f>VLOOKUP($A84,'Data shares'!$C:$FB,61)*100</f>
        <v>-30.659999999999997</v>
      </c>
      <c r="M84" s="49">
        <f>VLOOKUP($A84,'Data shares'!$C:$FB,62)</f>
        <v>19137150</v>
      </c>
      <c r="N84" s="49">
        <f>VLOOKUP($A84,'Data shares'!$C:$FB,63)</f>
        <v>10229700</v>
      </c>
      <c r="O84" s="140">
        <f>VLOOKUP($A84,'Data shares'!$C:$FB,65)*100</f>
        <v>87.070000000000007</v>
      </c>
    </row>
    <row r="85" spans="1:15" x14ac:dyDescent="0.25">
      <c r="A85" s="101" t="str">
        <f>'Data shares'!C80</f>
        <v>HINDALCO</v>
      </c>
      <c r="B85" s="50">
        <f>VLOOKUP($A85,'Data shares'!$C:$FB,7)</f>
        <v>848.8</v>
      </c>
      <c r="C85" s="50">
        <f>VLOOKUP($A85,'Data shares'!$C:$FB,10)*100</f>
        <v>1.39</v>
      </c>
      <c r="D85" s="49">
        <f>VLOOKUP($A85,'Data shares'!$C:$FB,66)</f>
        <v>46651500</v>
      </c>
      <c r="E85" s="49">
        <f>VLOOKUP($A85,'Data shares'!$C:$FB,67)</f>
        <v>38497900</v>
      </c>
      <c r="F85" s="50">
        <f>VLOOKUP($A85,'Data shares'!$C:$FB,69)*100</f>
        <v>21.18</v>
      </c>
      <c r="G85" s="49">
        <f>VLOOKUP($A85,'Data shares'!$C:$FB,42)</f>
        <v>8379000</v>
      </c>
      <c r="H85" s="49">
        <f>VLOOKUP($A85,'Data shares'!$C:$FB,43)</f>
        <v>6954500</v>
      </c>
      <c r="I85" s="50">
        <f>VLOOKUP($A85,'Data shares'!$C:$FB,45)*100</f>
        <v>20.48</v>
      </c>
      <c r="J85" s="49">
        <f>VLOOKUP($A85,'Data shares'!$C:$FB,58)</f>
        <v>26565000</v>
      </c>
      <c r="K85" s="49">
        <f>VLOOKUP($A85,'Data shares'!$C:$FB,59)</f>
        <v>19280100</v>
      </c>
      <c r="L85" s="50">
        <f>VLOOKUP($A85,'Data shares'!$C:$FB,61)*100</f>
        <v>37.78</v>
      </c>
      <c r="M85" s="49">
        <f>VLOOKUP($A85,'Data shares'!$C:$FB,62)</f>
        <v>11707500</v>
      </c>
      <c r="N85" s="49">
        <f>VLOOKUP($A85,'Data shares'!$C:$FB,63)</f>
        <v>12263300</v>
      </c>
      <c r="O85" s="140">
        <f>VLOOKUP($A85,'Data shares'!$C:$FB,65)*100</f>
        <v>-4.53</v>
      </c>
    </row>
    <row r="86" spans="1:15" x14ac:dyDescent="0.25">
      <c r="A86" s="101" t="str">
        <f>'Data shares'!C81</f>
        <v>HINDPETRO</v>
      </c>
      <c r="B86" s="50">
        <f>VLOOKUP($A86,'Data shares'!$C:$FB,7)</f>
        <v>465.45</v>
      </c>
      <c r="C86" s="50">
        <f>VLOOKUP($A86,'Data shares'!$C:$FB,10)*100</f>
        <v>0.02</v>
      </c>
      <c r="D86" s="49">
        <f>VLOOKUP($A86,'Data shares'!$C:$FB,66)</f>
        <v>31142475</v>
      </c>
      <c r="E86" s="49">
        <f>VLOOKUP($A86,'Data shares'!$C:$FB,67)</f>
        <v>24719175</v>
      </c>
      <c r="F86" s="50">
        <f>VLOOKUP($A86,'Data shares'!$C:$FB,69)*100</f>
        <v>25.990000000000002</v>
      </c>
      <c r="G86" s="49">
        <f>VLOOKUP($A86,'Data shares'!$C:$FB,42)</f>
        <v>4305150</v>
      </c>
      <c r="H86" s="49">
        <f>VLOOKUP($A86,'Data shares'!$C:$FB,43)</f>
        <v>4995675</v>
      </c>
      <c r="I86" s="50">
        <f>VLOOKUP($A86,'Data shares'!$C:$FB,45)*100</f>
        <v>-13.819999999999999</v>
      </c>
      <c r="J86" s="49">
        <f>VLOOKUP($A86,'Data shares'!$C:$FB,58)</f>
        <v>19496700</v>
      </c>
      <c r="K86" s="49">
        <f>VLOOKUP($A86,'Data shares'!$C:$FB,59)</f>
        <v>13735575</v>
      </c>
      <c r="L86" s="50">
        <f>VLOOKUP($A86,'Data shares'!$C:$FB,61)*100</f>
        <v>41.94</v>
      </c>
      <c r="M86" s="49">
        <f>VLOOKUP($A86,'Data shares'!$C:$FB,62)</f>
        <v>7340625</v>
      </c>
      <c r="N86" s="49">
        <f>VLOOKUP($A86,'Data shares'!$C:$FB,63)</f>
        <v>5987925</v>
      </c>
      <c r="O86" s="140">
        <f>VLOOKUP($A86,'Data shares'!$C:$FB,65)*100</f>
        <v>22.59</v>
      </c>
    </row>
    <row r="87" spans="1:15" x14ac:dyDescent="0.25">
      <c r="A87" s="101" t="str">
        <f>'Data shares'!C82</f>
        <v>HINDUNILVR</v>
      </c>
      <c r="B87" s="50">
        <f>VLOOKUP($A87,'Data shares'!$C:$FB,7)</f>
        <v>2275.6</v>
      </c>
      <c r="C87" s="50">
        <f>VLOOKUP($A87,'Data shares'!$C:$FB,10)*100</f>
        <v>-0.24</v>
      </c>
      <c r="D87" s="49">
        <f>VLOOKUP($A87,'Data shares'!$C:$FB,66)</f>
        <v>8140500</v>
      </c>
      <c r="E87" s="49">
        <f>VLOOKUP($A87,'Data shares'!$C:$FB,67)</f>
        <v>11374800</v>
      </c>
      <c r="F87" s="50">
        <f>VLOOKUP($A87,'Data shares'!$C:$FB,69)*100</f>
        <v>-28.43</v>
      </c>
      <c r="G87" s="49">
        <f>VLOOKUP($A87,'Data shares'!$C:$FB,42)</f>
        <v>1203300</v>
      </c>
      <c r="H87" s="49">
        <f>VLOOKUP($A87,'Data shares'!$C:$FB,43)</f>
        <v>1478100</v>
      </c>
      <c r="I87" s="50">
        <f>VLOOKUP($A87,'Data shares'!$C:$FB,45)*100</f>
        <v>-18.59</v>
      </c>
      <c r="J87" s="49">
        <f>VLOOKUP($A87,'Data shares'!$C:$FB,58)</f>
        <v>5253900</v>
      </c>
      <c r="K87" s="49">
        <f>VLOOKUP($A87,'Data shares'!$C:$FB,59)</f>
        <v>7023600</v>
      </c>
      <c r="L87" s="50">
        <f>VLOOKUP($A87,'Data shares'!$C:$FB,61)*100</f>
        <v>-25.2</v>
      </c>
      <c r="M87" s="49">
        <f>VLOOKUP($A87,'Data shares'!$C:$FB,62)</f>
        <v>1683300</v>
      </c>
      <c r="N87" s="49">
        <f>VLOOKUP($A87,'Data shares'!$C:$FB,63)</f>
        <v>2873100</v>
      </c>
      <c r="O87" s="140">
        <f>VLOOKUP($A87,'Data shares'!$C:$FB,65)*100</f>
        <v>-41.410000000000004</v>
      </c>
    </row>
    <row r="88" spans="1:15" x14ac:dyDescent="0.25">
      <c r="A88" s="101" t="str">
        <f>'Data shares'!C83</f>
        <v>HINDZINC</v>
      </c>
      <c r="B88" s="50">
        <f>VLOOKUP($A88,'Data shares'!$C:$FB,7)</f>
        <v>578.29999999999995</v>
      </c>
      <c r="C88" s="50">
        <f>VLOOKUP($A88,'Data shares'!$C:$FB,10)*100</f>
        <v>1.87</v>
      </c>
      <c r="D88" s="49">
        <f>VLOOKUP($A88,'Data shares'!$C:$FB,66)</f>
        <v>308184275</v>
      </c>
      <c r="E88" s="49">
        <f>VLOOKUP($A88,'Data shares'!$C:$FB,67)</f>
        <v>138425000</v>
      </c>
      <c r="F88" s="50">
        <f>VLOOKUP($A88,'Data shares'!$C:$FB,69)*100</f>
        <v>122.63999999999999</v>
      </c>
      <c r="G88" s="49">
        <f>VLOOKUP($A88,'Data shares'!$C:$FB,42)</f>
        <v>24537975</v>
      </c>
      <c r="H88" s="49">
        <f>VLOOKUP($A88,'Data shares'!$C:$FB,43)</f>
        <v>12491325</v>
      </c>
      <c r="I88" s="50">
        <f>VLOOKUP($A88,'Data shares'!$C:$FB,45)*100</f>
        <v>96.44</v>
      </c>
      <c r="J88" s="49">
        <f>VLOOKUP($A88,'Data shares'!$C:$FB,58)</f>
        <v>200877950</v>
      </c>
      <c r="K88" s="49">
        <f>VLOOKUP($A88,'Data shares'!$C:$FB,59)</f>
        <v>84910875</v>
      </c>
      <c r="L88" s="50">
        <f>VLOOKUP($A88,'Data shares'!$C:$FB,61)*100</f>
        <v>136.57999999999998</v>
      </c>
      <c r="M88" s="49">
        <f>VLOOKUP($A88,'Data shares'!$C:$FB,62)</f>
        <v>82768350</v>
      </c>
      <c r="N88" s="49">
        <f>VLOOKUP($A88,'Data shares'!$C:$FB,63)</f>
        <v>41022800</v>
      </c>
      <c r="O88" s="140">
        <f>VLOOKUP($A88,'Data shares'!$C:$FB,65)*100</f>
        <v>101.76</v>
      </c>
    </row>
    <row r="89" spans="1:15" x14ac:dyDescent="0.25">
      <c r="A89" s="101" t="str">
        <f>'Data shares'!C84</f>
        <v>HUDCO</v>
      </c>
      <c r="B89" s="50">
        <f>VLOOKUP($A89,'Data shares'!$C:$FB,7)</f>
        <v>207.91</v>
      </c>
      <c r="C89" s="50">
        <f>VLOOKUP($A89,'Data shares'!$C:$FB,10)*100</f>
        <v>-1.47</v>
      </c>
      <c r="D89" s="49">
        <f>VLOOKUP($A89,'Data shares'!$C:$FB,66)</f>
        <v>36424650</v>
      </c>
      <c r="E89" s="49">
        <f>VLOOKUP($A89,'Data shares'!$C:$FB,67)</f>
        <v>28255050</v>
      </c>
      <c r="F89" s="50">
        <f>VLOOKUP($A89,'Data shares'!$C:$FB,69)*100</f>
        <v>28.910000000000004</v>
      </c>
      <c r="G89" s="49">
        <f>VLOOKUP($A89,'Data shares'!$C:$FB,42)</f>
        <v>6085575</v>
      </c>
      <c r="H89" s="49">
        <f>VLOOKUP($A89,'Data shares'!$C:$FB,43)</f>
        <v>5494500</v>
      </c>
      <c r="I89" s="50">
        <f>VLOOKUP($A89,'Data shares'!$C:$FB,45)*100</f>
        <v>10.76</v>
      </c>
      <c r="J89" s="49">
        <f>VLOOKUP($A89,'Data shares'!$C:$FB,58)</f>
        <v>20521125</v>
      </c>
      <c r="K89" s="49">
        <f>VLOOKUP($A89,'Data shares'!$C:$FB,59)</f>
        <v>15506700</v>
      </c>
      <c r="L89" s="50">
        <f>VLOOKUP($A89,'Data shares'!$C:$FB,61)*100</f>
        <v>32.340000000000003</v>
      </c>
      <c r="M89" s="49">
        <f>VLOOKUP($A89,'Data shares'!$C:$FB,62)</f>
        <v>9817950</v>
      </c>
      <c r="N89" s="49">
        <f>VLOOKUP($A89,'Data shares'!$C:$FB,63)</f>
        <v>7253850</v>
      </c>
      <c r="O89" s="140">
        <f>VLOOKUP($A89,'Data shares'!$C:$FB,65)*100</f>
        <v>35.35</v>
      </c>
    </row>
    <row r="90" spans="1:15" x14ac:dyDescent="0.25">
      <c r="A90" s="101" t="str">
        <f>'Data shares'!C85</f>
        <v>ICICIBANK</v>
      </c>
      <c r="B90" s="50">
        <f>VLOOKUP($A90,'Data shares'!$C:$FB,7)</f>
        <v>1352.4</v>
      </c>
      <c r="C90" s="50">
        <f>VLOOKUP($A90,'Data shares'!$C:$FB,10)*100</f>
        <v>-1</v>
      </c>
      <c r="D90" s="49">
        <f>VLOOKUP($A90,'Data shares'!$C:$FB,66)</f>
        <v>106170400</v>
      </c>
      <c r="E90" s="49">
        <f>VLOOKUP($A90,'Data shares'!$C:$FB,67)</f>
        <v>58455600</v>
      </c>
      <c r="F90" s="50">
        <f>VLOOKUP($A90,'Data shares'!$C:$FB,69)*100</f>
        <v>81.63</v>
      </c>
      <c r="G90" s="49">
        <f>VLOOKUP($A90,'Data shares'!$C:$FB,42)</f>
        <v>15409800</v>
      </c>
      <c r="H90" s="49">
        <f>VLOOKUP($A90,'Data shares'!$C:$FB,43)</f>
        <v>11080300</v>
      </c>
      <c r="I90" s="50">
        <f>VLOOKUP($A90,'Data shares'!$C:$FB,45)*100</f>
        <v>39.07</v>
      </c>
      <c r="J90" s="49">
        <f>VLOOKUP($A90,'Data shares'!$C:$FB,58)</f>
        <v>51583700</v>
      </c>
      <c r="K90" s="49">
        <f>VLOOKUP($A90,'Data shares'!$C:$FB,59)</f>
        <v>27953100</v>
      </c>
      <c r="L90" s="50">
        <f>VLOOKUP($A90,'Data shares'!$C:$FB,61)*100</f>
        <v>84.54</v>
      </c>
      <c r="M90" s="49">
        <f>VLOOKUP($A90,'Data shares'!$C:$FB,62)</f>
        <v>39176900</v>
      </c>
      <c r="N90" s="49">
        <f>VLOOKUP($A90,'Data shares'!$C:$FB,63)</f>
        <v>19422200</v>
      </c>
      <c r="O90" s="140">
        <f>VLOOKUP($A90,'Data shares'!$C:$FB,65)*100</f>
        <v>101.71</v>
      </c>
    </row>
    <row r="91" spans="1:15" x14ac:dyDescent="0.25">
      <c r="A91" s="101" t="str">
        <f>'Data shares'!C86</f>
        <v>ICICIGI</v>
      </c>
      <c r="B91" s="50">
        <f>VLOOKUP($A91,'Data shares'!$C:$FB,7)</f>
        <v>1947</v>
      </c>
      <c r="C91" s="50">
        <f>VLOOKUP($A91,'Data shares'!$C:$FB,10)*100</f>
        <v>-0.22</v>
      </c>
      <c r="D91" s="49">
        <f>VLOOKUP($A91,'Data shares'!$C:$FB,66)</f>
        <v>1707550</v>
      </c>
      <c r="E91" s="49">
        <f>VLOOKUP($A91,'Data shares'!$C:$FB,67)</f>
        <v>1902550</v>
      </c>
      <c r="F91" s="50">
        <f>VLOOKUP($A91,'Data shares'!$C:$FB,69)*100</f>
        <v>-10.25</v>
      </c>
      <c r="G91" s="49">
        <f>VLOOKUP($A91,'Data shares'!$C:$FB,42)</f>
        <v>664625</v>
      </c>
      <c r="H91" s="49">
        <f>VLOOKUP($A91,'Data shares'!$C:$FB,43)</f>
        <v>537550</v>
      </c>
      <c r="I91" s="50">
        <f>VLOOKUP($A91,'Data shares'!$C:$FB,45)*100</f>
        <v>23.64</v>
      </c>
      <c r="J91" s="49">
        <f>VLOOKUP($A91,'Data shares'!$C:$FB,58)</f>
        <v>792350</v>
      </c>
      <c r="K91" s="49">
        <f>VLOOKUP($A91,'Data shares'!$C:$FB,59)</f>
        <v>930800</v>
      </c>
      <c r="L91" s="50">
        <f>VLOOKUP($A91,'Data shares'!$C:$FB,61)*100</f>
        <v>-14.87</v>
      </c>
      <c r="M91" s="49">
        <f>VLOOKUP($A91,'Data shares'!$C:$FB,62)</f>
        <v>250575</v>
      </c>
      <c r="N91" s="49">
        <f>VLOOKUP($A91,'Data shares'!$C:$FB,63)</f>
        <v>434200</v>
      </c>
      <c r="O91" s="140">
        <f>VLOOKUP($A91,'Data shares'!$C:$FB,65)*100</f>
        <v>-42.29</v>
      </c>
    </row>
    <row r="92" spans="1:15" x14ac:dyDescent="0.25">
      <c r="A92" s="101" t="str">
        <f>'Data shares'!C87</f>
        <v>ICICIPRULI</v>
      </c>
      <c r="B92" s="50">
        <f>VLOOKUP($A92,'Data shares'!$C:$FB,7)</f>
        <v>630.5</v>
      </c>
      <c r="C92" s="50">
        <f>VLOOKUP($A92,'Data shares'!$C:$FB,10)*100</f>
        <v>-1.17</v>
      </c>
      <c r="D92" s="49">
        <f>VLOOKUP($A92,'Data shares'!$C:$FB,66)</f>
        <v>5757200</v>
      </c>
      <c r="E92" s="49">
        <f>VLOOKUP($A92,'Data shares'!$C:$FB,67)</f>
        <v>9980750</v>
      </c>
      <c r="F92" s="50">
        <f>VLOOKUP($A92,'Data shares'!$C:$FB,69)*100</f>
        <v>-42.32</v>
      </c>
      <c r="G92" s="49">
        <f>VLOOKUP($A92,'Data shares'!$C:$FB,42)</f>
        <v>1507750</v>
      </c>
      <c r="H92" s="49">
        <f>VLOOKUP($A92,'Data shares'!$C:$FB,43)</f>
        <v>2412400</v>
      </c>
      <c r="I92" s="50">
        <f>VLOOKUP($A92,'Data shares'!$C:$FB,45)*100</f>
        <v>-37.5</v>
      </c>
      <c r="J92" s="49">
        <f>VLOOKUP($A92,'Data shares'!$C:$FB,58)</f>
        <v>3059900</v>
      </c>
      <c r="K92" s="49">
        <f>VLOOKUP($A92,'Data shares'!$C:$FB,59)</f>
        <v>6075400</v>
      </c>
      <c r="L92" s="50">
        <f>VLOOKUP($A92,'Data shares'!$C:$FB,61)*100</f>
        <v>-49.63</v>
      </c>
      <c r="M92" s="49">
        <f>VLOOKUP($A92,'Data shares'!$C:$FB,62)</f>
        <v>1189550</v>
      </c>
      <c r="N92" s="49">
        <f>VLOOKUP($A92,'Data shares'!$C:$FB,63)</f>
        <v>1492950</v>
      </c>
      <c r="O92" s="140">
        <f>VLOOKUP($A92,'Data shares'!$C:$FB,65)*100</f>
        <v>-20.32</v>
      </c>
    </row>
    <row r="93" spans="1:15" x14ac:dyDescent="0.25">
      <c r="A93" s="101" t="str">
        <f>'Data shares'!C88</f>
        <v>IDEA</v>
      </c>
      <c r="B93" s="50">
        <f>VLOOKUP($A93,'Data shares'!$C:$FB,7)</f>
        <v>11.13</v>
      </c>
      <c r="C93" s="50">
        <f>VLOOKUP($A93,'Data shares'!$C:$FB,10)*100</f>
        <v>-1.0699999999999998</v>
      </c>
      <c r="D93" s="49">
        <f>VLOOKUP($A93,'Data shares'!$C:$FB,66)</f>
        <v>3211157325</v>
      </c>
      <c r="E93" s="49">
        <f>VLOOKUP($A93,'Data shares'!$C:$FB,67)</f>
        <v>4286856075</v>
      </c>
      <c r="F93" s="50">
        <f>VLOOKUP($A93,'Data shares'!$C:$FB,69)*100</f>
        <v>-25.09</v>
      </c>
      <c r="G93" s="49">
        <f>VLOOKUP($A93,'Data shares'!$C:$FB,42)</f>
        <v>634555050</v>
      </c>
      <c r="H93" s="49">
        <f>VLOOKUP($A93,'Data shares'!$C:$FB,43)</f>
        <v>890292600</v>
      </c>
      <c r="I93" s="50">
        <f>VLOOKUP($A93,'Data shares'!$C:$FB,45)*100</f>
        <v>-28.73</v>
      </c>
      <c r="J93" s="49">
        <f>VLOOKUP($A93,'Data shares'!$C:$FB,58)</f>
        <v>2044542375</v>
      </c>
      <c r="K93" s="49">
        <f>VLOOKUP($A93,'Data shares'!$C:$FB,59)</f>
        <v>2432151300</v>
      </c>
      <c r="L93" s="50">
        <f>VLOOKUP($A93,'Data shares'!$C:$FB,61)*100</f>
        <v>-15.939999999999998</v>
      </c>
      <c r="M93" s="49">
        <f>VLOOKUP($A93,'Data shares'!$C:$FB,62)</f>
        <v>532059900</v>
      </c>
      <c r="N93" s="49">
        <f>VLOOKUP($A93,'Data shares'!$C:$FB,63)</f>
        <v>964412175</v>
      </c>
      <c r="O93" s="140">
        <f>VLOOKUP($A93,'Data shares'!$C:$FB,65)*100</f>
        <v>-44.83</v>
      </c>
    </row>
    <row r="94" spans="1:15" x14ac:dyDescent="0.25">
      <c r="A94" s="101" t="str">
        <f>'Data shares'!C89</f>
        <v>IDFCFIRSTB</v>
      </c>
      <c r="B94" s="50">
        <f>VLOOKUP($A94,'Data shares'!$C:$FB,7)</f>
        <v>83.95</v>
      </c>
      <c r="C94" s="50">
        <f>VLOOKUP($A94,'Data shares'!$C:$FB,10)*100</f>
        <v>0.59</v>
      </c>
      <c r="D94" s="49">
        <f>VLOOKUP($A94,'Data shares'!$C:$FB,66)</f>
        <v>167552875</v>
      </c>
      <c r="E94" s="49">
        <f>VLOOKUP($A94,'Data shares'!$C:$FB,67)</f>
        <v>218073800</v>
      </c>
      <c r="F94" s="50">
        <f>VLOOKUP($A94,'Data shares'!$C:$FB,69)*100</f>
        <v>-23.169999999999998</v>
      </c>
      <c r="G94" s="49">
        <f>VLOOKUP($A94,'Data shares'!$C:$FB,42)</f>
        <v>46375000</v>
      </c>
      <c r="H94" s="49">
        <f>VLOOKUP($A94,'Data shares'!$C:$FB,43)</f>
        <v>62161050</v>
      </c>
      <c r="I94" s="50">
        <f>VLOOKUP($A94,'Data shares'!$C:$FB,45)*100</f>
        <v>-25.4</v>
      </c>
      <c r="J94" s="49">
        <f>VLOOKUP($A94,'Data shares'!$C:$FB,58)</f>
        <v>81397400</v>
      </c>
      <c r="K94" s="49">
        <f>VLOOKUP($A94,'Data shares'!$C:$FB,59)</f>
        <v>102757725</v>
      </c>
      <c r="L94" s="50">
        <f>VLOOKUP($A94,'Data shares'!$C:$FB,61)*100</f>
        <v>-20.79</v>
      </c>
      <c r="M94" s="49">
        <f>VLOOKUP($A94,'Data shares'!$C:$FB,62)</f>
        <v>39780475</v>
      </c>
      <c r="N94" s="49">
        <f>VLOOKUP($A94,'Data shares'!$C:$FB,63)</f>
        <v>53155025</v>
      </c>
      <c r="O94" s="140">
        <f>VLOOKUP($A94,'Data shares'!$C:$FB,65)*100</f>
        <v>-25.16</v>
      </c>
    </row>
    <row r="95" spans="1:15" x14ac:dyDescent="0.25">
      <c r="A95" s="101" t="str">
        <f>'Data shares'!C90</f>
        <v>IEX</v>
      </c>
      <c r="B95" s="50">
        <f>VLOOKUP($A95,'Data shares'!$C:$FB,7)</f>
        <v>140.22</v>
      </c>
      <c r="C95" s="50">
        <f>VLOOKUP($A95,'Data shares'!$C:$FB,10)*100</f>
        <v>-0.13</v>
      </c>
      <c r="D95" s="49">
        <f>VLOOKUP($A95,'Data shares'!$C:$FB,66)</f>
        <v>22845000</v>
      </c>
      <c r="E95" s="49">
        <f>VLOOKUP($A95,'Data shares'!$C:$FB,67)</f>
        <v>30135000</v>
      </c>
      <c r="F95" s="50">
        <f>VLOOKUP($A95,'Data shares'!$C:$FB,69)*100</f>
        <v>-24.19</v>
      </c>
      <c r="G95" s="49">
        <f>VLOOKUP($A95,'Data shares'!$C:$FB,42)</f>
        <v>4106250</v>
      </c>
      <c r="H95" s="49">
        <f>VLOOKUP($A95,'Data shares'!$C:$FB,43)</f>
        <v>5756250</v>
      </c>
      <c r="I95" s="50">
        <f>VLOOKUP($A95,'Data shares'!$C:$FB,45)*100</f>
        <v>-28.660000000000004</v>
      </c>
      <c r="J95" s="49">
        <f>VLOOKUP($A95,'Data shares'!$C:$FB,58)</f>
        <v>14276250</v>
      </c>
      <c r="K95" s="49">
        <f>VLOOKUP($A95,'Data shares'!$C:$FB,59)</f>
        <v>18652500</v>
      </c>
      <c r="L95" s="50">
        <f>VLOOKUP($A95,'Data shares'!$C:$FB,61)*100</f>
        <v>-23.46</v>
      </c>
      <c r="M95" s="49">
        <f>VLOOKUP($A95,'Data shares'!$C:$FB,62)</f>
        <v>4462500</v>
      </c>
      <c r="N95" s="49">
        <f>VLOOKUP($A95,'Data shares'!$C:$FB,63)</f>
        <v>5726250</v>
      </c>
      <c r="O95" s="140">
        <f>VLOOKUP($A95,'Data shares'!$C:$FB,65)*100</f>
        <v>-22.07</v>
      </c>
    </row>
    <row r="96" spans="1:15" x14ac:dyDescent="0.25">
      <c r="A96" s="101" t="str">
        <f>'Data shares'!C91</f>
        <v>IIFL</v>
      </c>
      <c r="B96" s="50">
        <f>VLOOKUP($A96,'Data shares'!$C:$FB,7)</f>
        <v>563.1</v>
      </c>
      <c r="C96" s="50">
        <f>VLOOKUP($A96,'Data shares'!$C:$FB,10)*100</f>
        <v>-0.64</v>
      </c>
      <c r="D96" s="49">
        <f>VLOOKUP($A96,'Data shares'!$C:$FB,66)</f>
        <v>13411200</v>
      </c>
      <c r="E96" s="49">
        <f>VLOOKUP($A96,'Data shares'!$C:$FB,67)</f>
        <v>16465350</v>
      </c>
      <c r="F96" s="50">
        <f>VLOOKUP($A96,'Data shares'!$C:$FB,69)*100</f>
        <v>-18.55</v>
      </c>
      <c r="G96" s="49">
        <f>VLOOKUP($A96,'Data shares'!$C:$FB,42)</f>
        <v>1555950</v>
      </c>
      <c r="H96" s="49">
        <f>VLOOKUP($A96,'Data shares'!$C:$FB,43)</f>
        <v>1849650</v>
      </c>
      <c r="I96" s="50">
        <f>VLOOKUP($A96,'Data shares'!$C:$FB,45)*100</f>
        <v>-15.879999999999999</v>
      </c>
      <c r="J96" s="49">
        <f>VLOOKUP($A96,'Data shares'!$C:$FB,58)</f>
        <v>9726750</v>
      </c>
      <c r="K96" s="49">
        <f>VLOOKUP($A96,'Data shares'!$C:$FB,59)</f>
        <v>12081300</v>
      </c>
      <c r="L96" s="50">
        <f>VLOOKUP($A96,'Data shares'!$C:$FB,61)*100</f>
        <v>-19.489999999999998</v>
      </c>
      <c r="M96" s="49">
        <f>VLOOKUP($A96,'Data shares'!$C:$FB,62)</f>
        <v>2128500</v>
      </c>
      <c r="N96" s="49">
        <f>VLOOKUP($A96,'Data shares'!$C:$FB,63)</f>
        <v>2534400</v>
      </c>
      <c r="O96" s="140">
        <f>VLOOKUP($A96,'Data shares'!$C:$FB,65)*100</f>
        <v>-16.02</v>
      </c>
    </row>
    <row r="97" spans="1:15" x14ac:dyDescent="0.25">
      <c r="A97" s="101" t="str">
        <f>'Data shares'!C92</f>
        <v>INDHOTEL</v>
      </c>
      <c r="B97" s="50">
        <f>VLOOKUP($A97,'Data shares'!$C:$FB,7)</f>
        <v>713.2</v>
      </c>
      <c r="C97" s="50">
        <f>VLOOKUP($A97,'Data shares'!$C:$FB,10)*100</f>
        <v>-1.66</v>
      </c>
      <c r="D97" s="49">
        <f>VLOOKUP($A97,'Data shares'!$C:$FB,66)</f>
        <v>15794000</v>
      </c>
      <c r="E97" s="49">
        <f>VLOOKUP($A97,'Data shares'!$C:$FB,67)</f>
        <v>9348000</v>
      </c>
      <c r="F97" s="50">
        <f>VLOOKUP($A97,'Data shares'!$C:$FB,69)*100</f>
        <v>68.959999999999994</v>
      </c>
      <c r="G97" s="49">
        <f>VLOOKUP($A97,'Data shares'!$C:$FB,42)</f>
        <v>3476000</v>
      </c>
      <c r="H97" s="49">
        <f>VLOOKUP($A97,'Data shares'!$C:$FB,43)</f>
        <v>2305000</v>
      </c>
      <c r="I97" s="50">
        <f>VLOOKUP($A97,'Data shares'!$C:$FB,45)*100</f>
        <v>50.8</v>
      </c>
      <c r="J97" s="49">
        <f>VLOOKUP($A97,'Data shares'!$C:$FB,58)</f>
        <v>8767000</v>
      </c>
      <c r="K97" s="49">
        <f>VLOOKUP($A97,'Data shares'!$C:$FB,59)</f>
        <v>5103000</v>
      </c>
      <c r="L97" s="50">
        <f>VLOOKUP($A97,'Data shares'!$C:$FB,61)*100</f>
        <v>71.8</v>
      </c>
      <c r="M97" s="49">
        <f>VLOOKUP($A97,'Data shares'!$C:$FB,62)</f>
        <v>3551000</v>
      </c>
      <c r="N97" s="49">
        <f>VLOOKUP($A97,'Data shares'!$C:$FB,63)</f>
        <v>1940000</v>
      </c>
      <c r="O97" s="140">
        <f>VLOOKUP($A97,'Data shares'!$C:$FB,65)*100</f>
        <v>83.04</v>
      </c>
    </row>
    <row r="98" spans="1:15" x14ac:dyDescent="0.25">
      <c r="A98" s="101" t="str">
        <f>'Data shares'!C93</f>
        <v>INDIANB</v>
      </c>
      <c r="B98" s="50">
        <f>VLOOKUP($A98,'Data shares'!$C:$FB,7)</f>
        <v>775</v>
      </c>
      <c r="C98" s="50">
        <f>VLOOKUP($A98,'Data shares'!$C:$FB,10)*100</f>
        <v>0.24</v>
      </c>
      <c r="D98" s="49">
        <f>VLOOKUP($A98,'Data shares'!$C:$FB,66)</f>
        <v>8025000</v>
      </c>
      <c r="E98" s="49">
        <f>VLOOKUP($A98,'Data shares'!$C:$FB,67)</f>
        <v>13289000</v>
      </c>
      <c r="F98" s="50">
        <f>VLOOKUP($A98,'Data shares'!$C:$FB,69)*100</f>
        <v>-39.61</v>
      </c>
      <c r="G98" s="49">
        <f>VLOOKUP($A98,'Data shares'!$C:$FB,42)</f>
        <v>1526000</v>
      </c>
      <c r="H98" s="49">
        <f>VLOOKUP($A98,'Data shares'!$C:$FB,43)</f>
        <v>2613000</v>
      </c>
      <c r="I98" s="50">
        <f>VLOOKUP($A98,'Data shares'!$C:$FB,45)*100</f>
        <v>-41.6</v>
      </c>
      <c r="J98" s="49">
        <f>VLOOKUP($A98,'Data shares'!$C:$FB,58)</f>
        <v>4781000</v>
      </c>
      <c r="K98" s="49">
        <f>VLOOKUP($A98,'Data shares'!$C:$FB,59)</f>
        <v>8082000</v>
      </c>
      <c r="L98" s="50">
        <f>VLOOKUP($A98,'Data shares'!$C:$FB,61)*100</f>
        <v>-40.839999999999996</v>
      </c>
      <c r="M98" s="49">
        <f>VLOOKUP($A98,'Data shares'!$C:$FB,62)</f>
        <v>1718000</v>
      </c>
      <c r="N98" s="49">
        <f>VLOOKUP($A98,'Data shares'!$C:$FB,63)</f>
        <v>2594000</v>
      </c>
      <c r="O98" s="140">
        <f>VLOOKUP($A98,'Data shares'!$C:$FB,65)*100</f>
        <v>-33.770000000000003</v>
      </c>
    </row>
    <row r="99" spans="1:15" x14ac:dyDescent="0.25">
      <c r="A99" s="101" t="str">
        <f>'Data shares'!C94</f>
        <v>INDIAVIX</v>
      </c>
      <c r="B99" s="50">
        <f>VLOOKUP($A99,'Data shares'!$C:$FB,7)</f>
        <v>9.84</v>
      </c>
      <c r="C99" s="50">
        <f>VLOOKUP($A99,'Data shares'!$C:$FB,10)*100</f>
        <v>-2.21</v>
      </c>
      <c r="D99" s="49">
        <f>VLOOKUP($A99,'Data shares'!$C:$FB,66)</f>
        <v>0</v>
      </c>
      <c r="E99" s="49">
        <f>VLOOKUP($A99,'Data shares'!$C:$FB,67)</f>
        <v>0</v>
      </c>
      <c r="F99" s="50">
        <f>VLOOKUP($A99,'Data shares'!$C:$FB,69)*100</f>
        <v>0</v>
      </c>
      <c r="G99" s="49">
        <f>VLOOKUP($A99,'Data shares'!$C:$FB,42)</f>
        <v>0</v>
      </c>
      <c r="H99" s="49">
        <f>VLOOKUP($A99,'Data shares'!$C:$FB,43)</f>
        <v>0</v>
      </c>
      <c r="I99" s="50">
        <f>VLOOKUP($A99,'Data shares'!$C:$FB,45)*100</f>
        <v>0</v>
      </c>
      <c r="J99" s="49">
        <f>VLOOKUP($A99,'Data shares'!$C:$FB,58)</f>
        <v>0</v>
      </c>
      <c r="K99" s="49">
        <f>VLOOKUP($A99,'Data shares'!$C:$FB,59)</f>
        <v>0</v>
      </c>
      <c r="L99" s="50">
        <f>VLOOKUP($A99,'Data shares'!$C:$FB,61)*100</f>
        <v>0</v>
      </c>
      <c r="M99" s="49">
        <f>VLOOKUP($A99,'Data shares'!$C:$FB,62)</f>
        <v>0</v>
      </c>
      <c r="N99" s="49">
        <f>VLOOKUP($A99,'Data shares'!$C:$FB,63)</f>
        <v>0</v>
      </c>
      <c r="O99" s="140">
        <f>VLOOKUP($A99,'Data shares'!$C:$FB,65)*100</f>
        <v>0</v>
      </c>
    </row>
    <row r="100" spans="1:15" x14ac:dyDescent="0.25">
      <c r="A100" s="101" t="str">
        <f>'Data shares'!C95</f>
        <v>INDIGO</v>
      </c>
      <c r="B100" s="50">
        <f>VLOOKUP($A100,'Data shares'!$C:$FB,7)</f>
        <v>4980.5</v>
      </c>
      <c r="C100" s="50">
        <f>VLOOKUP($A100,'Data shares'!$C:$FB,10)*100</f>
        <v>0.13</v>
      </c>
      <c r="D100" s="49">
        <f>VLOOKUP($A100,'Data shares'!$C:$FB,66)</f>
        <v>14007300</v>
      </c>
      <c r="E100" s="49">
        <f>VLOOKUP($A100,'Data shares'!$C:$FB,67)</f>
        <v>20980950</v>
      </c>
      <c r="F100" s="50">
        <f>VLOOKUP($A100,'Data shares'!$C:$FB,69)*100</f>
        <v>-33.239999999999995</v>
      </c>
      <c r="G100" s="49">
        <f>VLOOKUP($A100,'Data shares'!$C:$FB,42)</f>
        <v>1128150</v>
      </c>
      <c r="H100" s="49">
        <f>VLOOKUP($A100,'Data shares'!$C:$FB,43)</f>
        <v>1986600</v>
      </c>
      <c r="I100" s="50">
        <f>VLOOKUP($A100,'Data shares'!$C:$FB,45)*100</f>
        <v>-43.21</v>
      </c>
      <c r="J100" s="49">
        <f>VLOOKUP($A100,'Data shares'!$C:$FB,58)</f>
        <v>8553900</v>
      </c>
      <c r="K100" s="49">
        <f>VLOOKUP($A100,'Data shares'!$C:$FB,59)</f>
        <v>12705600</v>
      </c>
      <c r="L100" s="50">
        <f>VLOOKUP($A100,'Data shares'!$C:$FB,61)*100</f>
        <v>-32.68</v>
      </c>
      <c r="M100" s="49">
        <f>VLOOKUP($A100,'Data shares'!$C:$FB,62)</f>
        <v>4325250</v>
      </c>
      <c r="N100" s="49">
        <f>VLOOKUP($A100,'Data shares'!$C:$FB,63)</f>
        <v>6288750</v>
      </c>
      <c r="O100" s="140">
        <f>VLOOKUP($A100,'Data shares'!$C:$FB,65)*100</f>
        <v>-31.22</v>
      </c>
    </row>
    <row r="101" spans="1:15" x14ac:dyDescent="0.25">
      <c r="A101" s="101" t="str">
        <f>'Data shares'!C96</f>
        <v>INDUSINDBK</v>
      </c>
      <c r="B101" s="50">
        <f>VLOOKUP($A101,'Data shares'!$C:$FB,7)</f>
        <v>833.85</v>
      </c>
      <c r="C101" s="50">
        <f>VLOOKUP($A101,'Data shares'!$C:$FB,10)*100</f>
        <v>-1.3299999999999998</v>
      </c>
      <c r="D101" s="49">
        <f>VLOOKUP($A101,'Data shares'!$C:$FB,66)</f>
        <v>40085500</v>
      </c>
      <c r="E101" s="49">
        <f>VLOOKUP($A101,'Data shares'!$C:$FB,67)</f>
        <v>19453000</v>
      </c>
      <c r="F101" s="50">
        <f>VLOOKUP($A101,'Data shares'!$C:$FB,69)*100</f>
        <v>106.06</v>
      </c>
      <c r="G101" s="49">
        <f>VLOOKUP($A101,'Data shares'!$C:$FB,42)</f>
        <v>7035700</v>
      </c>
      <c r="H101" s="49">
        <f>VLOOKUP($A101,'Data shares'!$C:$FB,43)</f>
        <v>4316200</v>
      </c>
      <c r="I101" s="50">
        <f>VLOOKUP($A101,'Data shares'!$C:$FB,45)*100</f>
        <v>63.01</v>
      </c>
      <c r="J101" s="49">
        <f>VLOOKUP($A101,'Data shares'!$C:$FB,58)</f>
        <v>17574900</v>
      </c>
      <c r="K101" s="49">
        <f>VLOOKUP($A101,'Data shares'!$C:$FB,59)</f>
        <v>10781400</v>
      </c>
      <c r="L101" s="50">
        <f>VLOOKUP($A101,'Data shares'!$C:$FB,61)*100</f>
        <v>63.01</v>
      </c>
      <c r="M101" s="49">
        <f>VLOOKUP($A101,'Data shares'!$C:$FB,62)</f>
        <v>15474900</v>
      </c>
      <c r="N101" s="49">
        <f>VLOOKUP($A101,'Data shares'!$C:$FB,63)</f>
        <v>4355400</v>
      </c>
      <c r="O101" s="140">
        <f>VLOOKUP($A101,'Data shares'!$C:$FB,65)*100</f>
        <v>255.29999999999998</v>
      </c>
    </row>
    <row r="102" spans="1:15" x14ac:dyDescent="0.25">
      <c r="A102" s="101" t="str">
        <f>'Data shares'!C97</f>
        <v>INDUSTOWER</v>
      </c>
      <c r="B102" s="50">
        <f>VLOOKUP($A102,'Data shares'!$C:$FB,7)</f>
        <v>407.2</v>
      </c>
      <c r="C102" s="50">
        <f>VLOOKUP($A102,'Data shares'!$C:$FB,10)*100</f>
        <v>-0.22999999999999998</v>
      </c>
      <c r="D102" s="49">
        <f>VLOOKUP($A102,'Data shares'!$C:$FB,66)</f>
        <v>27801800</v>
      </c>
      <c r="E102" s="49">
        <f>VLOOKUP($A102,'Data shares'!$C:$FB,67)</f>
        <v>34282200</v>
      </c>
      <c r="F102" s="50">
        <f>VLOOKUP($A102,'Data shares'!$C:$FB,69)*100</f>
        <v>-18.899999999999999</v>
      </c>
      <c r="G102" s="49">
        <f>VLOOKUP($A102,'Data shares'!$C:$FB,42)</f>
        <v>5943200</v>
      </c>
      <c r="H102" s="49">
        <f>VLOOKUP($A102,'Data shares'!$C:$FB,43)</f>
        <v>7605800</v>
      </c>
      <c r="I102" s="50">
        <f>VLOOKUP($A102,'Data shares'!$C:$FB,45)*100</f>
        <v>-21.86</v>
      </c>
      <c r="J102" s="49">
        <f>VLOOKUP($A102,'Data shares'!$C:$FB,58)</f>
        <v>17535500</v>
      </c>
      <c r="K102" s="49">
        <f>VLOOKUP($A102,'Data shares'!$C:$FB,59)</f>
        <v>19539800</v>
      </c>
      <c r="L102" s="50">
        <f>VLOOKUP($A102,'Data shares'!$C:$FB,61)*100</f>
        <v>-10.26</v>
      </c>
      <c r="M102" s="49">
        <f>VLOOKUP($A102,'Data shares'!$C:$FB,62)</f>
        <v>4323100</v>
      </c>
      <c r="N102" s="49">
        <f>VLOOKUP($A102,'Data shares'!$C:$FB,63)</f>
        <v>7136600</v>
      </c>
      <c r="O102" s="140">
        <f>VLOOKUP($A102,'Data shares'!$C:$FB,65)*100</f>
        <v>-39.42</v>
      </c>
    </row>
    <row r="103" spans="1:15" x14ac:dyDescent="0.25">
      <c r="A103" s="101" t="str">
        <f>'Data shares'!C98</f>
        <v>INFY</v>
      </c>
      <c r="B103" s="50">
        <f>VLOOKUP($A103,'Data shares'!$C:$FB,7)</f>
        <v>1602</v>
      </c>
      <c r="C103" s="50">
        <f>VLOOKUP($A103,'Data shares'!$C:$FB,10)*100</f>
        <v>0.57000000000000006</v>
      </c>
      <c r="D103" s="49">
        <f>VLOOKUP($A103,'Data shares'!$C:$FB,66)</f>
        <v>43017200</v>
      </c>
      <c r="E103" s="49">
        <f>VLOOKUP($A103,'Data shares'!$C:$FB,67)</f>
        <v>45612400</v>
      </c>
      <c r="F103" s="50">
        <f>VLOOKUP($A103,'Data shares'!$C:$FB,69)*100</f>
        <v>-5.6899999999999995</v>
      </c>
      <c r="G103" s="49">
        <f>VLOOKUP($A103,'Data shares'!$C:$FB,42)</f>
        <v>9063600</v>
      </c>
      <c r="H103" s="49">
        <f>VLOOKUP($A103,'Data shares'!$C:$FB,43)</f>
        <v>11102000</v>
      </c>
      <c r="I103" s="50">
        <f>VLOOKUP($A103,'Data shares'!$C:$FB,45)*100</f>
        <v>-18.360000000000003</v>
      </c>
      <c r="J103" s="49">
        <f>VLOOKUP($A103,'Data shares'!$C:$FB,58)</f>
        <v>22052400</v>
      </c>
      <c r="K103" s="49">
        <f>VLOOKUP($A103,'Data shares'!$C:$FB,59)</f>
        <v>21366400</v>
      </c>
      <c r="L103" s="50">
        <f>VLOOKUP($A103,'Data shares'!$C:$FB,61)*100</f>
        <v>3.2099999999999995</v>
      </c>
      <c r="M103" s="49">
        <f>VLOOKUP($A103,'Data shares'!$C:$FB,62)</f>
        <v>11901200</v>
      </c>
      <c r="N103" s="49">
        <f>VLOOKUP($A103,'Data shares'!$C:$FB,63)</f>
        <v>13144000</v>
      </c>
      <c r="O103" s="140">
        <f>VLOOKUP($A103,'Data shares'!$C:$FB,65)*100</f>
        <v>-9.4600000000000009</v>
      </c>
    </row>
    <row r="104" spans="1:15" x14ac:dyDescent="0.25">
      <c r="A104" s="101" t="str">
        <f>'Data shares'!C99</f>
        <v>INOXWIND</v>
      </c>
      <c r="B104" s="50">
        <f>VLOOKUP($A104,'Data shares'!$C:$FB,7)</f>
        <v>126.04</v>
      </c>
      <c r="C104" s="50">
        <f>VLOOKUP($A104,'Data shares'!$C:$FB,10)*100</f>
        <v>-0.69</v>
      </c>
      <c r="D104" s="49">
        <f>VLOOKUP($A104,'Data shares'!$C:$FB,66)</f>
        <v>23807072</v>
      </c>
      <c r="E104" s="49">
        <f>VLOOKUP($A104,'Data shares'!$C:$FB,67)</f>
        <v>31905272</v>
      </c>
      <c r="F104" s="50">
        <f>VLOOKUP($A104,'Data shares'!$C:$FB,69)*100</f>
        <v>-25.380000000000003</v>
      </c>
      <c r="G104" s="49">
        <f>VLOOKUP($A104,'Data shares'!$C:$FB,42)</f>
        <v>7499424</v>
      </c>
      <c r="H104" s="49">
        <f>VLOOKUP($A104,'Data shares'!$C:$FB,43)</f>
        <v>8386136</v>
      </c>
      <c r="I104" s="50">
        <f>VLOOKUP($A104,'Data shares'!$C:$FB,45)*100</f>
        <v>-10.57</v>
      </c>
      <c r="J104" s="49">
        <f>VLOOKUP($A104,'Data shares'!$C:$FB,58)</f>
        <v>10215184</v>
      </c>
      <c r="K104" s="49">
        <f>VLOOKUP($A104,'Data shares'!$C:$FB,59)</f>
        <v>15676152</v>
      </c>
      <c r="L104" s="50">
        <f>VLOOKUP($A104,'Data shares'!$C:$FB,61)*100</f>
        <v>-34.839999999999996</v>
      </c>
      <c r="M104" s="49">
        <f>VLOOKUP($A104,'Data shares'!$C:$FB,62)</f>
        <v>6092464</v>
      </c>
      <c r="N104" s="49">
        <f>VLOOKUP($A104,'Data shares'!$C:$FB,63)</f>
        <v>7842984</v>
      </c>
      <c r="O104" s="140">
        <f>VLOOKUP($A104,'Data shares'!$C:$FB,65)*100</f>
        <v>-22.32</v>
      </c>
    </row>
    <row r="105" spans="1:15" x14ac:dyDescent="0.25">
      <c r="A105" s="101" t="str">
        <f>'Data shares'!C100</f>
        <v>IOC</v>
      </c>
      <c r="B105" s="50">
        <f>VLOOKUP($A105,'Data shares'!$C:$FB,7)</f>
        <v>168.16</v>
      </c>
      <c r="C105" s="50">
        <f>VLOOKUP($A105,'Data shares'!$C:$FB,10)*100</f>
        <v>0.25</v>
      </c>
      <c r="D105" s="49">
        <f>VLOOKUP($A105,'Data shares'!$C:$FB,66)</f>
        <v>170483625</v>
      </c>
      <c r="E105" s="49">
        <f>VLOOKUP($A105,'Data shares'!$C:$FB,67)</f>
        <v>216328125</v>
      </c>
      <c r="F105" s="50">
        <f>VLOOKUP($A105,'Data shares'!$C:$FB,69)*100</f>
        <v>-21.19</v>
      </c>
      <c r="G105" s="49">
        <f>VLOOKUP($A105,'Data shares'!$C:$FB,42)</f>
        <v>19305000</v>
      </c>
      <c r="H105" s="49">
        <f>VLOOKUP($A105,'Data shares'!$C:$FB,43)</f>
        <v>28031250</v>
      </c>
      <c r="I105" s="50">
        <f>VLOOKUP($A105,'Data shares'!$C:$FB,45)*100</f>
        <v>-31.130000000000003</v>
      </c>
      <c r="J105" s="49">
        <f>VLOOKUP($A105,'Data shares'!$C:$FB,58)</f>
        <v>95706000</v>
      </c>
      <c r="K105" s="49">
        <f>VLOOKUP($A105,'Data shares'!$C:$FB,59)</f>
        <v>126101625</v>
      </c>
      <c r="L105" s="50">
        <f>VLOOKUP($A105,'Data shares'!$C:$FB,61)*100</f>
        <v>-24.099999999999998</v>
      </c>
      <c r="M105" s="49">
        <f>VLOOKUP($A105,'Data shares'!$C:$FB,62)</f>
        <v>55472625</v>
      </c>
      <c r="N105" s="49">
        <f>VLOOKUP($A105,'Data shares'!$C:$FB,63)</f>
        <v>62195250</v>
      </c>
      <c r="O105" s="140">
        <f>VLOOKUP($A105,'Data shares'!$C:$FB,65)*100</f>
        <v>-10.81</v>
      </c>
    </row>
    <row r="106" spans="1:15" x14ac:dyDescent="0.25">
      <c r="A106" s="101" t="str">
        <f>'Data shares'!C101</f>
        <v>IRCTC</v>
      </c>
      <c r="B106" s="50">
        <f>VLOOKUP($A106,'Data shares'!$C:$FB,7)</f>
        <v>666.1</v>
      </c>
      <c r="C106" s="50">
        <f>VLOOKUP($A106,'Data shares'!$C:$FB,10)*100</f>
        <v>-0.74</v>
      </c>
      <c r="D106" s="49">
        <f>VLOOKUP($A106,'Data shares'!$C:$FB,66)</f>
        <v>10350375</v>
      </c>
      <c r="E106" s="49">
        <f>VLOOKUP($A106,'Data shares'!$C:$FB,67)</f>
        <v>6327125</v>
      </c>
      <c r="F106" s="50">
        <f>VLOOKUP($A106,'Data shares'!$C:$FB,69)*100</f>
        <v>63.59</v>
      </c>
      <c r="G106" s="49">
        <f>VLOOKUP($A106,'Data shares'!$C:$FB,42)</f>
        <v>1570625</v>
      </c>
      <c r="H106" s="49">
        <f>VLOOKUP($A106,'Data shares'!$C:$FB,43)</f>
        <v>1440250</v>
      </c>
      <c r="I106" s="50">
        <f>VLOOKUP($A106,'Data shares'!$C:$FB,45)*100</f>
        <v>9.0499999999999989</v>
      </c>
      <c r="J106" s="49">
        <f>VLOOKUP($A106,'Data shares'!$C:$FB,58)</f>
        <v>5396125</v>
      </c>
      <c r="K106" s="49">
        <f>VLOOKUP($A106,'Data shares'!$C:$FB,59)</f>
        <v>3550750</v>
      </c>
      <c r="L106" s="50">
        <f>VLOOKUP($A106,'Data shares'!$C:$FB,61)*100</f>
        <v>51.970000000000006</v>
      </c>
      <c r="M106" s="49">
        <f>VLOOKUP($A106,'Data shares'!$C:$FB,62)</f>
        <v>3383625</v>
      </c>
      <c r="N106" s="49">
        <f>VLOOKUP($A106,'Data shares'!$C:$FB,63)</f>
        <v>1336125</v>
      </c>
      <c r="O106" s="140">
        <f>VLOOKUP($A106,'Data shares'!$C:$FB,65)*100</f>
        <v>153.24</v>
      </c>
    </row>
    <row r="107" spans="1:15" x14ac:dyDescent="0.25">
      <c r="A107" s="101" t="str">
        <f>'Data shares'!C102</f>
        <v>IREDA</v>
      </c>
      <c r="B107" s="50">
        <f>VLOOKUP($A107,'Data shares'!$C:$FB,7)</f>
        <v>131.43</v>
      </c>
      <c r="C107" s="50">
        <f>VLOOKUP($A107,'Data shares'!$C:$FB,10)*100</f>
        <v>-1.82</v>
      </c>
      <c r="D107" s="49">
        <f>VLOOKUP($A107,'Data shares'!$C:$FB,66)</f>
        <v>29266350</v>
      </c>
      <c r="E107" s="49">
        <f>VLOOKUP($A107,'Data shares'!$C:$FB,67)</f>
        <v>19999650</v>
      </c>
      <c r="F107" s="50">
        <f>VLOOKUP($A107,'Data shares'!$C:$FB,69)*100</f>
        <v>46.33</v>
      </c>
      <c r="G107" s="49">
        <f>VLOOKUP($A107,'Data shares'!$C:$FB,42)</f>
        <v>10522500</v>
      </c>
      <c r="H107" s="49">
        <f>VLOOKUP($A107,'Data shares'!$C:$FB,43)</f>
        <v>6430800</v>
      </c>
      <c r="I107" s="50">
        <f>VLOOKUP($A107,'Data shares'!$C:$FB,45)*100</f>
        <v>63.629999999999995</v>
      </c>
      <c r="J107" s="49">
        <f>VLOOKUP($A107,'Data shares'!$C:$FB,58)</f>
        <v>14169150</v>
      </c>
      <c r="K107" s="49">
        <f>VLOOKUP($A107,'Data shares'!$C:$FB,59)</f>
        <v>10864050</v>
      </c>
      <c r="L107" s="50">
        <f>VLOOKUP($A107,'Data shares'!$C:$FB,61)*100</f>
        <v>30.42</v>
      </c>
      <c r="M107" s="49">
        <f>VLOOKUP($A107,'Data shares'!$C:$FB,62)</f>
        <v>4574700</v>
      </c>
      <c r="N107" s="49">
        <f>VLOOKUP($A107,'Data shares'!$C:$FB,63)</f>
        <v>2704800</v>
      </c>
      <c r="O107" s="140">
        <f>VLOOKUP($A107,'Data shares'!$C:$FB,65)*100</f>
        <v>69.13</v>
      </c>
    </row>
    <row r="108" spans="1:15" x14ac:dyDescent="0.25">
      <c r="A108" s="101" t="str">
        <f>'Data shares'!C103</f>
        <v>IRFC</v>
      </c>
      <c r="B108" s="50">
        <f>VLOOKUP($A108,'Data shares'!$C:$FB,7)</f>
        <v>111.08</v>
      </c>
      <c r="C108" s="50">
        <f>VLOOKUP($A108,'Data shares'!$C:$FB,10)*100</f>
        <v>-0.83</v>
      </c>
      <c r="D108" s="49">
        <f>VLOOKUP($A108,'Data shares'!$C:$FB,66)</f>
        <v>36435250</v>
      </c>
      <c r="E108" s="49">
        <f>VLOOKUP($A108,'Data shares'!$C:$FB,67)</f>
        <v>24433250</v>
      </c>
      <c r="F108" s="50">
        <f>VLOOKUP($A108,'Data shares'!$C:$FB,69)*100</f>
        <v>49.120000000000005</v>
      </c>
      <c r="G108" s="49">
        <f>VLOOKUP($A108,'Data shares'!$C:$FB,42)</f>
        <v>5393250</v>
      </c>
      <c r="H108" s="49">
        <f>VLOOKUP($A108,'Data shares'!$C:$FB,43)</f>
        <v>4900250</v>
      </c>
      <c r="I108" s="50">
        <f>VLOOKUP($A108,'Data shares'!$C:$FB,45)*100</f>
        <v>10.059999999999999</v>
      </c>
      <c r="J108" s="49">
        <f>VLOOKUP($A108,'Data shares'!$C:$FB,58)</f>
        <v>21874750</v>
      </c>
      <c r="K108" s="49">
        <f>VLOOKUP($A108,'Data shares'!$C:$FB,59)</f>
        <v>13400250</v>
      </c>
      <c r="L108" s="50">
        <f>VLOOKUP($A108,'Data shares'!$C:$FB,61)*100</f>
        <v>63.239999999999995</v>
      </c>
      <c r="M108" s="49">
        <f>VLOOKUP($A108,'Data shares'!$C:$FB,62)</f>
        <v>9167250</v>
      </c>
      <c r="N108" s="49">
        <f>VLOOKUP($A108,'Data shares'!$C:$FB,63)</f>
        <v>6132750</v>
      </c>
      <c r="O108" s="140">
        <f>VLOOKUP($A108,'Data shares'!$C:$FB,65)*100</f>
        <v>49.480000000000004</v>
      </c>
    </row>
    <row r="109" spans="1:15" x14ac:dyDescent="0.25">
      <c r="A109" s="101" t="str">
        <f>'Data shares'!C104</f>
        <v>ITC</v>
      </c>
      <c r="B109" s="50">
        <f>VLOOKUP($A109,'Data shares'!$C:$FB,7)</f>
        <v>399.8</v>
      </c>
      <c r="C109" s="50">
        <f>VLOOKUP($A109,'Data shares'!$C:$FB,10)*100</f>
        <v>-0.47000000000000003</v>
      </c>
      <c r="D109" s="49">
        <f>VLOOKUP($A109,'Data shares'!$C:$FB,66)</f>
        <v>72676800</v>
      </c>
      <c r="E109" s="49">
        <f>VLOOKUP($A109,'Data shares'!$C:$FB,67)</f>
        <v>109088000</v>
      </c>
      <c r="F109" s="50">
        <f>VLOOKUP($A109,'Data shares'!$C:$FB,69)*100</f>
        <v>-33.379999999999995</v>
      </c>
      <c r="G109" s="49">
        <f>VLOOKUP($A109,'Data shares'!$C:$FB,42)</f>
        <v>13742400</v>
      </c>
      <c r="H109" s="49">
        <f>VLOOKUP($A109,'Data shares'!$C:$FB,43)</f>
        <v>17641600</v>
      </c>
      <c r="I109" s="50">
        <f>VLOOKUP($A109,'Data shares'!$C:$FB,45)*100</f>
        <v>-22.1</v>
      </c>
      <c r="J109" s="49">
        <f>VLOOKUP($A109,'Data shares'!$C:$FB,58)</f>
        <v>39790400</v>
      </c>
      <c r="K109" s="49">
        <f>VLOOKUP($A109,'Data shares'!$C:$FB,59)</f>
        <v>56784000</v>
      </c>
      <c r="L109" s="50">
        <f>VLOOKUP($A109,'Data shares'!$C:$FB,61)*100</f>
        <v>-29.93</v>
      </c>
      <c r="M109" s="49">
        <f>VLOOKUP($A109,'Data shares'!$C:$FB,62)</f>
        <v>19144000</v>
      </c>
      <c r="N109" s="49">
        <f>VLOOKUP($A109,'Data shares'!$C:$FB,63)</f>
        <v>34662400</v>
      </c>
      <c r="O109" s="140">
        <f>VLOOKUP($A109,'Data shares'!$C:$FB,65)*100</f>
        <v>-44.769999999999996</v>
      </c>
    </row>
    <row r="110" spans="1:15" x14ac:dyDescent="0.25">
      <c r="A110" s="101" t="str">
        <f>'Data shares'!C105</f>
        <v>JINDALSTEL</v>
      </c>
      <c r="B110" s="50">
        <f>VLOOKUP($A110,'Data shares'!$C:$FB,7)</f>
        <v>1001.5</v>
      </c>
      <c r="C110" s="50">
        <f>VLOOKUP($A110,'Data shares'!$C:$FB,10)*100</f>
        <v>-0.96</v>
      </c>
      <c r="D110" s="49">
        <f>VLOOKUP($A110,'Data shares'!$C:$FB,66)</f>
        <v>8147500</v>
      </c>
      <c r="E110" s="49">
        <f>VLOOKUP($A110,'Data shares'!$C:$FB,67)</f>
        <v>8810625</v>
      </c>
      <c r="F110" s="50">
        <f>VLOOKUP($A110,'Data shares'!$C:$FB,69)*100</f>
        <v>-7.53</v>
      </c>
      <c r="G110" s="49">
        <f>VLOOKUP($A110,'Data shares'!$C:$FB,42)</f>
        <v>1740000</v>
      </c>
      <c r="H110" s="49">
        <f>VLOOKUP($A110,'Data shares'!$C:$FB,43)</f>
        <v>1951250</v>
      </c>
      <c r="I110" s="50">
        <f>VLOOKUP($A110,'Data shares'!$C:$FB,45)*100</f>
        <v>-10.83</v>
      </c>
      <c r="J110" s="49">
        <f>VLOOKUP($A110,'Data shares'!$C:$FB,58)</f>
        <v>4140625</v>
      </c>
      <c r="K110" s="49">
        <f>VLOOKUP($A110,'Data shares'!$C:$FB,59)</f>
        <v>3748750</v>
      </c>
      <c r="L110" s="50">
        <f>VLOOKUP($A110,'Data shares'!$C:$FB,61)*100</f>
        <v>10.45</v>
      </c>
      <c r="M110" s="49">
        <f>VLOOKUP($A110,'Data shares'!$C:$FB,62)</f>
        <v>2266875</v>
      </c>
      <c r="N110" s="49">
        <f>VLOOKUP($A110,'Data shares'!$C:$FB,63)</f>
        <v>3110625</v>
      </c>
      <c r="O110" s="140">
        <f>VLOOKUP($A110,'Data shares'!$C:$FB,65)*100</f>
        <v>-27.12</v>
      </c>
    </row>
    <row r="111" spans="1:15" x14ac:dyDescent="0.25">
      <c r="A111" s="101" t="str">
        <f>'Data shares'!C106</f>
        <v>JIOFIN</v>
      </c>
      <c r="B111" s="50">
        <f>VLOOKUP($A111,'Data shares'!$C:$FB,7)</f>
        <v>293.14999999999998</v>
      </c>
      <c r="C111" s="50">
        <f>VLOOKUP($A111,'Data shares'!$C:$FB,10)*100</f>
        <v>-0.71000000000000008</v>
      </c>
      <c r="D111" s="49">
        <f>VLOOKUP($A111,'Data shares'!$C:$FB,66)</f>
        <v>59607750</v>
      </c>
      <c r="E111" s="49">
        <f>VLOOKUP($A111,'Data shares'!$C:$FB,67)</f>
        <v>60152950</v>
      </c>
      <c r="F111" s="50">
        <f>VLOOKUP($A111,'Data shares'!$C:$FB,69)*100</f>
        <v>-0.91</v>
      </c>
      <c r="G111" s="49">
        <f>VLOOKUP($A111,'Data shares'!$C:$FB,42)</f>
        <v>9244900</v>
      </c>
      <c r="H111" s="49">
        <f>VLOOKUP($A111,'Data shares'!$C:$FB,43)</f>
        <v>13481950</v>
      </c>
      <c r="I111" s="50">
        <f>VLOOKUP($A111,'Data shares'!$C:$FB,45)*100</f>
        <v>-31.430000000000003</v>
      </c>
      <c r="J111" s="49">
        <f>VLOOKUP($A111,'Data shares'!$C:$FB,58)</f>
        <v>37153500</v>
      </c>
      <c r="K111" s="49">
        <f>VLOOKUP($A111,'Data shares'!$C:$FB,59)</f>
        <v>32782500</v>
      </c>
      <c r="L111" s="50">
        <f>VLOOKUP($A111,'Data shares'!$C:$FB,61)*100</f>
        <v>13.33</v>
      </c>
      <c r="M111" s="49">
        <f>VLOOKUP($A111,'Data shares'!$C:$FB,62)</f>
        <v>13209350</v>
      </c>
      <c r="N111" s="49">
        <f>VLOOKUP($A111,'Data shares'!$C:$FB,63)</f>
        <v>13888500</v>
      </c>
      <c r="O111" s="140">
        <f>VLOOKUP($A111,'Data shares'!$C:$FB,65)*100</f>
        <v>-4.8899999999999997</v>
      </c>
    </row>
    <row r="112" spans="1:15" x14ac:dyDescent="0.25">
      <c r="A112" s="101" t="str">
        <f>'Data shares'!C107</f>
        <v>JSWENERGY</v>
      </c>
      <c r="B112" s="50">
        <f>VLOOKUP($A112,'Data shares'!$C:$FB,7)</f>
        <v>475.25</v>
      </c>
      <c r="C112" s="50">
        <f>VLOOKUP($A112,'Data shares'!$C:$FB,10)*100</f>
        <v>-0.67999999999999994</v>
      </c>
      <c r="D112" s="49">
        <f>VLOOKUP($A112,'Data shares'!$C:$FB,66)</f>
        <v>19059000</v>
      </c>
      <c r="E112" s="49">
        <f>VLOOKUP($A112,'Data shares'!$C:$FB,67)</f>
        <v>28837000</v>
      </c>
      <c r="F112" s="50">
        <f>VLOOKUP($A112,'Data shares'!$C:$FB,69)*100</f>
        <v>-33.910000000000004</v>
      </c>
      <c r="G112" s="49">
        <f>VLOOKUP($A112,'Data shares'!$C:$FB,42)</f>
        <v>3439000</v>
      </c>
      <c r="H112" s="49">
        <f>VLOOKUP($A112,'Data shares'!$C:$FB,43)</f>
        <v>4117000</v>
      </c>
      <c r="I112" s="50">
        <f>VLOOKUP($A112,'Data shares'!$C:$FB,45)*100</f>
        <v>-16.470000000000002</v>
      </c>
      <c r="J112" s="49">
        <f>VLOOKUP($A112,'Data shares'!$C:$FB,58)</f>
        <v>9747000</v>
      </c>
      <c r="K112" s="49">
        <f>VLOOKUP($A112,'Data shares'!$C:$FB,59)</f>
        <v>14080000</v>
      </c>
      <c r="L112" s="50">
        <f>VLOOKUP($A112,'Data shares'!$C:$FB,61)*100</f>
        <v>-30.769999999999996</v>
      </c>
      <c r="M112" s="49">
        <f>VLOOKUP($A112,'Data shares'!$C:$FB,62)</f>
        <v>5873000</v>
      </c>
      <c r="N112" s="49">
        <f>VLOOKUP($A112,'Data shares'!$C:$FB,63)</f>
        <v>10640000</v>
      </c>
      <c r="O112" s="140">
        <f>VLOOKUP($A112,'Data shares'!$C:$FB,65)*100</f>
        <v>-44.800000000000004</v>
      </c>
    </row>
    <row r="113" spans="1:15" x14ac:dyDescent="0.25">
      <c r="A113" s="101" t="str">
        <f>'Data shares'!C108</f>
        <v>JSWSTEEL</v>
      </c>
      <c r="B113" s="50">
        <f>VLOOKUP($A113,'Data shares'!$C:$FB,7)</f>
        <v>1079.3</v>
      </c>
      <c r="C113" s="50">
        <f>VLOOKUP($A113,'Data shares'!$C:$FB,10)*100</f>
        <v>-0.3</v>
      </c>
      <c r="D113" s="49">
        <f>VLOOKUP($A113,'Data shares'!$C:$FB,66)</f>
        <v>22331025</v>
      </c>
      <c r="E113" s="49">
        <f>VLOOKUP($A113,'Data shares'!$C:$FB,67)</f>
        <v>37509075</v>
      </c>
      <c r="F113" s="50">
        <f>VLOOKUP($A113,'Data shares'!$C:$FB,69)*100</f>
        <v>-40.47</v>
      </c>
      <c r="G113" s="49">
        <f>VLOOKUP($A113,'Data shares'!$C:$FB,42)</f>
        <v>3385125</v>
      </c>
      <c r="H113" s="49">
        <f>VLOOKUP($A113,'Data shares'!$C:$FB,43)</f>
        <v>6009525</v>
      </c>
      <c r="I113" s="50">
        <f>VLOOKUP($A113,'Data shares'!$C:$FB,45)*100</f>
        <v>-43.669999999999995</v>
      </c>
      <c r="J113" s="49">
        <f>VLOOKUP($A113,'Data shares'!$C:$FB,58)</f>
        <v>13807800</v>
      </c>
      <c r="K113" s="49">
        <f>VLOOKUP($A113,'Data shares'!$C:$FB,59)</f>
        <v>20394450</v>
      </c>
      <c r="L113" s="50">
        <f>VLOOKUP($A113,'Data shares'!$C:$FB,61)*100</f>
        <v>-32.300000000000004</v>
      </c>
      <c r="M113" s="49">
        <f>VLOOKUP($A113,'Data shares'!$C:$FB,62)</f>
        <v>5138100</v>
      </c>
      <c r="N113" s="49">
        <f>VLOOKUP($A113,'Data shares'!$C:$FB,63)</f>
        <v>11105100</v>
      </c>
      <c r="O113" s="140">
        <f>VLOOKUP($A113,'Data shares'!$C:$FB,65)*100</f>
        <v>-53.73</v>
      </c>
    </row>
    <row r="114" spans="1:15" x14ac:dyDescent="0.25">
      <c r="A114" s="101" t="str">
        <f>'Data shares'!C109</f>
        <v>JUBLFOOD</v>
      </c>
      <c r="B114" s="50">
        <f>VLOOKUP($A114,'Data shares'!$C:$FB,7)</f>
        <v>554.04999999999995</v>
      </c>
      <c r="C114" s="50">
        <f>VLOOKUP($A114,'Data shares'!$C:$FB,10)*100</f>
        <v>-1.0999999999999999</v>
      </c>
      <c r="D114" s="49">
        <f>VLOOKUP($A114,'Data shares'!$C:$FB,66)</f>
        <v>27065000</v>
      </c>
      <c r="E114" s="49">
        <f>VLOOKUP($A114,'Data shares'!$C:$FB,67)</f>
        <v>38727500</v>
      </c>
      <c r="F114" s="50">
        <f>VLOOKUP($A114,'Data shares'!$C:$FB,69)*100</f>
        <v>-30.11</v>
      </c>
      <c r="G114" s="49">
        <f>VLOOKUP($A114,'Data shares'!$C:$FB,42)</f>
        <v>4928750</v>
      </c>
      <c r="H114" s="49">
        <f>VLOOKUP($A114,'Data shares'!$C:$FB,43)</f>
        <v>8292500</v>
      </c>
      <c r="I114" s="50">
        <f>VLOOKUP($A114,'Data shares'!$C:$FB,45)*100</f>
        <v>-40.56</v>
      </c>
      <c r="J114" s="49">
        <f>VLOOKUP($A114,'Data shares'!$C:$FB,58)</f>
        <v>13562500</v>
      </c>
      <c r="K114" s="49">
        <f>VLOOKUP($A114,'Data shares'!$C:$FB,59)</f>
        <v>18373750</v>
      </c>
      <c r="L114" s="50">
        <f>VLOOKUP($A114,'Data shares'!$C:$FB,61)*100</f>
        <v>-26.19</v>
      </c>
      <c r="M114" s="49">
        <f>VLOOKUP($A114,'Data shares'!$C:$FB,62)</f>
        <v>8573750</v>
      </c>
      <c r="N114" s="49">
        <f>VLOOKUP($A114,'Data shares'!$C:$FB,63)</f>
        <v>12061250</v>
      </c>
      <c r="O114" s="140">
        <f>VLOOKUP($A114,'Data shares'!$C:$FB,65)*100</f>
        <v>-28.910000000000004</v>
      </c>
    </row>
    <row r="115" spans="1:15" x14ac:dyDescent="0.25">
      <c r="A115" s="101" t="str">
        <f>'Data shares'!C110</f>
        <v>KALYANKJIL</v>
      </c>
      <c r="B115" s="50">
        <f>VLOOKUP($A115,'Data shares'!$C:$FB,7)</f>
        <v>474.85</v>
      </c>
      <c r="C115" s="50">
        <f>VLOOKUP($A115,'Data shares'!$C:$FB,10)*100</f>
        <v>-0.89</v>
      </c>
      <c r="D115" s="49">
        <f>VLOOKUP($A115,'Data shares'!$C:$FB,66)</f>
        <v>19448600</v>
      </c>
      <c r="E115" s="49">
        <f>VLOOKUP($A115,'Data shares'!$C:$FB,67)</f>
        <v>10423425</v>
      </c>
      <c r="F115" s="50">
        <f>VLOOKUP($A115,'Data shares'!$C:$FB,69)*100</f>
        <v>86.59</v>
      </c>
      <c r="G115" s="49">
        <f>VLOOKUP($A115,'Data shares'!$C:$FB,42)</f>
        <v>3983250</v>
      </c>
      <c r="H115" s="49">
        <f>VLOOKUP($A115,'Data shares'!$C:$FB,43)</f>
        <v>2735400</v>
      </c>
      <c r="I115" s="50">
        <f>VLOOKUP($A115,'Data shares'!$C:$FB,45)*100</f>
        <v>45.62</v>
      </c>
      <c r="J115" s="49">
        <f>VLOOKUP($A115,'Data shares'!$C:$FB,58)</f>
        <v>9995725</v>
      </c>
      <c r="K115" s="49">
        <f>VLOOKUP($A115,'Data shares'!$C:$FB,59)</f>
        <v>5884400</v>
      </c>
      <c r="L115" s="50">
        <f>VLOOKUP($A115,'Data shares'!$C:$FB,61)*100</f>
        <v>69.87</v>
      </c>
      <c r="M115" s="49">
        <f>VLOOKUP($A115,'Data shares'!$C:$FB,62)</f>
        <v>5469625</v>
      </c>
      <c r="N115" s="49">
        <f>VLOOKUP($A115,'Data shares'!$C:$FB,63)</f>
        <v>1803625</v>
      </c>
      <c r="O115" s="140">
        <f>VLOOKUP($A115,'Data shares'!$C:$FB,65)*100</f>
        <v>203.26</v>
      </c>
    </row>
    <row r="116" spans="1:15" x14ac:dyDescent="0.25">
      <c r="A116" s="101" t="str">
        <f>'Data shares'!C111</f>
        <v>KAYNES</v>
      </c>
      <c r="B116" s="50">
        <f>VLOOKUP($A116,'Data shares'!$C:$FB,7)</f>
        <v>4093.5</v>
      </c>
      <c r="C116" s="50">
        <f>VLOOKUP($A116,'Data shares'!$C:$FB,10)*100</f>
        <v>-2.2200000000000002</v>
      </c>
      <c r="D116" s="49">
        <f>VLOOKUP($A116,'Data shares'!$C:$FB,66)</f>
        <v>16644400</v>
      </c>
      <c r="E116" s="49">
        <f>VLOOKUP($A116,'Data shares'!$C:$FB,67)</f>
        <v>11990900</v>
      </c>
      <c r="F116" s="50">
        <f>VLOOKUP($A116,'Data shares'!$C:$FB,69)*100</f>
        <v>38.81</v>
      </c>
      <c r="G116" s="49">
        <f>VLOOKUP($A116,'Data shares'!$C:$FB,42)</f>
        <v>1303100</v>
      </c>
      <c r="H116" s="49">
        <f>VLOOKUP($A116,'Data shares'!$C:$FB,43)</f>
        <v>921600</v>
      </c>
      <c r="I116" s="50">
        <f>VLOOKUP($A116,'Data shares'!$C:$FB,45)*100</f>
        <v>41.4</v>
      </c>
      <c r="J116" s="49">
        <f>VLOOKUP($A116,'Data shares'!$C:$FB,58)</f>
        <v>10252000</v>
      </c>
      <c r="K116" s="49">
        <f>VLOOKUP($A116,'Data shares'!$C:$FB,59)</f>
        <v>7468000</v>
      </c>
      <c r="L116" s="50">
        <f>VLOOKUP($A116,'Data shares'!$C:$FB,61)*100</f>
        <v>37.28</v>
      </c>
      <c r="M116" s="49">
        <f>VLOOKUP($A116,'Data shares'!$C:$FB,62)</f>
        <v>5089300</v>
      </c>
      <c r="N116" s="49">
        <f>VLOOKUP($A116,'Data shares'!$C:$FB,63)</f>
        <v>3601300</v>
      </c>
      <c r="O116" s="140">
        <f>VLOOKUP($A116,'Data shares'!$C:$FB,65)*100</f>
        <v>41.32</v>
      </c>
    </row>
    <row r="117" spans="1:15" x14ac:dyDescent="0.25">
      <c r="A117" s="101" t="str">
        <f>'Data shares'!C112</f>
        <v>KEI</v>
      </c>
      <c r="B117" s="50">
        <f>VLOOKUP($A117,'Data shares'!$C:$FB,7)</f>
        <v>4106.6000000000004</v>
      </c>
      <c r="C117" s="50">
        <f>VLOOKUP($A117,'Data shares'!$C:$FB,10)*100</f>
        <v>-1.2</v>
      </c>
      <c r="D117" s="49">
        <f>VLOOKUP($A117,'Data shares'!$C:$FB,66)</f>
        <v>2246825</v>
      </c>
      <c r="E117" s="49">
        <f>VLOOKUP($A117,'Data shares'!$C:$FB,67)</f>
        <v>861175</v>
      </c>
      <c r="F117" s="50">
        <f>VLOOKUP($A117,'Data shares'!$C:$FB,69)*100</f>
        <v>160.9</v>
      </c>
      <c r="G117" s="49">
        <f>VLOOKUP($A117,'Data shares'!$C:$FB,42)</f>
        <v>367325</v>
      </c>
      <c r="H117" s="49">
        <f>VLOOKUP($A117,'Data shares'!$C:$FB,43)</f>
        <v>188300</v>
      </c>
      <c r="I117" s="50">
        <f>VLOOKUP($A117,'Data shares'!$C:$FB,45)*100</f>
        <v>95.07</v>
      </c>
      <c r="J117" s="49">
        <f>VLOOKUP($A117,'Data shares'!$C:$FB,58)</f>
        <v>704200</v>
      </c>
      <c r="K117" s="49">
        <f>VLOOKUP($A117,'Data shares'!$C:$FB,59)</f>
        <v>405825</v>
      </c>
      <c r="L117" s="50">
        <f>VLOOKUP($A117,'Data shares'!$C:$FB,61)*100</f>
        <v>73.52</v>
      </c>
      <c r="M117" s="49">
        <f>VLOOKUP($A117,'Data shares'!$C:$FB,62)</f>
        <v>1175300</v>
      </c>
      <c r="N117" s="49">
        <f>VLOOKUP($A117,'Data shares'!$C:$FB,63)</f>
        <v>267050</v>
      </c>
      <c r="O117" s="140">
        <f>VLOOKUP($A117,'Data shares'!$C:$FB,65)*100</f>
        <v>340.09999999999997</v>
      </c>
    </row>
    <row r="118" spans="1:15" x14ac:dyDescent="0.25">
      <c r="A118" s="101" t="str">
        <f>'Data shares'!C113</f>
        <v>KFINTECH</v>
      </c>
      <c r="B118" s="50">
        <f>VLOOKUP($A118,'Data shares'!$C:$FB,7)</f>
        <v>1031.3</v>
      </c>
      <c r="C118" s="50">
        <f>VLOOKUP($A118,'Data shares'!$C:$FB,10)*100</f>
        <v>-0.31</v>
      </c>
      <c r="D118" s="49">
        <f>VLOOKUP($A118,'Data shares'!$C:$FB,66)</f>
        <v>2422800</v>
      </c>
      <c r="E118" s="49">
        <f>VLOOKUP($A118,'Data shares'!$C:$FB,67)</f>
        <v>3429900</v>
      </c>
      <c r="F118" s="50">
        <f>VLOOKUP($A118,'Data shares'!$C:$FB,69)*100</f>
        <v>-29.360000000000003</v>
      </c>
      <c r="G118" s="49">
        <f>VLOOKUP($A118,'Data shares'!$C:$FB,42)</f>
        <v>616950</v>
      </c>
      <c r="H118" s="49">
        <f>VLOOKUP($A118,'Data shares'!$C:$FB,43)</f>
        <v>514350</v>
      </c>
      <c r="I118" s="50">
        <f>VLOOKUP($A118,'Data shares'!$C:$FB,45)*100</f>
        <v>19.950000000000003</v>
      </c>
      <c r="J118" s="49">
        <f>VLOOKUP($A118,'Data shares'!$C:$FB,58)</f>
        <v>1226700</v>
      </c>
      <c r="K118" s="49">
        <f>VLOOKUP($A118,'Data shares'!$C:$FB,59)</f>
        <v>1970550</v>
      </c>
      <c r="L118" s="50">
        <f>VLOOKUP($A118,'Data shares'!$C:$FB,61)*100</f>
        <v>-37.75</v>
      </c>
      <c r="M118" s="49">
        <f>VLOOKUP($A118,'Data shares'!$C:$FB,62)</f>
        <v>579150</v>
      </c>
      <c r="N118" s="49">
        <f>VLOOKUP($A118,'Data shares'!$C:$FB,63)</f>
        <v>945000</v>
      </c>
      <c r="O118" s="140">
        <f>VLOOKUP($A118,'Data shares'!$C:$FB,65)*100</f>
        <v>-38.71</v>
      </c>
    </row>
    <row r="119" spans="1:15" x14ac:dyDescent="0.25">
      <c r="A119" s="101" t="str">
        <f>'Data shares'!C114</f>
        <v>KOTAKBANK</v>
      </c>
      <c r="B119" s="50">
        <f>VLOOKUP($A119,'Data shares'!$C:$FB,7)</f>
        <v>2173.1999999999998</v>
      </c>
      <c r="C119" s="50">
        <f>VLOOKUP($A119,'Data shares'!$C:$FB,10)*100</f>
        <v>-0.42</v>
      </c>
      <c r="D119" s="49">
        <f>VLOOKUP($A119,'Data shares'!$C:$FB,66)</f>
        <v>16645200</v>
      </c>
      <c r="E119" s="49">
        <f>VLOOKUP($A119,'Data shares'!$C:$FB,67)</f>
        <v>22315600</v>
      </c>
      <c r="F119" s="50">
        <f>VLOOKUP($A119,'Data shares'!$C:$FB,69)*100</f>
        <v>-25.41</v>
      </c>
      <c r="G119" s="49">
        <f>VLOOKUP($A119,'Data shares'!$C:$FB,42)</f>
        <v>4447600</v>
      </c>
      <c r="H119" s="49">
        <f>VLOOKUP($A119,'Data shares'!$C:$FB,43)</f>
        <v>3452400</v>
      </c>
      <c r="I119" s="50">
        <f>VLOOKUP($A119,'Data shares'!$C:$FB,45)*100</f>
        <v>28.83</v>
      </c>
      <c r="J119" s="49">
        <f>VLOOKUP($A119,'Data shares'!$C:$FB,58)</f>
        <v>7369600</v>
      </c>
      <c r="K119" s="49">
        <f>VLOOKUP($A119,'Data shares'!$C:$FB,59)</f>
        <v>12526800</v>
      </c>
      <c r="L119" s="50">
        <f>VLOOKUP($A119,'Data shares'!$C:$FB,61)*100</f>
        <v>-41.17</v>
      </c>
      <c r="M119" s="49">
        <f>VLOOKUP($A119,'Data shares'!$C:$FB,62)</f>
        <v>4828000</v>
      </c>
      <c r="N119" s="49">
        <f>VLOOKUP($A119,'Data shares'!$C:$FB,63)</f>
        <v>6336400</v>
      </c>
      <c r="O119" s="140">
        <f>VLOOKUP($A119,'Data shares'!$C:$FB,65)*100</f>
        <v>-23.810000000000002</v>
      </c>
    </row>
    <row r="120" spans="1:15" x14ac:dyDescent="0.25">
      <c r="A120" s="101" t="str">
        <f>'Data shares'!C115</f>
        <v>KPITTECH</v>
      </c>
      <c r="B120" s="50">
        <f>VLOOKUP($A120,'Data shares'!$C:$FB,7)</f>
        <v>1168.9000000000001</v>
      </c>
      <c r="C120" s="50">
        <f>VLOOKUP($A120,'Data shares'!$C:$FB,10)*100</f>
        <v>-0.63</v>
      </c>
      <c r="D120" s="49">
        <f>VLOOKUP($A120,'Data shares'!$C:$FB,66)</f>
        <v>2969200</v>
      </c>
      <c r="E120" s="49">
        <f>VLOOKUP($A120,'Data shares'!$C:$FB,67)</f>
        <v>8979600</v>
      </c>
      <c r="F120" s="50">
        <f>VLOOKUP($A120,'Data shares'!$C:$FB,69)*100</f>
        <v>-66.930000000000007</v>
      </c>
      <c r="G120" s="49">
        <f>VLOOKUP($A120,'Data shares'!$C:$FB,42)</f>
        <v>498000</v>
      </c>
      <c r="H120" s="49">
        <f>VLOOKUP($A120,'Data shares'!$C:$FB,43)</f>
        <v>1728400</v>
      </c>
      <c r="I120" s="50">
        <f>VLOOKUP($A120,'Data shares'!$C:$FB,45)*100</f>
        <v>-71.19</v>
      </c>
      <c r="J120" s="49">
        <f>VLOOKUP($A120,'Data shares'!$C:$FB,58)</f>
        <v>1492000</v>
      </c>
      <c r="K120" s="49">
        <f>VLOOKUP($A120,'Data shares'!$C:$FB,59)</f>
        <v>4500000</v>
      </c>
      <c r="L120" s="50">
        <f>VLOOKUP($A120,'Data shares'!$C:$FB,61)*100</f>
        <v>-66.84</v>
      </c>
      <c r="M120" s="49">
        <f>VLOOKUP($A120,'Data shares'!$C:$FB,62)</f>
        <v>979200</v>
      </c>
      <c r="N120" s="49">
        <f>VLOOKUP($A120,'Data shares'!$C:$FB,63)</f>
        <v>2751200</v>
      </c>
      <c r="O120" s="140">
        <f>VLOOKUP($A120,'Data shares'!$C:$FB,65)*100</f>
        <v>-64.41</v>
      </c>
    </row>
    <row r="121" spans="1:15" x14ac:dyDescent="0.25">
      <c r="A121" s="101" t="str">
        <f>'Data shares'!C116</f>
        <v>LAURUSLABS</v>
      </c>
      <c r="B121" s="50">
        <f>VLOOKUP($A121,'Data shares'!$C:$FB,7)</f>
        <v>1010</v>
      </c>
      <c r="C121" s="50">
        <f>VLOOKUP($A121,'Data shares'!$C:$FB,10)*100</f>
        <v>0.86999999999999988</v>
      </c>
      <c r="D121" s="49">
        <f>VLOOKUP($A121,'Data shares'!$C:$FB,66)</f>
        <v>13636550</v>
      </c>
      <c r="E121" s="49">
        <f>VLOOKUP($A121,'Data shares'!$C:$FB,67)</f>
        <v>11455450</v>
      </c>
      <c r="F121" s="50">
        <f>VLOOKUP($A121,'Data shares'!$C:$FB,69)*100</f>
        <v>19.040000000000003</v>
      </c>
      <c r="G121" s="49">
        <f>VLOOKUP($A121,'Data shares'!$C:$FB,42)</f>
        <v>2533850</v>
      </c>
      <c r="H121" s="49">
        <f>VLOOKUP($A121,'Data shares'!$C:$FB,43)</f>
        <v>2089300</v>
      </c>
      <c r="I121" s="50">
        <f>VLOOKUP($A121,'Data shares'!$C:$FB,45)*100</f>
        <v>21.279999999999998</v>
      </c>
      <c r="J121" s="49">
        <f>VLOOKUP($A121,'Data shares'!$C:$FB,58)</f>
        <v>8028250</v>
      </c>
      <c r="K121" s="49">
        <f>VLOOKUP($A121,'Data shares'!$C:$FB,59)</f>
        <v>6661450</v>
      </c>
      <c r="L121" s="50">
        <f>VLOOKUP($A121,'Data shares'!$C:$FB,61)*100</f>
        <v>20.52</v>
      </c>
      <c r="M121" s="49">
        <f>VLOOKUP($A121,'Data shares'!$C:$FB,62)</f>
        <v>3074450</v>
      </c>
      <c r="N121" s="49">
        <f>VLOOKUP($A121,'Data shares'!$C:$FB,63)</f>
        <v>2704700</v>
      </c>
      <c r="O121" s="140">
        <f>VLOOKUP($A121,'Data shares'!$C:$FB,65)*100</f>
        <v>13.669999999999998</v>
      </c>
    </row>
    <row r="122" spans="1:15" x14ac:dyDescent="0.25">
      <c r="A122" s="101" t="str">
        <f>'Data shares'!C117</f>
        <v>LICHSGFIN</v>
      </c>
      <c r="B122" s="50">
        <f>VLOOKUP($A122,'Data shares'!$C:$FB,7)</f>
        <v>524.79999999999995</v>
      </c>
      <c r="C122" s="50">
        <f>VLOOKUP($A122,'Data shares'!$C:$FB,10)*100</f>
        <v>-0.19</v>
      </c>
      <c r="D122" s="49">
        <f>VLOOKUP($A122,'Data shares'!$C:$FB,66)</f>
        <v>9153000</v>
      </c>
      <c r="E122" s="49">
        <f>VLOOKUP($A122,'Data shares'!$C:$FB,67)</f>
        <v>10759000</v>
      </c>
      <c r="F122" s="50">
        <f>VLOOKUP($A122,'Data shares'!$C:$FB,69)*100</f>
        <v>-14.93</v>
      </c>
      <c r="G122" s="49">
        <f>VLOOKUP($A122,'Data shares'!$C:$FB,42)</f>
        <v>1941000</v>
      </c>
      <c r="H122" s="49">
        <f>VLOOKUP($A122,'Data shares'!$C:$FB,43)</f>
        <v>2786000</v>
      </c>
      <c r="I122" s="50">
        <f>VLOOKUP($A122,'Data shares'!$C:$FB,45)*100</f>
        <v>-30.330000000000002</v>
      </c>
      <c r="J122" s="49">
        <f>VLOOKUP($A122,'Data shares'!$C:$FB,58)</f>
        <v>5456000</v>
      </c>
      <c r="K122" s="49">
        <f>VLOOKUP($A122,'Data shares'!$C:$FB,59)</f>
        <v>6384000</v>
      </c>
      <c r="L122" s="50">
        <f>VLOOKUP($A122,'Data shares'!$C:$FB,61)*100</f>
        <v>-14.540000000000001</v>
      </c>
      <c r="M122" s="49">
        <f>VLOOKUP($A122,'Data shares'!$C:$FB,62)</f>
        <v>1756000</v>
      </c>
      <c r="N122" s="49">
        <f>VLOOKUP($A122,'Data shares'!$C:$FB,63)</f>
        <v>1589000</v>
      </c>
      <c r="O122" s="140">
        <f>VLOOKUP($A122,'Data shares'!$C:$FB,65)*100</f>
        <v>10.51</v>
      </c>
    </row>
    <row r="123" spans="1:15" x14ac:dyDescent="0.25">
      <c r="A123" s="101" t="str">
        <f>'Data shares'!C118</f>
        <v>LICI</v>
      </c>
      <c r="B123" s="50">
        <f>VLOOKUP($A123,'Data shares'!$C:$FB,7)</f>
        <v>844.55</v>
      </c>
      <c r="C123" s="50">
        <f>VLOOKUP($A123,'Data shares'!$C:$FB,10)*100</f>
        <v>-1.1599999999999999</v>
      </c>
      <c r="D123" s="49">
        <f>VLOOKUP($A123,'Data shares'!$C:$FB,66)</f>
        <v>8952300</v>
      </c>
      <c r="E123" s="49">
        <f>VLOOKUP($A123,'Data shares'!$C:$FB,67)</f>
        <v>11610200</v>
      </c>
      <c r="F123" s="50">
        <f>VLOOKUP($A123,'Data shares'!$C:$FB,69)*100</f>
        <v>-22.89</v>
      </c>
      <c r="G123" s="49">
        <f>VLOOKUP($A123,'Data shares'!$C:$FB,42)</f>
        <v>1478400</v>
      </c>
      <c r="H123" s="49">
        <f>VLOOKUP($A123,'Data shares'!$C:$FB,43)</f>
        <v>2281300</v>
      </c>
      <c r="I123" s="50">
        <f>VLOOKUP($A123,'Data shares'!$C:$FB,45)*100</f>
        <v>-35.19</v>
      </c>
      <c r="J123" s="49">
        <f>VLOOKUP($A123,'Data shares'!$C:$FB,58)</f>
        <v>5096000</v>
      </c>
      <c r="K123" s="49">
        <f>VLOOKUP($A123,'Data shares'!$C:$FB,59)</f>
        <v>7012600</v>
      </c>
      <c r="L123" s="50">
        <f>VLOOKUP($A123,'Data shares'!$C:$FB,61)*100</f>
        <v>-27.33</v>
      </c>
      <c r="M123" s="49">
        <f>VLOOKUP($A123,'Data shares'!$C:$FB,62)</f>
        <v>2377900</v>
      </c>
      <c r="N123" s="49">
        <f>VLOOKUP($A123,'Data shares'!$C:$FB,63)</f>
        <v>2316300</v>
      </c>
      <c r="O123" s="140">
        <f>VLOOKUP($A123,'Data shares'!$C:$FB,65)*100</f>
        <v>2.6599999999999997</v>
      </c>
    </row>
    <row r="124" spans="1:15" x14ac:dyDescent="0.25">
      <c r="A124" s="101" t="str">
        <f>'Data shares'!C119</f>
        <v>LODHA</v>
      </c>
      <c r="B124" s="50">
        <f>VLOOKUP($A124,'Data shares'!$C:$FB,7)</f>
        <v>1063.8</v>
      </c>
      <c r="C124" s="50">
        <f>VLOOKUP($A124,'Data shares'!$C:$FB,10)*100</f>
        <v>-1.08</v>
      </c>
      <c r="D124" s="49">
        <f>VLOOKUP($A124,'Data shares'!$C:$FB,66)</f>
        <v>11263050</v>
      </c>
      <c r="E124" s="49">
        <f>VLOOKUP($A124,'Data shares'!$C:$FB,67)</f>
        <v>4714200</v>
      </c>
      <c r="F124" s="50">
        <f>VLOOKUP($A124,'Data shares'!$C:$FB,69)*100</f>
        <v>138.91999999999999</v>
      </c>
      <c r="G124" s="49">
        <f>VLOOKUP($A124,'Data shares'!$C:$FB,42)</f>
        <v>2084850</v>
      </c>
      <c r="H124" s="49">
        <f>VLOOKUP($A124,'Data shares'!$C:$FB,43)</f>
        <v>775800</v>
      </c>
      <c r="I124" s="50">
        <f>VLOOKUP($A124,'Data shares'!$C:$FB,45)*100</f>
        <v>168.74</v>
      </c>
      <c r="J124" s="49">
        <f>VLOOKUP($A124,'Data shares'!$C:$FB,58)</f>
        <v>6896700</v>
      </c>
      <c r="K124" s="49">
        <f>VLOOKUP($A124,'Data shares'!$C:$FB,59)</f>
        <v>2930850</v>
      </c>
      <c r="L124" s="50">
        <f>VLOOKUP($A124,'Data shares'!$C:$FB,61)*100</f>
        <v>135.31</v>
      </c>
      <c r="M124" s="49">
        <f>VLOOKUP($A124,'Data shares'!$C:$FB,62)</f>
        <v>2281500</v>
      </c>
      <c r="N124" s="49">
        <f>VLOOKUP($A124,'Data shares'!$C:$FB,63)</f>
        <v>1007550</v>
      </c>
      <c r="O124" s="140">
        <f>VLOOKUP($A124,'Data shares'!$C:$FB,65)*100</f>
        <v>126.44</v>
      </c>
    </row>
    <row r="125" spans="1:15" x14ac:dyDescent="0.25">
      <c r="A125" s="101" t="str">
        <f>'Data shares'!C120</f>
        <v>LT</v>
      </c>
      <c r="B125" s="50">
        <f>VLOOKUP($A125,'Data shares'!$C:$FB,7)</f>
        <v>4062.4</v>
      </c>
      <c r="C125" s="50">
        <f>VLOOKUP($A125,'Data shares'!$C:$FB,10)*100</f>
        <v>-0.03</v>
      </c>
      <c r="D125" s="49">
        <f>VLOOKUP($A125,'Data shares'!$C:$FB,66)</f>
        <v>6798400</v>
      </c>
      <c r="E125" s="49">
        <f>VLOOKUP($A125,'Data shares'!$C:$FB,67)</f>
        <v>7261100</v>
      </c>
      <c r="F125" s="50">
        <f>VLOOKUP($A125,'Data shares'!$C:$FB,69)*100</f>
        <v>-6.370000000000001</v>
      </c>
      <c r="G125" s="49">
        <f>VLOOKUP($A125,'Data shares'!$C:$FB,42)</f>
        <v>1012025</v>
      </c>
      <c r="H125" s="49">
        <f>VLOOKUP($A125,'Data shares'!$C:$FB,43)</f>
        <v>1513575</v>
      </c>
      <c r="I125" s="50">
        <f>VLOOKUP($A125,'Data shares'!$C:$FB,45)*100</f>
        <v>-33.14</v>
      </c>
      <c r="J125" s="49">
        <f>VLOOKUP($A125,'Data shares'!$C:$FB,58)</f>
        <v>3446800</v>
      </c>
      <c r="K125" s="49">
        <f>VLOOKUP($A125,'Data shares'!$C:$FB,59)</f>
        <v>3550050</v>
      </c>
      <c r="L125" s="50">
        <f>VLOOKUP($A125,'Data shares'!$C:$FB,61)*100</f>
        <v>-2.91</v>
      </c>
      <c r="M125" s="49">
        <f>VLOOKUP($A125,'Data shares'!$C:$FB,62)</f>
        <v>2339575</v>
      </c>
      <c r="N125" s="49">
        <f>VLOOKUP($A125,'Data shares'!$C:$FB,63)</f>
        <v>2197475</v>
      </c>
      <c r="O125" s="140">
        <f>VLOOKUP($A125,'Data shares'!$C:$FB,65)*100</f>
        <v>6.47</v>
      </c>
    </row>
    <row r="126" spans="1:15" x14ac:dyDescent="0.25">
      <c r="A126" s="101" t="str">
        <f>'Data shares'!C121</f>
        <v>LTF</v>
      </c>
      <c r="B126" s="50">
        <f>VLOOKUP($A126,'Data shares'!$C:$FB,7)</f>
        <v>301.89999999999998</v>
      </c>
      <c r="C126" s="50">
        <f>VLOOKUP($A126,'Data shares'!$C:$FB,10)*100</f>
        <v>0.37</v>
      </c>
      <c r="D126" s="49">
        <f>VLOOKUP($A126,'Data shares'!$C:$FB,66)</f>
        <v>65127352</v>
      </c>
      <c r="E126" s="49">
        <f>VLOOKUP($A126,'Data shares'!$C:$FB,67)</f>
        <v>52138470</v>
      </c>
      <c r="F126" s="50">
        <f>VLOOKUP($A126,'Data shares'!$C:$FB,69)*100</f>
        <v>24.91</v>
      </c>
      <c r="G126" s="49">
        <f>VLOOKUP($A126,'Data shares'!$C:$FB,42)</f>
        <v>11935850</v>
      </c>
      <c r="H126" s="49">
        <f>VLOOKUP($A126,'Data shares'!$C:$FB,43)</f>
        <v>8745520</v>
      </c>
      <c r="I126" s="50">
        <f>VLOOKUP($A126,'Data shares'!$C:$FB,45)*100</f>
        <v>36.480000000000004</v>
      </c>
      <c r="J126" s="49">
        <f>VLOOKUP($A126,'Data shares'!$C:$FB,58)</f>
        <v>36307294</v>
      </c>
      <c r="K126" s="49">
        <f>VLOOKUP($A126,'Data shares'!$C:$FB,59)</f>
        <v>32786776</v>
      </c>
      <c r="L126" s="50">
        <f>VLOOKUP($A126,'Data shares'!$C:$FB,61)*100</f>
        <v>10.74</v>
      </c>
      <c r="M126" s="49">
        <f>VLOOKUP($A126,'Data shares'!$C:$FB,62)</f>
        <v>16884208</v>
      </c>
      <c r="N126" s="49">
        <f>VLOOKUP($A126,'Data shares'!$C:$FB,63)</f>
        <v>10606174</v>
      </c>
      <c r="O126" s="140">
        <f>VLOOKUP($A126,'Data shares'!$C:$FB,65)*100</f>
        <v>59.19</v>
      </c>
    </row>
    <row r="127" spans="1:15" x14ac:dyDescent="0.25">
      <c r="A127" s="101" t="str">
        <f>'Data shares'!C122</f>
        <v>LTIM</v>
      </c>
      <c r="B127" s="50">
        <f>VLOOKUP($A127,'Data shares'!$C:$FB,7)</f>
        <v>6252.5</v>
      </c>
      <c r="C127" s="50">
        <f>VLOOKUP($A127,'Data shares'!$C:$FB,10)*100</f>
        <v>0.59</v>
      </c>
      <c r="D127" s="49">
        <f>VLOOKUP($A127,'Data shares'!$C:$FB,66)</f>
        <v>2610600</v>
      </c>
      <c r="E127" s="49">
        <f>VLOOKUP($A127,'Data shares'!$C:$FB,67)</f>
        <v>1625850</v>
      </c>
      <c r="F127" s="50">
        <f>VLOOKUP($A127,'Data shares'!$C:$FB,69)*100</f>
        <v>60.57</v>
      </c>
      <c r="G127" s="49">
        <f>VLOOKUP($A127,'Data shares'!$C:$FB,42)</f>
        <v>409350</v>
      </c>
      <c r="H127" s="49">
        <f>VLOOKUP($A127,'Data shares'!$C:$FB,43)</f>
        <v>401850</v>
      </c>
      <c r="I127" s="50">
        <f>VLOOKUP($A127,'Data shares'!$C:$FB,45)*100</f>
        <v>1.87</v>
      </c>
      <c r="J127" s="49">
        <f>VLOOKUP($A127,'Data shares'!$C:$FB,58)</f>
        <v>1677000</v>
      </c>
      <c r="K127" s="49">
        <f>VLOOKUP($A127,'Data shares'!$C:$FB,59)</f>
        <v>705900</v>
      </c>
      <c r="L127" s="50">
        <f>VLOOKUP($A127,'Data shares'!$C:$FB,61)*100</f>
        <v>137.57</v>
      </c>
      <c r="M127" s="49">
        <f>VLOOKUP($A127,'Data shares'!$C:$FB,62)</f>
        <v>524250</v>
      </c>
      <c r="N127" s="49">
        <f>VLOOKUP($A127,'Data shares'!$C:$FB,63)</f>
        <v>518100</v>
      </c>
      <c r="O127" s="140">
        <f>VLOOKUP($A127,'Data shares'!$C:$FB,65)*100</f>
        <v>1.1900000000000002</v>
      </c>
    </row>
    <row r="128" spans="1:15" x14ac:dyDescent="0.25">
      <c r="A128" s="101" t="str">
        <f>'Data shares'!C123</f>
        <v>LUPIN</v>
      </c>
      <c r="B128" s="50">
        <f>VLOOKUP($A128,'Data shares'!$C:$FB,7)</f>
        <v>2113.1</v>
      </c>
      <c r="C128" s="50">
        <f>VLOOKUP($A128,'Data shares'!$C:$FB,10)*100</f>
        <v>1.08</v>
      </c>
      <c r="D128" s="49">
        <f>VLOOKUP($A128,'Data shares'!$C:$FB,66)</f>
        <v>9213575</v>
      </c>
      <c r="E128" s="49">
        <f>VLOOKUP($A128,'Data shares'!$C:$FB,67)</f>
        <v>3461625</v>
      </c>
      <c r="F128" s="50">
        <f>VLOOKUP($A128,'Data shares'!$C:$FB,69)*100</f>
        <v>166.16</v>
      </c>
      <c r="G128" s="49">
        <f>VLOOKUP($A128,'Data shares'!$C:$FB,42)</f>
        <v>1348525</v>
      </c>
      <c r="H128" s="49">
        <f>VLOOKUP($A128,'Data shares'!$C:$FB,43)</f>
        <v>783700</v>
      </c>
      <c r="I128" s="50">
        <f>VLOOKUP($A128,'Data shares'!$C:$FB,45)*100</f>
        <v>72.070000000000007</v>
      </c>
      <c r="J128" s="49">
        <f>VLOOKUP($A128,'Data shares'!$C:$FB,58)</f>
        <v>6031175</v>
      </c>
      <c r="K128" s="49">
        <f>VLOOKUP($A128,'Data shares'!$C:$FB,59)</f>
        <v>1950750</v>
      </c>
      <c r="L128" s="50">
        <f>VLOOKUP($A128,'Data shares'!$C:$FB,61)*100</f>
        <v>209.17</v>
      </c>
      <c r="M128" s="49">
        <f>VLOOKUP($A128,'Data shares'!$C:$FB,62)</f>
        <v>1833875</v>
      </c>
      <c r="N128" s="49">
        <f>VLOOKUP($A128,'Data shares'!$C:$FB,63)</f>
        <v>727175</v>
      </c>
      <c r="O128" s="140">
        <f>VLOOKUP($A128,'Data shares'!$C:$FB,65)*100</f>
        <v>152.19</v>
      </c>
    </row>
    <row r="129" spans="1:15" x14ac:dyDescent="0.25">
      <c r="A129" s="101" t="str">
        <f>'Data shares'!C124</f>
        <v>M&amp;M</v>
      </c>
      <c r="B129" s="50">
        <f>VLOOKUP($A129,'Data shares'!$C:$FB,7)</f>
        <v>3612.8</v>
      </c>
      <c r="C129" s="50">
        <f>VLOOKUP($A129,'Data shares'!$C:$FB,10)*100</f>
        <v>-0.22999999999999998</v>
      </c>
      <c r="D129" s="49">
        <f>VLOOKUP($A129,'Data shares'!$C:$FB,66)</f>
        <v>8533200</v>
      </c>
      <c r="E129" s="49">
        <f>VLOOKUP($A129,'Data shares'!$C:$FB,67)</f>
        <v>10707400</v>
      </c>
      <c r="F129" s="50">
        <f>VLOOKUP($A129,'Data shares'!$C:$FB,69)*100</f>
        <v>-20.309999999999999</v>
      </c>
      <c r="G129" s="49">
        <f>VLOOKUP($A129,'Data shares'!$C:$FB,42)</f>
        <v>1500000</v>
      </c>
      <c r="H129" s="49">
        <f>VLOOKUP($A129,'Data shares'!$C:$FB,43)</f>
        <v>1909000</v>
      </c>
      <c r="I129" s="50">
        <f>VLOOKUP($A129,'Data shares'!$C:$FB,45)*100</f>
        <v>-21.42</v>
      </c>
      <c r="J129" s="49">
        <f>VLOOKUP($A129,'Data shares'!$C:$FB,58)</f>
        <v>4651800</v>
      </c>
      <c r="K129" s="49">
        <f>VLOOKUP($A129,'Data shares'!$C:$FB,59)</f>
        <v>5986000</v>
      </c>
      <c r="L129" s="50">
        <f>VLOOKUP($A129,'Data shares'!$C:$FB,61)*100</f>
        <v>-22.29</v>
      </c>
      <c r="M129" s="49">
        <f>VLOOKUP($A129,'Data shares'!$C:$FB,62)</f>
        <v>2381400</v>
      </c>
      <c r="N129" s="49">
        <f>VLOOKUP($A129,'Data shares'!$C:$FB,63)</f>
        <v>2812400</v>
      </c>
      <c r="O129" s="140">
        <f>VLOOKUP($A129,'Data shares'!$C:$FB,65)*100</f>
        <v>-15.32</v>
      </c>
    </row>
    <row r="130" spans="1:15" x14ac:dyDescent="0.25">
      <c r="A130" s="101" t="str">
        <f>'Data shares'!C125</f>
        <v>MANAPPURAM</v>
      </c>
      <c r="B130" s="50">
        <f>VLOOKUP($A130,'Data shares'!$C:$FB,7)</f>
        <v>286.25</v>
      </c>
      <c r="C130" s="50">
        <f>VLOOKUP($A130,'Data shares'!$C:$FB,10)*100</f>
        <v>0.97</v>
      </c>
      <c r="D130" s="49">
        <f>VLOOKUP($A130,'Data shares'!$C:$FB,66)</f>
        <v>26625000</v>
      </c>
      <c r="E130" s="49">
        <f>VLOOKUP($A130,'Data shares'!$C:$FB,67)</f>
        <v>16566000</v>
      </c>
      <c r="F130" s="50">
        <f>VLOOKUP($A130,'Data shares'!$C:$FB,69)*100</f>
        <v>60.72</v>
      </c>
      <c r="G130" s="49">
        <f>VLOOKUP($A130,'Data shares'!$C:$FB,42)</f>
        <v>7677000</v>
      </c>
      <c r="H130" s="49">
        <f>VLOOKUP($A130,'Data shares'!$C:$FB,43)</f>
        <v>4620000</v>
      </c>
      <c r="I130" s="50">
        <f>VLOOKUP($A130,'Data shares'!$C:$FB,45)*100</f>
        <v>66.17</v>
      </c>
      <c r="J130" s="49">
        <f>VLOOKUP($A130,'Data shares'!$C:$FB,58)</f>
        <v>13557000</v>
      </c>
      <c r="K130" s="49">
        <f>VLOOKUP($A130,'Data shares'!$C:$FB,59)</f>
        <v>8040000</v>
      </c>
      <c r="L130" s="50">
        <f>VLOOKUP($A130,'Data shares'!$C:$FB,61)*100</f>
        <v>68.62</v>
      </c>
      <c r="M130" s="49">
        <f>VLOOKUP($A130,'Data shares'!$C:$FB,62)</f>
        <v>5391000</v>
      </c>
      <c r="N130" s="49">
        <f>VLOOKUP($A130,'Data shares'!$C:$FB,63)</f>
        <v>3906000</v>
      </c>
      <c r="O130" s="140">
        <f>VLOOKUP($A130,'Data shares'!$C:$FB,65)*100</f>
        <v>38.019999999999996</v>
      </c>
    </row>
    <row r="131" spans="1:15" x14ac:dyDescent="0.25">
      <c r="A131" s="101" t="str">
        <f>'Data shares'!C126</f>
        <v>MANKIND</v>
      </c>
      <c r="B131" s="50">
        <f>VLOOKUP($A131,'Data shares'!$C:$FB,7)</f>
        <v>2111.1999999999998</v>
      </c>
      <c r="C131" s="50">
        <f>VLOOKUP($A131,'Data shares'!$C:$FB,10)*100</f>
        <v>0.25</v>
      </c>
      <c r="D131" s="49">
        <f>VLOOKUP($A131,'Data shares'!$C:$FB,66)</f>
        <v>1764450</v>
      </c>
      <c r="E131" s="49">
        <f>VLOOKUP($A131,'Data shares'!$C:$FB,67)</f>
        <v>1884600</v>
      </c>
      <c r="F131" s="50">
        <f>VLOOKUP($A131,'Data shares'!$C:$FB,69)*100</f>
        <v>-6.38</v>
      </c>
      <c r="G131" s="49">
        <f>VLOOKUP($A131,'Data shares'!$C:$FB,42)</f>
        <v>281475</v>
      </c>
      <c r="H131" s="49">
        <f>VLOOKUP($A131,'Data shares'!$C:$FB,43)</f>
        <v>497475</v>
      </c>
      <c r="I131" s="50">
        <f>VLOOKUP($A131,'Data shares'!$C:$FB,45)*100</f>
        <v>-43.419999999999995</v>
      </c>
      <c r="J131" s="49">
        <f>VLOOKUP($A131,'Data shares'!$C:$FB,58)</f>
        <v>1000125</v>
      </c>
      <c r="K131" s="49">
        <f>VLOOKUP($A131,'Data shares'!$C:$FB,59)</f>
        <v>934200</v>
      </c>
      <c r="L131" s="50">
        <f>VLOOKUP($A131,'Data shares'!$C:$FB,61)*100</f>
        <v>7.06</v>
      </c>
      <c r="M131" s="49">
        <f>VLOOKUP($A131,'Data shares'!$C:$FB,62)</f>
        <v>482850</v>
      </c>
      <c r="N131" s="49">
        <f>VLOOKUP($A131,'Data shares'!$C:$FB,63)</f>
        <v>452925</v>
      </c>
      <c r="O131" s="140">
        <f>VLOOKUP($A131,'Data shares'!$C:$FB,65)*100</f>
        <v>6.61</v>
      </c>
    </row>
    <row r="132" spans="1:15" x14ac:dyDescent="0.25">
      <c r="A132" s="101" t="str">
        <f>'Data shares'!C127</f>
        <v>MARICO</v>
      </c>
      <c r="B132" s="50">
        <f>VLOOKUP($A132,'Data shares'!$C:$FB,7)</f>
        <v>738.15</v>
      </c>
      <c r="C132" s="50">
        <f>VLOOKUP($A132,'Data shares'!$C:$FB,10)*100</f>
        <v>-0.09</v>
      </c>
      <c r="D132" s="49">
        <f>VLOOKUP($A132,'Data shares'!$C:$FB,66)</f>
        <v>7419600</v>
      </c>
      <c r="E132" s="49">
        <f>VLOOKUP($A132,'Data shares'!$C:$FB,67)</f>
        <v>29834400</v>
      </c>
      <c r="F132" s="50">
        <f>VLOOKUP($A132,'Data shares'!$C:$FB,69)*100</f>
        <v>-75.13</v>
      </c>
      <c r="G132" s="49">
        <f>VLOOKUP($A132,'Data shares'!$C:$FB,42)</f>
        <v>1098000</v>
      </c>
      <c r="H132" s="49">
        <f>VLOOKUP($A132,'Data shares'!$C:$FB,43)</f>
        <v>2845200</v>
      </c>
      <c r="I132" s="50">
        <f>VLOOKUP($A132,'Data shares'!$C:$FB,45)*100</f>
        <v>-61.41</v>
      </c>
      <c r="J132" s="49">
        <f>VLOOKUP($A132,'Data shares'!$C:$FB,58)</f>
        <v>4837200</v>
      </c>
      <c r="K132" s="49">
        <f>VLOOKUP($A132,'Data shares'!$C:$FB,59)</f>
        <v>21015600</v>
      </c>
      <c r="L132" s="50">
        <f>VLOOKUP($A132,'Data shares'!$C:$FB,61)*100</f>
        <v>-76.98</v>
      </c>
      <c r="M132" s="49">
        <f>VLOOKUP($A132,'Data shares'!$C:$FB,62)</f>
        <v>1484400</v>
      </c>
      <c r="N132" s="49">
        <f>VLOOKUP($A132,'Data shares'!$C:$FB,63)</f>
        <v>5973600</v>
      </c>
      <c r="O132" s="140">
        <f>VLOOKUP($A132,'Data shares'!$C:$FB,65)*100</f>
        <v>-75.149999999999991</v>
      </c>
    </row>
    <row r="133" spans="1:15" x14ac:dyDescent="0.25">
      <c r="A133" s="101" t="str">
        <f>'Data shares'!C128</f>
        <v>MARUTI</v>
      </c>
      <c r="B133" s="50">
        <f>VLOOKUP($A133,'Data shares'!$C:$FB,7)</f>
        <v>16398</v>
      </c>
      <c r="C133" s="50">
        <f>VLOOKUP($A133,'Data shares'!$C:$FB,10)*100</f>
        <v>0.27</v>
      </c>
      <c r="D133" s="49">
        <f>VLOOKUP($A133,'Data shares'!$C:$FB,66)</f>
        <v>3743800</v>
      </c>
      <c r="E133" s="49">
        <f>VLOOKUP($A133,'Data shares'!$C:$FB,67)</f>
        <v>2972350</v>
      </c>
      <c r="F133" s="50">
        <f>VLOOKUP($A133,'Data shares'!$C:$FB,69)*100</f>
        <v>25.95</v>
      </c>
      <c r="G133" s="49">
        <f>VLOOKUP($A133,'Data shares'!$C:$FB,42)</f>
        <v>261150</v>
      </c>
      <c r="H133" s="49">
        <f>VLOOKUP($A133,'Data shares'!$C:$FB,43)</f>
        <v>296850</v>
      </c>
      <c r="I133" s="50">
        <f>VLOOKUP($A133,'Data shares'!$C:$FB,45)*100</f>
        <v>-12.030000000000001</v>
      </c>
      <c r="J133" s="49">
        <f>VLOOKUP($A133,'Data shares'!$C:$FB,58)</f>
        <v>1964900</v>
      </c>
      <c r="K133" s="49">
        <f>VLOOKUP($A133,'Data shares'!$C:$FB,59)</f>
        <v>1225400</v>
      </c>
      <c r="L133" s="50">
        <f>VLOOKUP($A133,'Data shares'!$C:$FB,61)*100</f>
        <v>60.35</v>
      </c>
      <c r="M133" s="49">
        <f>VLOOKUP($A133,'Data shares'!$C:$FB,62)</f>
        <v>1517750</v>
      </c>
      <c r="N133" s="49">
        <f>VLOOKUP($A133,'Data shares'!$C:$FB,63)</f>
        <v>1450100</v>
      </c>
      <c r="O133" s="140">
        <f>VLOOKUP($A133,'Data shares'!$C:$FB,65)*100</f>
        <v>4.67</v>
      </c>
    </row>
    <row r="134" spans="1:15" x14ac:dyDescent="0.25">
      <c r="A134" s="101" t="str">
        <f>'Data shares'!C129</f>
        <v>MAXHEALTH</v>
      </c>
      <c r="B134" s="50">
        <f>VLOOKUP($A134,'Data shares'!$C:$FB,7)</f>
        <v>1031.0999999999999</v>
      </c>
      <c r="C134" s="50">
        <f>VLOOKUP($A134,'Data shares'!$C:$FB,10)*100</f>
        <v>-3.9</v>
      </c>
      <c r="D134" s="49">
        <f>VLOOKUP($A134,'Data shares'!$C:$FB,66)</f>
        <v>37061325</v>
      </c>
      <c r="E134" s="49">
        <f>VLOOKUP($A134,'Data shares'!$C:$FB,67)</f>
        <v>5500950</v>
      </c>
      <c r="F134" s="50">
        <f>VLOOKUP($A134,'Data shares'!$C:$FB,69)*100</f>
        <v>573.73</v>
      </c>
      <c r="G134" s="49">
        <f>VLOOKUP($A134,'Data shares'!$C:$FB,42)</f>
        <v>3700200</v>
      </c>
      <c r="H134" s="49">
        <f>VLOOKUP($A134,'Data shares'!$C:$FB,43)</f>
        <v>1201725</v>
      </c>
      <c r="I134" s="50">
        <f>VLOOKUP($A134,'Data shares'!$C:$FB,45)*100</f>
        <v>207.91</v>
      </c>
      <c r="J134" s="49">
        <f>VLOOKUP($A134,'Data shares'!$C:$FB,58)</f>
        <v>14431200</v>
      </c>
      <c r="K134" s="49">
        <f>VLOOKUP($A134,'Data shares'!$C:$FB,59)</f>
        <v>3465525</v>
      </c>
      <c r="L134" s="50">
        <f>VLOOKUP($A134,'Data shares'!$C:$FB,61)*100</f>
        <v>316.42</v>
      </c>
      <c r="M134" s="49">
        <f>VLOOKUP($A134,'Data shares'!$C:$FB,62)</f>
        <v>18929925</v>
      </c>
      <c r="N134" s="49">
        <f>VLOOKUP($A134,'Data shares'!$C:$FB,63)</f>
        <v>833700</v>
      </c>
      <c r="O134" s="140">
        <f>VLOOKUP($A134,'Data shares'!$C:$FB,65)*100</f>
        <v>2170.59</v>
      </c>
    </row>
    <row r="135" spans="1:15" x14ac:dyDescent="0.25">
      <c r="A135" s="101" t="str">
        <f>'Data shares'!C130</f>
        <v>MAZDOCK</v>
      </c>
      <c r="B135" s="50">
        <f>VLOOKUP($A135,'Data shares'!$C:$FB,7)</f>
        <v>2356.6</v>
      </c>
      <c r="C135" s="50">
        <f>VLOOKUP($A135,'Data shares'!$C:$FB,10)*100</f>
        <v>-2.13</v>
      </c>
      <c r="D135" s="49">
        <f>VLOOKUP($A135,'Data shares'!$C:$FB,66)</f>
        <v>6462575</v>
      </c>
      <c r="E135" s="49">
        <f>VLOOKUP($A135,'Data shares'!$C:$FB,67)</f>
        <v>4281025</v>
      </c>
      <c r="F135" s="50">
        <f>VLOOKUP($A135,'Data shares'!$C:$FB,69)*100</f>
        <v>50.960000000000008</v>
      </c>
      <c r="G135" s="49">
        <f>VLOOKUP($A135,'Data shares'!$C:$FB,42)</f>
        <v>746725</v>
      </c>
      <c r="H135" s="49">
        <f>VLOOKUP($A135,'Data shares'!$C:$FB,43)</f>
        <v>725900</v>
      </c>
      <c r="I135" s="50">
        <f>VLOOKUP($A135,'Data shares'!$C:$FB,45)*100</f>
        <v>2.87</v>
      </c>
      <c r="J135" s="49">
        <f>VLOOKUP($A135,'Data shares'!$C:$FB,58)</f>
        <v>3565800</v>
      </c>
      <c r="K135" s="49">
        <f>VLOOKUP($A135,'Data shares'!$C:$FB,59)</f>
        <v>2536975</v>
      </c>
      <c r="L135" s="50">
        <f>VLOOKUP($A135,'Data shares'!$C:$FB,61)*100</f>
        <v>40.550000000000004</v>
      </c>
      <c r="M135" s="49">
        <f>VLOOKUP($A135,'Data shares'!$C:$FB,62)</f>
        <v>2150050</v>
      </c>
      <c r="N135" s="49">
        <f>VLOOKUP($A135,'Data shares'!$C:$FB,63)</f>
        <v>1018150</v>
      </c>
      <c r="O135" s="140">
        <f>VLOOKUP($A135,'Data shares'!$C:$FB,65)*100</f>
        <v>111.16999999999999</v>
      </c>
    </row>
    <row r="136" spans="1:15" x14ac:dyDescent="0.25">
      <c r="A136" s="101" t="str">
        <f>'Data shares'!C131</f>
        <v>MCX</v>
      </c>
      <c r="B136" s="50">
        <f>VLOOKUP($A136,'Data shares'!$C:$FB,7)</f>
        <v>10025</v>
      </c>
      <c r="C136" s="50">
        <f>VLOOKUP($A136,'Data shares'!$C:$FB,10)*100</f>
        <v>-1.37</v>
      </c>
      <c r="D136" s="49">
        <f>VLOOKUP($A136,'Data shares'!$C:$FB,66)</f>
        <v>6345000</v>
      </c>
      <c r="E136" s="49">
        <f>VLOOKUP($A136,'Data shares'!$C:$FB,67)</f>
        <v>8445500</v>
      </c>
      <c r="F136" s="50">
        <f>VLOOKUP($A136,'Data shares'!$C:$FB,69)*100</f>
        <v>-24.87</v>
      </c>
      <c r="G136" s="49">
        <f>VLOOKUP($A136,'Data shares'!$C:$FB,42)</f>
        <v>562000</v>
      </c>
      <c r="H136" s="49">
        <f>VLOOKUP($A136,'Data shares'!$C:$FB,43)</f>
        <v>882000</v>
      </c>
      <c r="I136" s="50">
        <f>VLOOKUP($A136,'Data shares'!$C:$FB,45)*100</f>
        <v>-36.28</v>
      </c>
      <c r="J136" s="49">
        <f>VLOOKUP($A136,'Data shares'!$C:$FB,58)</f>
        <v>3499750</v>
      </c>
      <c r="K136" s="49">
        <f>VLOOKUP($A136,'Data shares'!$C:$FB,59)</f>
        <v>4289625</v>
      </c>
      <c r="L136" s="50">
        <f>VLOOKUP($A136,'Data shares'!$C:$FB,61)*100</f>
        <v>-18.41</v>
      </c>
      <c r="M136" s="49">
        <f>VLOOKUP($A136,'Data shares'!$C:$FB,62)</f>
        <v>2283250</v>
      </c>
      <c r="N136" s="49">
        <f>VLOOKUP($A136,'Data shares'!$C:$FB,63)</f>
        <v>3273875</v>
      </c>
      <c r="O136" s="140">
        <f>VLOOKUP($A136,'Data shares'!$C:$FB,65)*100</f>
        <v>-30.259999999999998</v>
      </c>
    </row>
    <row r="137" spans="1:15" x14ac:dyDescent="0.25">
      <c r="A137" s="101" t="str">
        <f>'Data shares'!C132</f>
        <v>MFSL</v>
      </c>
      <c r="B137" s="50">
        <f>VLOOKUP($A137,'Data shares'!$C:$FB,7)</f>
        <v>1663.9</v>
      </c>
      <c r="C137" s="50">
        <f>VLOOKUP($A137,'Data shares'!$C:$FB,10)*100</f>
        <v>-0.33999999999999997</v>
      </c>
      <c r="D137" s="49">
        <f>VLOOKUP($A137,'Data shares'!$C:$FB,66)</f>
        <v>3749600</v>
      </c>
      <c r="E137" s="49">
        <f>VLOOKUP($A137,'Data shares'!$C:$FB,67)</f>
        <v>4150800</v>
      </c>
      <c r="F137" s="50">
        <f>VLOOKUP($A137,'Data shares'!$C:$FB,69)*100</f>
        <v>-9.67</v>
      </c>
      <c r="G137" s="49">
        <f>VLOOKUP($A137,'Data shares'!$C:$FB,42)</f>
        <v>806400</v>
      </c>
      <c r="H137" s="49">
        <f>VLOOKUP($A137,'Data shares'!$C:$FB,43)</f>
        <v>836000</v>
      </c>
      <c r="I137" s="50">
        <f>VLOOKUP($A137,'Data shares'!$C:$FB,45)*100</f>
        <v>-3.54</v>
      </c>
      <c r="J137" s="49">
        <f>VLOOKUP($A137,'Data shares'!$C:$FB,58)</f>
        <v>1825600</v>
      </c>
      <c r="K137" s="49">
        <f>VLOOKUP($A137,'Data shares'!$C:$FB,59)</f>
        <v>2343600</v>
      </c>
      <c r="L137" s="50">
        <f>VLOOKUP($A137,'Data shares'!$C:$FB,61)*100</f>
        <v>-22.1</v>
      </c>
      <c r="M137" s="49">
        <f>VLOOKUP($A137,'Data shares'!$C:$FB,62)</f>
        <v>1117600</v>
      </c>
      <c r="N137" s="49">
        <f>VLOOKUP($A137,'Data shares'!$C:$FB,63)</f>
        <v>971200</v>
      </c>
      <c r="O137" s="140">
        <f>VLOOKUP($A137,'Data shares'!$C:$FB,65)*100</f>
        <v>15.07</v>
      </c>
    </row>
    <row r="138" spans="1:15" x14ac:dyDescent="0.25">
      <c r="A138" s="101" t="str">
        <f>'Data shares'!C133</f>
        <v>MIDCPNIFTY</v>
      </c>
      <c r="B138" s="50">
        <f>VLOOKUP($A138,'Data shares'!$C:$FB,7)</f>
        <v>13652.3</v>
      </c>
      <c r="C138" s="50">
        <f>VLOOKUP($A138,'Data shares'!$C:$FB,10)*100</f>
        <v>-0.70000000000000007</v>
      </c>
      <c r="D138" s="49">
        <f>VLOOKUP($A138,'Data shares'!$C:$FB,66)</f>
        <v>43679300</v>
      </c>
      <c r="E138" s="49">
        <f>VLOOKUP($A138,'Data shares'!$C:$FB,67)</f>
        <v>38596600</v>
      </c>
      <c r="F138" s="50">
        <f>VLOOKUP($A138,'Data shares'!$C:$FB,69)*100</f>
        <v>13.170000000000002</v>
      </c>
      <c r="G138" s="49">
        <f>VLOOKUP($A138,'Data shares'!$C:$FB,42)</f>
        <v>428540</v>
      </c>
      <c r="H138" s="49">
        <f>VLOOKUP($A138,'Data shares'!$C:$FB,43)</f>
        <v>711760</v>
      </c>
      <c r="I138" s="50">
        <f>VLOOKUP($A138,'Data shares'!$C:$FB,45)*100</f>
        <v>-39.79</v>
      </c>
      <c r="J138" s="49">
        <f>VLOOKUP($A138,'Data shares'!$C:$FB,58)</f>
        <v>24776360</v>
      </c>
      <c r="K138" s="49">
        <f>VLOOKUP($A138,'Data shares'!$C:$FB,59)</f>
        <v>20355440</v>
      </c>
      <c r="L138" s="50">
        <f>VLOOKUP($A138,'Data shares'!$C:$FB,61)*100</f>
        <v>21.72</v>
      </c>
      <c r="M138" s="49">
        <f>VLOOKUP($A138,'Data shares'!$C:$FB,62)</f>
        <v>18474400</v>
      </c>
      <c r="N138" s="49">
        <f>VLOOKUP($A138,'Data shares'!$C:$FB,63)</f>
        <v>17529400</v>
      </c>
      <c r="O138" s="140">
        <f>VLOOKUP($A138,'Data shares'!$C:$FB,65)*100</f>
        <v>5.3900000000000006</v>
      </c>
    </row>
    <row r="139" spans="1:15" x14ac:dyDescent="0.25">
      <c r="A139" s="101" t="str">
        <f>'Data shares'!C134</f>
        <v>MOTHERSON</v>
      </c>
      <c r="B139" s="50">
        <f>VLOOKUP($A139,'Data shares'!$C:$FB,7)</f>
        <v>119.56</v>
      </c>
      <c r="C139" s="50">
        <f>VLOOKUP($A139,'Data shares'!$C:$FB,10)*100</f>
        <v>-0.01</v>
      </c>
      <c r="D139" s="49">
        <f>VLOOKUP($A139,'Data shares'!$C:$FB,66)</f>
        <v>71260050</v>
      </c>
      <c r="E139" s="49">
        <f>VLOOKUP($A139,'Data shares'!$C:$FB,67)</f>
        <v>46543200</v>
      </c>
      <c r="F139" s="50">
        <f>VLOOKUP($A139,'Data shares'!$C:$FB,69)*100</f>
        <v>53.11</v>
      </c>
      <c r="G139" s="49">
        <f>VLOOKUP($A139,'Data shares'!$C:$FB,42)</f>
        <v>15233550</v>
      </c>
      <c r="H139" s="49">
        <f>VLOOKUP($A139,'Data shares'!$C:$FB,43)</f>
        <v>13271700</v>
      </c>
      <c r="I139" s="50">
        <f>VLOOKUP($A139,'Data shares'!$C:$FB,45)*100</f>
        <v>14.78</v>
      </c>
      <c r="J139" s="49">
        <f>VLOOKUP($A139,'Data shares'!$C:$FB,58)</f>
        <v>38259150</v>
      </c>
      <c r="K139" s="49">
        <f>VLOOKUP($A139,'Data shares'!$C:$FB,59)</f>
        <v>21414300</v>
      </c>
      <c r="L139" s="50">
        <f>VLOOKUP($A139,'Data shares'!$C:$FB,61)*100</f>
        <v>78.66</v>
      </c>
      <c r="M139" s="49">
        <f>VLOOKUP($A139,'Data shares'!$C:$FB,62)</f>
        <v>17767350</v>
      </c>
      <c r="N139" s="49">
        <f>VLOOKUP($A139,'Data shares'!$C:$FB,63)</f>
        <v>11857200</v>
      </c>
      <c r="O139" s="140">
        <f>VLOOKUP($A139,'Data shares'!$C:$FB,65)*100</f>
        <v>49.84</v>
      </c>
    </row>
    <row r="140" spans="1:15" x14ac:dyDescent="0.25">
      <c r="A140" s="101" t="str">
        <f>'Data shares'!C135</f>
        <v>MPHASIS</v>
      </c>
      <c r="B140" s="50">
        <f>VLOOKUP($A140,'Data shares'!$C:$FB,7)</f>
        <v>2865.3</v>
      </c>
      <c r="C140" s="50">
        <f>VLOOKUP($A140,'Data shares'!$C:$FB,10)*100</f>
        <v>0.08</v>
      </c>
      <c r="D140" s="49">
        <f>VLOOKUP($A140,'Data shares'!$C:$FB,66)</f>
        <v>2127125</v>
      </c>
      <c r="E140" s="49">
        <f>VLOOKUP($A140,'Data shares'!$C:$FB,67)</f>
        <v>2759900</v>
      </c>
      <c r="F140" s="50">
        <f>VLOOKUP($A140,'Data shares'!$C:$FB,69)*100</f>
        <v>-22.93</v>
      </c>
      <c r="G140" s="49">
        <f>VLOOKUP($A140,'Data shares'!$C:$FB,42)</f>
        <v>569250</v>
      </c>
      <c r="H140" s="49">
        <f>VLOOKUP($A140,'Data shares'!$C:$FB,43)</f>
        <v>694650</v>
      </c>
      <c r="I140" s="50">
        <f>VLOOKUP($A140,'Data shares'!$C:$FB,45)*100</f>
        <v>-18.05</v>
      </c>
      <c r="J140" s="49">
        <f>VLOOKUP($A140,'Data shares'!$C:$FB,58)</f>
        <v>1220450</v>
      </c>
      <c r="K140" s="49">
        <f>VLOOKUP($A140,'Data shares'!$C:$FB,59)</f>
        <v>1174525</v>
      </c>
      <c r="L140" s="50">
        <f>VLOOKUP($A140,'Data shares'!$C:$FB,61)*100</f>
        <v>3.91</v>
      </c>
      <c r="M140" s="49">
        <f>VLOOKUP($A140,'Data shares'!$C:$FB,62)</f>
        <v>337425</v>
      </c>
      <c r="N140" s="49">
        <f>VLOOKUP($A140,'Data shares'!$C:$FB,63)</f>
        <v>890725</v>
      </c>
      <c r="O140" s="140">
        <f>VLOOKUP($A140,'Data shares'!$C:$FB,65)*100</f>
        <v>-62.12</v>
      </c>
    </row>
    <row r="141" spans="1:15" x14ac:dyDescent="0.25">
      <c r="A141" s="101" t="str">
        <f>'Data shares'!C136</f>
        <v>MUTHOOTFIN</v>
      </c>
      <c r="B141" s="50">
        <f>VLOOKUP($A141,'Data shares'!$C:$FB,7)</f>
        <v>3766.5</v>
      </c>
      <c r="C141" s="50">
        <f>VLOOKUP($A141,'Data shares'!$C:$FB,10)*100</f>
        <v>-2.09</v>
      </c>
      <c r="D141" s="49">
        <f>VLOOKUP($A141,'Data shares'!$C:$FB,66)</f>
        <v>11112750</v>
      </c>
      <c r="E141" s="49">
        <f>VLOOKUP($A141,'Data shares'!$C:$FB,67)</f>
        <v>5038825</v>
      </c>
      <c r="F141" s="50">
        <f>VLOOKUP($A141,'Data shares'!$C:$FB,69)*100</f>
        <v>120.54</v>
      </c>
      <c r="G141" s="49">
        <f>VLOOKUP($A141,'Data shares'!$C:$FB,42)</f>
        <v>1379675</v>
      </c>
      <c r="H141" s="49">
        <f>VLOOKUP($A141,'Data shares'!$C:$FB,43)</f>
        <v>827750</v>
      </c>
      <c r="I141" s="50">
        <f>VLOOKUP($A141,'Data shares'!$C:$FB,45)*100</f>
        <v>66.679999999999993</v>
      </c>
      <c r="J141" s="49">
        <f>VLOOKUP($A141,'Data shares'!$C:$FB,58)</f>
        <v>6904700</v>
      </c>
      <c r="K141" s="49">
        <f>VLOOKUP($A141,'Data shares'!$C:$FB,59)</f>
        <v>2657875</v>
      </c>
      <c r="L141" s="50">
        <f>VLOOKUP($A141,'Data shares'!$C:$FB,61)*100</f>
        <v>159.78</v>
      </c>
      <c r="M141" s="49">
        <f>VLOOKUP($A141,'Data shares'!$C:$FB,62)</f>
        <v>2828375</v>
      </c>
      <c r="N141" s="49">
        <f>VLOOKUP($A141,'Data shares'!$C:$FB,63)</f>
        <v>1553200</v>
      </c>
      <c r="O141" s="140">
        <f>VLOOKUP($A141,'Data shares'!$C:$FB,65)*100</f>
        <v>82.1</v>
      </c>
    </row>
    <row r="142" spans="1:15" x14ac:dyDescent="0.25">
      <c r="A142" s="101" t="str">
        <f>'Data shares'!C137</f>
        <v>NATIONALUM</v>
      </c>
      <c r="B142" s="50">
        <f>VLOOKUP($A142,'Data shares'!$C:$FB,7)</f>
        <v>279.45</v>
      </c>
      <c r="C142" s="50">
        <f>VLOOKUP($A142,'Data shares'!$C:$FB,10)*100</f>
        <v>0.94000000000000006</v>
      </c>
      <c r="D142" s="49">
        <f>VLOOKUP($A142,'Data shares'!$C:$FB,66)</f>
        <v>98197500</v>
      </c>
      <c r="E142" s="49">
        <f>VLOOKUP($A142,'Data shares'!$C:$FB,67)</f>
        <v>64965000</v>
      </c>
      <c r="F142" s="50">
        <f>VLOOKUP($A142,'Data shares'!$C:$FB,69)*100</f>
        <v>51.15</v>
      </c>
      <c r="G142" s="49">
        <f>VLOOKUP($A142,'Data shares'!$C:$FB,42)</f>
        <v>15671250</v>
      </c>
      <c r="H142" s="49">
        <f>VLOOKUP($A142,'Data shares'!$C:$FB,43)</f>
        <v>14707500</v>
      </c>
      <c r="I142" s="50">
        <f>VLOOKUP($A142,'Data shares'!$C:$FB,45)*100</f>
        <v>6.5500000000000007</v>
      </c>
      <c r="J142" s="49">
        <f>VLOOKUP($A142,'Data shares'!$C:$FB,58)</f>
        <v>54761250</v>
      </c>
      <c r="K142" s="49">
        <f>VLOOKUP($A142,'Data shares'!$C:$FB,59)</f>
        <v>31260000</v>
      </c>
      <c r="L142" s="50">
        <f>VLOOKUP($A142,'Data shares'!$C:$FB,61)*100</f>
        <v>75.180000000000007</v>
      </c>
      <c r="M142" s="49">
        <f>VLOOKUP($A142,'Data shares'!$C:$FB,62)</f>
        <v>27765000</v>
      </c>
      <c r="N142" s="49">
        <f>VLOOKUP($A142,'Data shares'!$C:$FB,63)</f>
        <v>18997500</v>
      </c>
      <c r="O142" s="140">
        <f>VLOOKUP($A142,'Data shares'!$C:$FB,65)*100</f>
        <v>46.150000000000006</v>
      </c>
    </row>
    <row r="143" spans="1:15" x14ac:dyDescent="0.25">
      <c r="A143" s="101" t="str">
        <f>'Data shares'!C138</f>
        <v>NAUKRI</v>
      </c>
      <c r="B143" s="50">
        <f>VLOOKUP($A143,'Data shares'!$C:$FB,7)</f>
        <v>1338.2</v>
      </c>
      <c r="C143" s="50">
        <f>VLOOKUP($A143,'Data shares'!$C:$FB,10)*100</f>
        <v>-0.65</v>
      </c>
      <c r="D143" s="49">
        <f>VLOOKUP($A143,'Data shares'!$C:$FB,66)</f>
        <v>3103125</v>
      </c>
      <c r="E143" s="49">
        <f>VLOOKUP($A143,'Data shares'!$C:$FB,67)</f>
        <v>3079500</v>
      </c>
      <c r="F143" s="50">
        <f>VLOOKUP($A143,'Data shares'!$C:$FB,69)*100</f>
        <v>0.77</v>
      </c>
      <c r="G143" s="49">
        <f>VLOOKUP($A143,'Data shares'!$C:$FB,42)</f>
        <v>689625</v>
      </c>
      <c r="H143" s="49">
        <f>VLOOKUP($A143,'Data shares'!$C:$FB,43)</f>
        <v>796125</v>
      </c>
      <c r="I143" s="50">
        <f>VLOOKUP($A143,'Data shares'!$C:$FB,45)*100</f>
        <v>-13.38</v>
      </c>
      <c r="J143" s="49">
        <f>VLOOKUP($A143,'Data shares'!$C:$FB,58)</f>
        <v>1844625</v>
      </c>
      <c r="K143" s="49">
        <f>VLOOKUP($A143,'Data shares'!$C:$FB,59)</f>
        <v>1522875</v>
      </c>
      <c r="L143" s="50">
        <f>VLOOKUP($A143,'Data shares'!$C:$FB,61)*100</f>
        <v>21.13</v>
      </c>
      <c r="M143" s="49">
        <f>VLOOKUP($A143,'Data shares'!$C:$FB,62)</f>
        <v>568875</v>
      </c>
      <c r="N143" s="49">
        <f>VLOOKUP($A143,'Data shares'!$C:$FB,63)</f>
        <v>760500</v>
      </c>
      <c r="O143" s="140">
        <f>VLOOKUP($A143,'Data shares'!$C:$FB,65)*100</f>
        <v>-25.2</v>
      </c>
    </row>
    <row r="144" spans="1:15" x14ac:dyDescent="0.25">
      <c r="A144" s="101" t="str">
        <f>'Data shares'!C139</f>
        <v>NBCC</v>
      </c>
      <c r="B144" s="50">
        <f>VLOOKUP($A144,'Data shares'!$C:$FB,7)</f>
        <v>109.56</v>
      </c>
      <c r="C144" s="50">
        <f>VLOOKUP($A144,'Data shares'!$C:$FB,10)*100</f>
        <v>-1.9</v>
      </c>
      <c r="D144" s="49">
        <f>VLOOKUP($A144,'Data shares'!$C:$FB,66)</f>
        <v>79319500</v>
      </c>
      <c r="E144" s="49">
        <f>VLOOKUP($A144,'Data shares'!$C:$FB,67)</f>
        <v>107594500</v>
      </c>
      <c r="F144" s="50">
        <f>VLOOKUP($A144,'Data shares'!$C:$FB,69)*100</f>
        <v>-26.279999999999998</v>
      </c>
      <c r="G144" s="49">
        <f>VLOOKUP($A144,'Data shares'!$C:$FB,42)</f>
        <v>15652000</v>
      </c>
      <c r="H144" s="49">
        <f>VLOOKUP($A144,'Data shares'!$C:$FB,43)</f>
        <v>19292000</v>
      </c>
      <c r="I144" s="50">
        <f>VLOOKUP($A144,'Data shares'!$C:$FB,45)*100</f>
        <v>-18.87</v>
      </c>
      <c r="J144" s="49">
        <f>VLOOKUP($A144,'Data shares'!$C:$FB,58)</f>
        <v>49705500</v>
      </c>
      <c r="K144" s="49">
        <f>VLOOKUP($A144,'Data shares'!$C:$FB,59)</f>
        <v>54190500</v>
      </c>
      <c r="L144" s="50">
        <f>VLOOKUP($A144,'Data shares'!$C:$FB,61)*100</f>
        <v>-8.2799999999999994</v>
      </c>
      <c r="M144" s="49">
        <f>VLOOKUP($A144,'Data shares'!$C:$FB,62)</f>
        <v>13962000</v>
      </c>
      <c r="N144" s="49">
        <f>VLOOKUP($A144,'Data shares'!$C:$FB,63)</f>
        <v>34112000</v>
      </c>
      <c r="O144" s="140">
        <f>VLOOKUP($A144,'Data shares'!$C:$FB,65)*100</f>
        <v>-59.07</v>
      </c>
    </row>
    <row r="145" spans="1:15" x14ac:dyDescent="0.25">
      <c r="A145" s="101" t="str">
        <f>'Data shares'!C140</f>
        <v>NCC</v>
      </c>
      <c r="B145" s="50">
        <f>VLOOKUP($A145,'Data shares'!$C:$FB,7)</f>
        <v>155.32</v>
      </c>
      <c r="C145" s="50">
        <f>VLOOKUP($A145,'Data shares'!$C:$FB,10)*100</f>
        <v>-1.6</v>
      </c>
      <c r="D145" s="49">
        <f>VLOOKUP($A145,'Data shares'!$C:$FB,66)</f>
        <v>20160900</v>
      </c>
      <c r="E145" s="49">
        <f>VLOOKUP($A145,'Data shares'!$C:$FB,67)</f>
        <v>19402200</v>
      </c>
      <c r="F145" s="50">
        <f>VLOOKUP($A145,'Data shares'!$C:$FB,69)*100</f>
        <v>3.91</v>
      </c>
      <c r="G145" s="49">
        <f>VLOOKUP($A145,'Data shares'!$C:$FB,42)</f>
        <v>3213000</v>
      </c>
      <c r="H145" s="49">
        <f>VLOOKUP($A145,'Data shares'!$C:$FB,43)</f>
        <v>3750300</v>
      </c>
      <c r="I145" s="50">
        <f>VLOOKUP($A145,'Data shares'!$C:$FB,45)*100</f>
        <v>-14.330000000000002</v>
      </c>
      <c r="J145" s="49">
        <f>VLOOKUP($A145,'Data shares'!$C:$FB,58)</f>
        <v>11720700</v>
      </c>
      <c r="K145" s="49">
        <f>VLOOKUP($A145,'Data shares'!$C:$FB,59)</f>
        <v>11132100</v>
      </c>
      <c r="L145" s="50">
        <f>VLOOKUP($A145,'Data shares'!$C:$FB,61)*100</f>
        <v>5.29</v>
      </c>
      <c r="M145" s="49">
        <f>VLOOKUP($A145,'Data shares'!$C:$FB,62)</f>
        <v>5227200</v>
      </c>
      <c r="N145" s="49">
        <f>VLOOKUP($A145,'Data shares'!$C:$FB,63)</f>
        <v>4519800</v>
      </c>
      <c r="O145" s="140">
        <f>VLOOKUP($A145,'Data shares'!$C:$FB,65)*100</f>
        <v>15.65</v>
      </c>
    </row>
    <row r="146" spans="1:15" x14ac:dyDescent="0.25">
      <c r="A146" s="101" t="str">
        <f>'Data shares'!C141</f>
        <v>NESTLEIND</v>
      </c>
      <c r="B146" s="50">
        <f>VLOOKUP($A146,'Data shares'!$C:$FB,7)</f>
        <v>1234.5999999999999</v>
      </c>
      <c r="C146" s="50">
        <f>VLOOKUP($A146,'Data shares'!$C:$FB,10)*100</f>
        <v>-0.48</v>
      </c>
      <c r="D146" s="49">
        <f>VLOOKUP($A146,'Data shares'!$C:$FB,66)</f>
        <v>8468000</v>
      </c>
      <c r="E146" s="49">
        <f>VLOOKUP($A146,'Data shares'!$C:$FB,67)</f>
        <v>14764000</v>
      </c>
      <c r="F146" s="50">
        <f>VLOOKUP($A146,'Data shares'!$C:$FB,69)*100</f>
        <v>-42.64</v>
      </c>
      <c r="G146" s="49">
        <f>VLOOKUP($A146,'Data shares'!$C:$FB,42)</f>
        <v>2635500</v>
      </c>
      <c r="H146" s="49">
        <f>VLOOKUP($A146,'Data shares'!$C:$FB,43)</f>
        <v>1943500</v>
      </c>
      <c r="I146" s="50">
        <f>VLOOKUP($A146,'Data shares'!$C:$FB,45)*100</f>
        <v>35.61</v>
      </c>
      <c r="J146" s="49">
        <f>VLOOKUP($A146,'Data shares'!$C:$FB,58)</f>
        <v>4279500</v>
      </c>
      <c r="K146" s="49">
        <f>VLOOKUP($A146,'Data shares'!$C:$FB,59)</f>
        <v>10472000</v>
      </c>
      <c r="L146" s="50">
        <f>VLOOKUP($A146,'Data shares'!$C:$FB,61)*100</f>
        <v>-59.13</v>
      </c>
      <c r="M146" s="49">
        <f>VLOOKUP($A146,'Data shares'!$C:$FB,62)</f>
        <v>1553000</v>
      </c>
      <c r="N146" s="49">
        <f>VLOOKUP($A146,'Data shares'!$C:$FB,63)</f>
        <v>2348500</v>
      </c>
      <c r="O146" s="140">
        <f>VLOOKUP($A146,'Data shares'!$C:$FB,65)*100</f>
        <v>-33.869999999999997</v>
      </c>
    </row>
    <row r="147" spans="1:15" x14ac:dyDescent="0.25">
      <c r="A147" s="101" t="str">
        <f>'Data shares'!C142</f>
        <v>NHPC</v>
      </c>
      <c r="B147" s="50">
        <f>VLOOKUP($A147,'Data shares'!$C:$FB,7)</f>
        <v>75.39</v>
      </c>
      <c r="C147" s="50">
        <f>VLOOKUP($A147,'Data shares'!$C:$FB,10)*100</f>
        <v>-0.82000000000000006</v>
      </c>
      <c r="D147" s="49">
        <f>VLOOKUP($A147,'Data shares'!$C:$FB,66)</f>
        <v>38329600</v>
      </c>
      <c r="E147" s="49">
        <f>VLOOKUP($A147,'Data shares'!$C:$FB,67)</f>
        <v>31648000</v>
      </c>
      <c r="F147" s="50">
        <f>VLOOKUP($A147,'Data shares'!$C:$FB,69)*100</f>
        <v>21.11</v>
      </c>
      <c r="G147" s="49">
        <f>VLOOKUP($A147,'Data shares'!$C:$FB,42)</f>
        <v>10048000</v>
      </c>
      <c r="H147" s="49">
        <f>VLOOKUP($A147,'Data shares'!$C:$FB,43)</f>
        <v>7731200</v>
      </c>
      <c r="I147" s="50">
        <f>VLOOKUP($A147,'Data shares'!$C:$FB,45)*100</f>
        <v>29.970000000000002</v>
      </c>
      <c r="J147" s="49">
        <f>VLOOKUP($A147,'Data shares'!$C:$FB,58)</f>
        <v>21760000</v>
      </c>
      <c r="K147" s="49">
        <f>VLOOKUP($A147,'Data shares'!$C:$FB,59)</f>
        <v>19750400</v>
      </c>
      <c r="L147" s="50">
        <f>VLOOKUP($A147,'Data shares'!$C:$FB,61)*100</f>
        <v>10.17</v>
      </c>
      <c r="M147" s="49">
        <f>VLOOKUP($A147,'Data shares'!$C:$FB,62)</f>
        <v>6521600</v>
      </c>
      <c r="N147" s="49">
        <f>VLOOKUP($A147,'Data shares'!$C:$FB,63)</f>
        <v>4166400</v>
      </c>
      <c r="O147" s="140">
        <f>VLOOKUP($A147,'Data shares'!$C:$FB,65)*100</f>
        <v>56.53</v>
      </c>
    </row>
    <row r="148" spans="1:15" x14ac:dyDescent="0.25">
      <c r="A148" s="101" t="str">
        <f>'Data shares'!C143</f>
        <v>NIFTY</v>
      </c>
      <c r="B148" s="50">
        <f>VLOOKUP($A148,'Data shares'!$C:$FB,7)</f>
        <v>25818.55</v>
      </c>
      <c r="C148" s="50">
        <f>VLOOKUP($A148,'Data shares'!$C:$FB,10)*100</f>
        <v>-0.16</v>
      </c>
      <c r="D148" s="49">
        <f>VLOOKUP($A148,'Data shares'!$C:$FB,66)</f>
        <v>3543722625</v>
      </c>
      <c r="E148" s="49">
        <f>VLOOKUP($A148,'Data shares'!$C:$FB,67)</f>
        <v>19877074800</v>
      </c>
      <c r="F148" s="50">
        <f>VLOOKUP($A148,'Data shares'!$C:$FB,69)*100</f>
        <v>-82.17</v>
      </c>
      <c r="G148" s="49">
        <f>VLOOKUP($A148,'Data shares'!$C:$FB,42)</f>
        <v>4114275</v>
      </c>
      <c r="H148" s="49">
        <f>VLOOKUP($A148,'Data shares'!$C:$FB,43)</f>
        <v>5451450</v>
      </c>
      <c r="I148" s="50">
        <f>VLOOKUP($A148,'Data shares'!$C:$FB,45)*100</f>
        <v>-24.529999999999998</v>
      </c>
      <c r="J148" s="49">
        <f>VLOOKUP($A148,'Data shares'!$C:$FB,58)</f>
        <v>1784614800</v>
      </c>
      <c r="K148" s="49">
        <f>VLOOKUP($A148,'Data shares'!$C:$FB,59)</f>
        <v>9796774350</v>
      </c>
      <c r="L148" s="50">
        <f>VLOOKUP($A148,'Data shares'!$C:$FB,61)*100</f>
        <v>-81.78</v>
      </c>
      <c r="M148" s="49">
        <f>VLOOKUP($A148,'Data shares'!$C:$FB,62)</f>
        <v>1754993550</v>
      </c>
      <c r="N148" s="49">
        <f>VLOOKUP($A148,'Data shares'!$C:$FB,63)</f>
        <v>10074849000</v>
      </c>
      <c r="O148" s="140">
        <f>VLOOKUP($A148,'Data shares'!$C:$FB,65)*100</f>
        <v>-82.58</v>
      </c>
    </row>
    <row r="149" spans="1:15" x14ac:dyDescent="0.25">
      <c r="A149" s="101" t="str">
        <f>'Data shares'!C144</f>
        <v>NIFTYNXT50</v>
      </c>
      <c r="B149" s="50">
        <f>VLOOKUP($A149,'Data shares'!$C:$FB,7)</f>
        <v>68076.850000000006</v>
      </c>
      <c r="C149" s="50">
        <f>VLOOKUP($A149,'Data shares'!$C:$FB,10)*100</f>
        <v>-0.38</v>
      </c>
      <c r="D149" s="49">
        <f>VLOOKUP($A149,'Data shares'!$C:$FB,66)</f>
        <v>26775</v>
      </c>
      <c r="E149" s="49">
        <f>VLOOKUP($A149,'Data shares'!$C:$FB,67)</f>
        <v>19800</v>
      </c>
      <c r="F149" s="50">
        <f>VLOOKUP($A149,'Data shares'!$C:$FB,69)*100</f>
        <v>35.229999999999997</v>
      </c>
      <c r="G149" s="49">
        <f>VLOOKUP($A149,'Data shares'!$C:$FB,42)</f>
        <v>5550</v>
      </c>
      <c r="H149" s="49">
        <f>VLOOKUP($A149,'Data shares'!$C:$FB,43)</f>
        <v>4625</v>
      </c>
      <c r="I149" s="50">
        <f>VLOOKUP($A149,'Data shares'!$C:$FB,45)*100</f>
        <v>20</v>
      </c>
      <c r="J149" s="49">
        <f>VLOOKUP($A149,'Data shares'!$C:$FB,58)</f>
        <v>9000</v>
      </c>
      <c r="K149" s="49">
        <f>VLOOKUP($A149,'Data shares'!$C:$FB,59)</f>
        <v>9050</v>
      </c>
      <c r="L149" s="50">
        <f>VLOOKUP($A149,'Data shares'!$C:$FB,61)*100</f>
        <v>-0.54999999999999993</v>
      </c>
      <c r="M149" s="49">
        <f>VLOOKUP($A149,'Data shares'!$C:$FB,62)</f>
        <v>12225</v>
      </c>
      <c r="N149" s="49">
        <f>VLOOKUP($A149,'Data shares'!$C:$FB,63)</f>
        <v>6125</v>
      </c>
      <c r="O149" s="140">
        <f>VLOOKUP($A149,'Data shares'!$C:$FB,65)*100</f>
        <v>99.59</v>
      </c>
    </row>
    <row r="150" spans="1:15" x14ac:dyDescent="0.25">
      <c r="A150" s="101" t="str">
        <f>'Data shares'!C145</f>
        <v>NMDC</v>
      </c>
      <c r="B150" s="50">
        <f>VLOOKUP($A150,'Data shares'!$C:$FB,7)</f>
        <v>77.28</v>
      </c>
      <c r="C150" s="50">
        <f>VLOOKUP($A150,'Data shares'!$C:$FB,10)*100</f>
        <v>0.16999999999999998</v>
      </c>
      <c r="D150" s="49">
        <f>VLOOKUP($A150,'Data shares'!$C:$FB,66)</f>
        <v>122688000</v>
      </c>
      <c r="E150" s="49">
        <f>VLOOKUP($A150,'Data shares'!$C:$FB,67)</f>
        <v>137929500</v>
      </c>
      <c r="F150" s="50">
        <f>VLOOKUP($A150,'Data shares'!$C:$FB,69)*100</f>
        <v>-11.05</v>
      </c>
      <c r="G150" s="49">
        <f>VLOOKUP($A150,'Data shares'!$C:$FB,42)</f>
        <v>28930500</v>
      </c>
      <c r="H150" s="49">
        <f>VLOOKUP($A150,'Data shares'!$C:$FB,43)</f>
        <v>30692250</v>
      </c>
      <c r="I150" s="50">
        <f>VLOOKUP($A150,'Data shares'!$C:$FB,45)*100</f>
        <v>-5.74</v>
      </c>
      <c r="J150" s="49">
        <f>VLOOKUP($A150,'Data shares'!$C:$FB,58)</f>
        <v>70895250</v>
      </c>
      <c r="K150" s="49">
        <f>VLOOKUP($A150,'Data shares'!$C:$FB,59)</f>
        <v>72326250</v>
      </c>
      <c r="L150" s="50">
        <f>VLOOKUP($A150,'Data shares'!$C:$FB,61)*100</f>
        <v>-1.9800000000000002</v>
      </c>
      <c r="M150" s="49">
        <f>VLOOKUP($A150,'Data shares'!$C:$FB,62)</f>
        <v>22862250</v>
      </c>
      <c r="N150" s="49">
        <f>VLOOKUP($A150,'Data shares'!$C:$FB,63)</f>
        <v>34911000</v>
      </c>
      <c r="O150" s="140">
        <f>VLOOKUP($A150,'Data shares'!$C:$FB,65)*100</f>
        <v>-34.510000000000005</v>
      </c>
    </row>
    <row r="151" spans="1:15" x14ac:dyDescent="0.25">
      <c r="A151" s="101" t="str">
        <f>'Data shares'!C146</f>
        <v>NTPC</v>
      </c>
      <c r="B151" s="50">
        <f>VLOOKUP($A151,'Data shares'!$C:$FB,7)</f>
        <v>321.25</v>
      </c>
      <c r="C151" s="50">
        <f>VLOOKUP($A151,'Data shares'!$C:$FB,10)*100</f>
        <v>0.08</v>
      </c>
      <c r="D151" s="49">
        <f>VLOOKUP($A151,'Data shares'!$C:$FB,66)</f>
        <v>27538500</v>
      </c>
      <c r="E151" s="49">
        <f>VLOOKUP($A151,'Data shares'!$C:$FB,67)</f>
        <v>37863000</v>
      </c>
      <c r="F151" s="50">
        <f>VLOOKUP($A151,'Data shares'!$C:$FB,69)*100</f>
        <v>-27.27</v>
      </c>
      <c r="G151" s="49">
        <f>VLOOKUP($A151,'Data shares'!$C:$FB,42)</f>
        <v>5532000</v>
      </c>
      <c r="H151" s="49">
        <f>VLOOKUP($A151,'Data shares'!$C:$FB,43)</f>
        <v>7221000</v>
      </c>
      <c r="I151" s="50">
        <f>VLOOKUP($A151,'Data shares'!$C:$FB,45)*100</f>
        <v>-23.39</v>
      </c>
      <c r="J151" s="49">
        <f>VLOOKUP($A151,'Data shares'!$C:$FB,58)</f>
        <v>14524500</v>
      </c>
      <c r="K151" s="49">
        <f>VLOOKUP($A151,'Data shares'!$C:$FB,59)</f>
        <v>20041500</v>
      </c>
      <c r="L151" s="50">
        <f>VLOOKUP($A151,'Data shares'!$C:$FB,61)*100</f>
        <v>-27.529999999999998</v>
      </c>
      <c r="M151" s="49">
        <f>VLOOKUP($A151,'Data shares'!$C:$FB,62)</f>
        <v>7482000</v>
      </c>
      <c r="N151" s="49">
        <f>VLOOKUP($A151,'Data shares'!$C:$FB,63)</f>
        <v>10600500</v>
      </c>
      <c r="O151" s="140">
        <f>VLOOKUP($A151,'Data shares'!$C:$FB,65)*100</f>
        <v>-29.42</v>
      </c>
    </row>
    <row r="152" spans="1:15" x14ac:dyDescent="0.25">
      <c r="A152" s="101" t="str">
        <f>'Data shares'!C147</f>
        <v>NUVAMA</v>
      </c>
      <c r="B152" s="50">
        <f>VLOOKUP($A152,'Data shares'!$C:$FB,7)</f>
        <v>7171</v>
      </c>
      <c r="C152" s="50">
        <f>VLOOKUP($A152,'Data shares'!$C:$FB,10)*100</f>
        <v>-0.26</v>
      </c>
      <c r="D152" s="49">
        <f>VLOOKUP($A152,'Data shares'!$C:$FB,66)</f>
        <v>553725</v>
      </c>
      <c r="E152" s="49">
        <f>VLOOKUP($A152,'Data shares'!$C:$FB,67)</f>
        <v>446100</v>
      </c>
      <c r="F152" s="50">
        <f>VLOOKUP($A152,'Data shares'!$C:$FB,69)*100</f>
        <v>24.13</v>
      </c>
      <c r="G152" s="49">
        <f>VLOOKUP($A152,'Data shares'!$C:$FB,42)</f>
        <v>74925</v>
      </c>
      <c r="H152" s="49">
        <f>VLOOKUP($A152,'Data shares'!$C:$FB,43)</f>
        <v>75150</v>
      </c>
      <c r="I152" s="50">
        <f>VLOOKUP($A152,'Data shares'!$C:$FB,45)*100</f>
        <v>-0.3</v>
      </c>
      <c r="J152" s="49">
        <f>VLOOKUP($A152,'Data shares'!$C:$FB,58)</f>
        <v>247725</v>
      </c>
      <c r="K152" s="49">
        <f>VLOOKUP($A152,'Data shares'!$C:$FB,59)</f>
        <v>178200</v>
      </c>
      <c r="L152" s="50">
        <f>VLOOKUP($A152,'Data shares'!$C:$FB,61)*100</f>
        <v>39.019999999999996</v>
      </c>
      <c r="M152" s="49">
        <f>VLOOKUP($A152,'Data shares'!$C:$FB,62)</f>
        <v>231075</v>
      </c>
      <c r="N152" s="49">
        <f>VLOOKUP($A152,'Data shares'!$C:$FB,63)</f>
        <v>192750</v>
      </c>
      <c r="O152" s="140">
        <f>VLOOKUP($A152,'Data shares'!$C:$FB,65)*100</f>
        <v>19.88</v>
      </c>
    </row>
    <row r="153" spans="1:15" x14ac:dyDescent="0.25">
      <c r="A153" s="101" t="str">
        <f>'Data shares'!C148</f>
        <v>NYKAA</v>
      </c>
      <c r="B153" s="50">
        <f>VLOOKUP($A153,'Data shares'!$C:$FB,7)</f>
        <v>245.1</v>
      </c>
      <c r="C153" s="50">
        <f>VLOOKUP($A153,'Data shares'!$C:$FB,10)*100</f>
        <v>-0.89</v>
      </c>
      <c r="D153" s="49">
        <f>VLOOKUP($A153,'Data shares'!$C:$FB,66)</f>
        <v>21200000</v>
      </c>
      <c r="E153" s="49">
        <f>VLOOKUP($A153,'Data shares'!$C:$FB,67)</f>
        <v>29740625</v>
      </c>
      <c r="F153" s="50">
        <f>VLOOKUP($A153,'Data shares'!$C:$FB,69)*100</f>
        <v>-28.720000000000002</v>
      </c>
      <c r="G153" s="49">
        <f>VLOOKUP($A153,'Data shares'!$C:$FB,42)</f>
        <v>5112500</v>
      </c>
      <c r="H153" s="49">
        <f>VLOOKUP($A153,'Data shares'!$C:$FB,43)</f>
        <v>6756250</v>
      </c>
      <c r="I153" s="50">
        <f>VLOOKUP($A153,'Data shares'!$C:$FB,45)*100</f>
        <v>-24.33</v>
      </c>
      <c r="J153" s="49">
        <f>VLOOKUP($A153,'Data shares'!$C:$FB,58)</f>
        <v>10965625</v>
      </c>
      <c r="K153" s="49">
        <f>VLOOKUP($A153,'Data shares'!$C:$FB,59)</f>
        <v>18928125</v>
      </c>
      <c r="L153" s="50">
        <f>VLOOKUP($A153,'Data shares'!$C:$FB,61)*100</f>
        <v>-42.07</v>
      </c>
      <c r="M153" s="49">
        <f>VLOOKUP($A153,'Data shares'!$C:$FB,62)</f>
        <v>5121875</v>
      </c>
      <c r="N153" s="49">
        <f>VLOOKUP($A153,'Data shares'!$C:$FB,63)</f>
        <v>4056250</v>
      </c>
      <c r="O153" s="140">
        <f>VLOOKUP($A153,'Data shares'!$C:$FB,65)*100</f>
        <v>26.27</v>
      </c>
    </row>
    <row r="154" spans="1:15" x14ac:dyDescent="0.25">
      <c r="A154" s="101" t="str">
        <f>'Data shares'!C149</f>
        <v>OBEROIRLTY</v>
      </c>
      <c r="B154" s="50">
        <f>VLOOKUP($A154,'Data shares'!$C:$FB,7)</f>
        <v>1609.9</v>
      </c>
      <c r="C154" s="50">
        <f>VLOOKUP($A154,'Data shares'!$C:$FB,10)*100</f>
        <v>-1.04</v>
      </c>
      <c r="D154" s="49">
        <f>VLOOKUP($A154,'Data shares'!$C:$FB,66)</f>
        <v>2490600</v>
      </c>
      <c r="E154" s="49">
        <f>VLOOKUP($A154,'Data shares'!$C:$FB,67)</f>
        <v>2061500</v>
      </c>
      <c r="F154" s="50">
        <f>VLOOKUP($A154,'Data shares'!$C:$FB,69)*100</f>
        <v>20.810000000000002</v>
      </c>
      <c r="G154" s="49">
        <f>VLOOKUP($A154,'Data shares'!$C:$FB,42)</f>
        <v>512750</v>
      </c>
      <c r="H154" s="49">
        <f>VLOOKUP($A154,'Data shares'!$C:$FB,43)</f>
        <v>559300</v>
      </c>
      <c r="I154" s="50">
        <f>VLOOKUP($A154,'Data shares'!$C:$FB,45)*100</f>
        <v>-8.32</v>
      </c>
      <c r="J154" s="49">
        <f>VLOOKUP($A154,'Data shares'!$C:$FB,58)</f>
        <v>1153950</v>
      </c>
      <c r="K154" s="49">
        <f>VLOOKUP($A154,'Data shares'!$C:$FB,59)</f>
        <v>1115450</v>
      </c>
      <c r="L154" s="50">
        <f>VLOOKUP($A154,'Data shares'!$C:$FB,61)*100</f>
        <v>3.45</v>
      </c>
      <c r="M154" s="49">
        <f>VLOOKUP($A154,'Data shares'!$C:$FB,62)</f>
        <v>823900</v>
      </c>
      <c r="N154" s="49">
        <f>VLOOKUP($A154,'Data shares'!$C:$FB,63)</f>
        <v>386750</v>
      </c>
      <c r="O154" s="140">
        <f>VLOOKUP($A154,'Data shares'!$C:$FB,65)*100</f>
        <v>113.03</v>
      </c>
    </row>
    <row r="155" spans="1:15" x14ac:dyDescent="0.25">
      <c r="A155" s="101" t="str">
        <f>'Data shares'!C150</f>
        <v>OFSS</v>
      </c>
      <c r="B155" s="50">
        <f>VLOOKUP($A155,'Data shares'!$C:$FB,7)</f>
        <v>7712.5</v>
      </c>
      <c r="C155" s="50">
        <f>VLOOKUP($A155,'Data shares'!$C:$FB,10)*100</f>
        <v>-1.48</v>
      </c>
      <c r="D155" s="49">
        <f>VLOOKUP($A155,'Data shares'!$C:$FB,66)</f>
        <v>1397925</v>
      </c>
      <c r="E155" s="49">
        <f>VLOOKUP($A155,'Data shares'!$C:$FB,67)</f>
        <v>1529850</v>
      </c>
      <c r="F155" s="50">
        <f>VLOOKUP($A155,'Data shares'!$C:$FB,69)*100</f>
        <v>-8.6199999999999992</v>
      </c>
      <c r="G155" s="49">
        <f>VLOOKUP($A155,'Data shares'!$C:$FB,42)</f>
        <v>225600</v>
      </c>
      <c r="H155" s="49">
        <f>VLOOKUP($A155,'Data shares'!$C:$FB,43)</f>
        <v>216150</v>
      </c>
      <c r="I155" s="50">
        <f>VLOOKUP($A155,'Data shares'!$C:$FB,45)*100</f>
        <v>4.37</v>
      </c>
      <c r="J155" s="49">
        <f>VLOOKUP($A155,'Data shares'!$C:$FB,58)</f>
        <v>751275</v>
      </c>
      <c r="K155" s="49">
        <f>VLOOKUP($A155,'Data shares'!$C:$FB,59)</f>
        <v>642750</v>
      </c>
      <c r="L155" s="50">
        <f>VLOOKUP($A155,'Data shares'!$C:$FB,61)*100</f>
        <v>16.88</v>
      </c>
      <c r="M155" s="49">
        <f>VLOOKUP($A155,'Data shares'!$C:$FB,62)</f>
        <v>421050</v>
      </c>
      <c r="N155" s="49">
        <f>VLOOKUP($A155,'Data shares'!$C:$FB,63)</f>
        <v>670950</v>
      </c>
      <c r="O155" s="140">
        <f>VLOOKUP($A155,'Data shares'!$C:$FB,65)*100</f>
        <v>-37.25</v>
      </c>
    </row>
    <row r="156" spans="1:15" x14ac:dyDescent="0.25">
      <c r="A156" s="101" t="str">
        <f>'Data shares'!C151</f>
        <v>OIL</v>
      </c>
      <c r="B156" s="50">
        <f>VLOOKUP($A156,'Data shares'!$C:$FB,7)</f>
        <v>398.15</v>
      </c>
      <c r="C156" s="50">
        <f>VLOOKUP($A156,'Data shares'!$C:$FB,10)*100</f>
        <v>-0.88</v>
      </c>
      <c r="D156" s="49">
        <f>VLOOKUP($A156,'Data shares'!$C:$FB,66)</f>
        <v>6237000</v>
      </c>
      <c r="E156" s="49">
        <f>VLOOKUP($A156,'Data shares'!$C:$FB,67)</f>
        <v>3932600</v>
      </c>
      <c r="F156" s="50">
        <f>VLOOKUP($A156,'Data shares'!$C:$FB,69)*100</f>
        <v>58.599999999999994</v>
      </c>
      <c r="G156" s="49">
        <f>VLOOKUP($A156,'Data shares'!$C:$FB,42)</f>
        <v>1068200</v>
      </c>
      <c r="H156" s="49">
        <f>VLOOKUP($A156,'Data shares'!$C:$FB,43)</f>
        <v>961800</v>
      </c>
      <c r="I156" s="50">
        <f>VLOOKUP($A156,'Data shares'!$C:$FB,45)*100</f>
        <v>11.06</v>
      </c>
      <c r="J156" s="49">
        <f>VLOOKUP($A156,'Data shares'!$C:$FB,58)</f>
        <v>3858400</v>
      </c>
      <c r="K156" s="49">
        <f>VLOOKUP($A156,'Data shares'!$C:$FB,59)</f>
        <v>2112600</v>
      </c>
      <c r="L156" s="50">
        <f>VLOOKUP($A156,'Data shares'!$C:$FB,61)*100</f>
        <v>82.64</v>
      </c>
      <c r="M156" s="49">
        <f>VLOOKUP($A156,'Data shares'!$C:$FB,62)</f>
        <v>1310400</v>
      </c>
      <c r="N156" s="49">
        <f>VLOOKUP($A156,'Data shares'!$C:$FB,63)</f>
        <v>858200</v>
      </c>
      <c r="O156" s="140">
        <f>VLOOKUP($A156,'Data shares'!$C:$FB,65)*100</f>
        <v>52.690000000000005</v>
      </c>
    </row>
    <row r="157" spans="1:15" x14ac:dyDescent="0.25">
      <c r="A157" s="101" t="str">
        <f>'Data shares'!C152</f>
        <v>ONGC</v>
      </c>
      <c r="B157" s="50">
        <f>VLOOKUP($A157,'Data shares'!$C:$FB,7)</f>
        <v>232.91</v>
      </c>
      <c r="C157" s="50">
        <f>VLOOKUP($A157,'Data shares'!$C:$FB,10)*100</f>
        <v>0.3</v>
      </c>
      <c r="D157" s="49">
        <f>VLOOKUP($A157,'Data shares'!$C:$FB,66)</f>
        <v>68886000</v>
      </c>
      <c r="E157" s="49">
        <f>VLOOKUP($A157,'Data shares'!$C:$FB,67)</f>
        <v>62286750</v>
      </c>
      <c r="F157" s="50">
        <f>VLOOKUP($A157,'Data shares'!$C:$FB,69)*100</f>
        <v>10.59</v>
      </c>
      <c r="G157" s="49">
        <f>VLOOKUP($A157,'Data shares'!$C:$FB,42)</f>
        <v>10788750</v>
      </c>
      <c r="H157" s="49">
        <f>VLOOKUP($A157,'Data shares'!$C:$FB,43)</f>
        <v>10172250</v>
      </c>
      <c r="I157" s="50">
        <f>VLOOKUP($A157,'Data shares'!$C:$FB,45)*100</f>
        <v>6.0600000000000005</v>
      </c>
      <c r="J157" s="49">
        <f>VLOOKUP($A157,'Data shares'!$C:$FB,58)</f>
        <v>34805250</v>
      </c>
      <c r="K157" s="49">
        <f>VLOOKUP($A157,'Data shares'!$C:$FB,59)</f>
        <v>31983750</v>
      </c>
      <c r="L157" s="50">
        <f>VLOOKUP($A157,'Data shares'!$C:$FB,61)*100</f>
        <v>8.82</v>
      </c>
      <c r="M157" s="49">
        <f>VLOOKUP($A157,'Data shares'!$C:$FB,62)</f>
        <v>23292000</v>
      </c>
      <c r="N157" s="49">
        <f>VLOOKUP($A157,'Data shares'!$C:$FB,63)</f>
        <v>20130750</v>
      </c>
      <c r="O157" s="140">
        <f>VLOOKUP($A157,'Data shares'!$C:$FB,65)*100</f>
        <v>15.7</v>
      </c>
    </row>
    <row r="158" spans="1:15" x14ac:dyDescent="0.25">
      <c r="A158" s="101" t="str">
        <f>'Data shares'!C153</f>
        <v>PAGEIND</v>
      </c>
      <c r="B158" s="50">
        <f>VLOOKUP($A158,'Data shares'!$C:$FB,7)</f>
        <v>36055</v>
      </c>
      <c r="C158" s="50">
        <f>VLOOKUP($A158,'Data shares'!$C:$FB,10)*100</f>
        <v>-0.83</v>
      </c>
      <c r="D158" s="49">
        <f>VLOOKUP($A158,'Data shares'!$C:$FB,66)</f>
        <v>216180</v>
      </c>
      <c r="E158" s="49">
        <f>VLOOKUP($A158,'Data shares'!$C:$FB,67)</f>
        <v>148770</v>
      </c>
      <c r="F158" s="50">
        <f>VLOOKUP($A158,'Data shares'!$C:$FB,69)*100</f>
        <v>45.31</v>
      </c>
      <c r="G158" s="49">
        <f>VLOOKUP($A158,'Data shares'!$C:$FB,42)</f>
        <v>33195</v>
      </c>
      <c r="H158" s="49">
        <f>VLOOKUP($A158,'Data shares'!$C:$FB,43)</f>
        <v>20850</v>
      </c>
      <c r="I158" s="50">
        <f>VLOOKUP($A158,'Data shares'!$C:$FB,45)*100</f>
        <v>59.209999999999994</v>
      </c>
      <c r="J158" s="49">
        <f>VLOOKUP($A158,'Data shares'!$C:$FB,58)</f>
        <v>147465</v>
      </c>
      <c r="K158" s="49">
        <f>VLOOKUP($A158,'Data shares'!$C:$FB,59)</f>
        <v>102285</v>
      </c>
      <c r="L158" s="50">
        <f>VLOOKUP($A158,'Data shares'!$C:$FB,61)*100</f>
        <v>44.17</v>
      </c>
      <c r="M158" s="49">
        <f>VLOOKUP($A158,'Data shares'!$C:$FB,62)</f>
        <v>35520</v>
      </c>
      <c r="N158" s="49">
        <f>VLOOKUP($A158,'Data shares'!$C:$FB,63)</f>
        <v>25635</v>
      </c>
      <c r="O158" s="140">
        <f>VLOOKUP($A158,'Data shares'!$C:$FB,65)*100</f>
        <v>38.56</v>
      </c>
    </row>
    <row r="159" spans="1:15" x14ac:dyDescent="0.25">
      <c r="A159" s="101" t="str">
        <f>'Data shares'!C154</f>
        <v>PATANJALI</v>
      </c>
      <c r="B159" s="50">
        <f>VLOOKUP($A159,'Data shares'!$C:$FB,7)</f>
        <v>543.9</v>
      </c>
      <c r="C159" s="50">
        <f>VLOOKUP($A159,'Data shares'!$C:$FB,10)*100</f>
        <v>1.1199999999999999</v>
      </c>
      <c r="D159" s="49">
        <f>VLOOKUP($A159,'Data shares'!$C:$FB,66)</f>
        <v>24479100</v>
      </c>
      <c r="E159" s="49">
        <f>VLOOKUP($A159,'Data shares'!$C:$FB,67)</f>
        <v>16521300</v>
      </c>
      <c r="F159" s="50">
        <f>VLOOKUP($A159,'Data shares'!$C:$FB,69)*100</f>
        <v>48.17</v>
      </c>
      <c r="G159" s="49">
        <f>VLOOKUP($A159,'Data shares'!$C:$FB,42)</f>
        <v>9375300</v>
      </c>
      <c r="H159" s="49">
        <f>VLOOKUP($A159,'Data shares'!$C:$FB,43)</f>
        <v>7380900</v>
      </c>
      <c r="I159" s="50">
        <f>VLOOKUP($A159,'Data shares'!$C:$FB,45)*100</f>
        <v>27.02</v>
      </c>
      <c r="J159" s="49">
        <f>VLOOKUP($A159,'Data shares'!$C:$FB,58)</f>
        <v>11430000</v>
      </c>
      <c r="K159" s="49">
        <f>VLOOKUP($A159,'Data shares'!$C:$FB,59)</f>
        <v>6877800</v>
      </c>
      <c r="L159" s="50">
        <f>VLOOKUP($A159,'Data shares'!$C:$FB,61)*100</f>
        <v>66.19</v>
      </c>
      <c r="M159" s="49">
        <f>VLOOKUP($A159,'Data shares'!$C:$FB,62)</f>
        <v>3673800</v>
      </c>
      <c r="N159" s="49">
        <f>VLOOKUP($A159,'Data shares'!$C:$FB,63)</f>
        <v>2262600</v>
      </c>
      <c r="O159" s="140">
        <f>VLOOKUP($A159,'Data shares'!$C:$FB,65)*100</f>
        <v>62.370000000000005</v>
      </c>
    </row>
    <row r="160" spans="1:15" x14ac:dyDescent="0.25">
      <c r="A160" s="101" t="str">
        <f>'Data shares'!C155</f>
        <v>PAYTM</v>
      </c>
      <c r="B160" s="50">
        <f>VLOOKUP($A160,'Data shares'!$C:$FB,7)</f>
        <v>1268.5999999999999</v>
      </c>
      <c r="C160" s="50">
        <f>VLOOKUP($A160,'Data shares'!$C:$FB,10)*100</f>
        <v>-1</v>
      </c>
      <c r="D160" s="49">
        <f>VLOOKUP($A160,'Data shares'!$C:$FB,66)</f>
        <v>15566475</v>
      </c>
      <c r="E160" s="49">
        <f>VLOOKUP($A160,'Data shares'!$C:$FB,67)</f>
        <v>17048375</v>
      </c>
      <c r="F160" s="50">
        <f>VLOOKUP($A160,'Data shares'!$C:$FB,69)*100</f>
        <v>-8.6900000000000013</v>
      </c>
      <c r="G160" s="49">
        <f>VLOOKUP($A160,'Data shares'!$C:$FB,42)</f>
        <v>2379450</v>
      </c>
      <c r="H160" s="49">
        <f>VLOOKUP($A160,'Data shares'!$C:$FB,43)</f>
        <v>3298025</v>
      </c>
      <c r="I160" s="50">
        <f>VLOOKUP($A160,'Data shares'!$C:$FB,45)*100</f>
        <v>-27.85</v>
      </c>
      <c r="J160" s="49">
        <f>VLOOKUP($A160,'Data shares'!$C:$FB,58)</f>
        <v>9180675</v>
      </c>
      <c r="K160" s="49">
        <f>VLOOKUP($A160,'Data shares'!$C:$FB,59)</f>
        <v>9035675</v>
      </c>
      <c r="L160" s="50">
        <f>VLOOKUP($A160,'Data shares'!$C:$FB,61)*100</f>
        <v>1.6</v>
      </c>
      <c r="M160" s="49">
        <f>VLOOKUP($A160,'Data shares'!$C:$FB,62)</f>
        <v>4006350</v>
      </c>
      <c r="N160" s="49">
        <f>VLOOKUP($A160,'Data shares'!$C:$FB,63)</f>
        <v>4714675</v>
      </c>
      <c r="O160" s="140">
        <f>VLOOKUP($A160,'Data shares'!$C:$FB,65)*100</f>
        <v>-15.02</v>
      </c>
    </row>
    <row r="161" spans="1:15" x14ac:dyDescent="0.25">
      <c r="A161" s="101" t="str">
        <f>'Data shares'!C156</f>
        <v>PERSISTENT</v>
      </c>
      <c r="B161" s="50">
        <f>VLOOKUP($A161,'Data shares'!$C:$FB,7)</f>
        <v>6282.5</v>
      </c>
      <c r="C161" s="50">
        <f>VLOOKUP($A161,'Data shares'!$C:$FB,10)*100</f>
        <v>0.31</v>
      </c>
      <c r="D161" s="49">
        <f>VLOOKUP($A161,'Data shares'!$C:$FB,66)</f>
        <v>2317100</v>
      </c>
      <c r="E161" s="49">
        <f>VLOOKUP($A161,'Data shares'!$C:$FB,67)</f>
        <v>2388300</v>
      </c>
      <c r="F161" s="50">
        <f>VLOOKUP($A161,'Data shares'!$C:$FB,69)*100</f>
        <v>-2.98</v>
      </c>
      <c r="G161" s="49">
        <f>VLOOKUP($A161,'Data shares'!$C:$FB,42)</f>
        <v>361700</v>
      </c>
      <c r="H161" s="49">
        <f>VLOOKUP($A161,'Data shares'!$C:$FB,43)</f>
        <v>381900</v>
      </c>
      <c r="I161" s="50">
        <f>VLOOKUP($A161,'Data shares'!$C:$FB,45)*100</f>
        <v>-5.29</v>
      </c>
      <c r="J161" s="49">
        <f>VLOOKUP($A161,'Data shares'!$C:$FB,58)</f>
        <v>1334400</v>
      </c>
      <c r="K161" s="49">
        <f>VLOOKUP($A161,'Data shares'!$C:$FB,59)</f>
        <v>1158600</v>
      </c>
      <c r="L161" s="50">
        <f>VLOOKUP($A161,'Data shares'!$C:$FB,61)*100</f>
        <v>15.17</v>
      </c>
      <c r="M161" s="49">
        <f>VLOOKUP($A161,'Data shares'!$C:$FB,62)</f>
        <v>621000</v>
      </c>
      <c r="N161" s="49">
        <f>VLOOKUP($A161,'Data shares'!$C:$FB,63)</f>
        <v>847800</v>
      </c>
      <c r="O161" s="140">
        <f>VLOOKUP($A161,'Data shares'!$C:$FB,65)*100</f>
        <v>-26.75</v>
      </c>
    </row>
    <row r="162" spans="1:15" x14ac:dyDescent="0.25">
      <c r="A162" s="101" t="str">
        <f>'Data shares'!C157</f>
        <v>PETRONET</v>
      </c>
      <c r="B162" s="50">
        <f>VLOOKUP($A162,'Data shares'!$C:$FB,7)</f>
        <v>268.64999999999998</v>
      </c>
      <c r="C162" s="50">
        <f>VLOOKUP($A162,'Data shares'!$C:$FB,10)*100</f>
        <v>1.49</v>
      </c>
      <c r="D162" s="49">
        <f>VLOOKUP($A162,'Data shares'!$C:$FB,66)</f>
        <v>13039200</v>
      </c>
      <c r="E162" s="49">
        <f>VLOOKUP($A162,'Data shares'!$C:$FB,67)</f>
        <v>16588800</v>
      </c>
      <c r="F162" s="50">
        <f>VLOOKUP($A162,'Data shares'!$C:$FB,69)*100</f>
        <v>-21.4</v>
      </c>
      <c r="G162" s="49">
        <f>VLOOKUP($A162,'Data shares'!$C:$FB,42)</f>
        <v>3029400</v>
      </c>
      <c r="H162" s="49">
        <f>VLOOKUP($A162,'Data shares'!$C:$FB,43)</f>
        <v>3220200</v>
      </c>
      <c r="I162" s="50">
        <f>VLOOKUP($A162,'Data shares'!$C:$FB,45)*100</f>
        <v>-5.93</v>
      </c>
      <c r="J162" s="49">
        <f>VLOOKUP($A162,'Data shares'!$C:$FB,58)</f>
        <v>5902200</v>
      </c>
      <c r="K162" s="49">
        <f>VLOOKUP($A162,'Data shares'!$C:$FB,59)</f>
        <v>8083800</v>
      </c>
      <c r="L162" s="50">
        <f>VLOOKUP($A162,'Data shares'!$C:$FB,61)*100</f>
        <v>-26.99</v>
      </c>
      <c r="M162" s="49">
        <f>VLOOKUP($A162,'Data shares'!$C:$FB,62)</f>
        <v>4107600</v>
      </c>
      <c r="N162" s="49">
        <f>VLOOKUP($A162,'Data shares'!$C:$FB,63)</f>
        <v>5284800</v>
      </c>
      <c r="O162" s="140">
        <f>VLOOKUP($A162,'Data shares'!$C:$FB,65)*100</f>
        <v>-22.28</v>
      </c>
    </row>
    <row r="163" spans="1:15" x14ac:dyDescent="0.25">
      <c r="A163" s="101" t="str">
        <f>'Data shares'!C158</f>
        <v>PFC</v>
      </c>
      <c r="B163" s="50">
        <f>VLOOKUP($A163,'Data shares'!$C:$FB,7)</f>
        <v>335.65</v>
      </c>
      <c r="C163" s="50">
        <f>VLOOKUP($A163,'Data shares'!$C:$FB,10)*100</f>
        <v>-0.15</v>
      </c>
      <c r="D163" s="49">
        <f>VLOOKUP($A163,'Data shares'!$C:$FB,66)</f>
        <v>41528500</v>
      </c>
      <c r="E163" s="49">
        <f>VLOOKUP($A163,'Data shares'!$C:$FB,67)</f>
        <v>47490300</v>
      </c>
      <c r="F163" s="50">
        <f>VLOOKUP($A163,'Data shares'!$C:$FB,69)*100</f>
        <v>-12.55</v>
      </c>
      <c r="G163" s="49">
        <f>VLOOKUP($A163,'Data shares'!$C:$FB,42)</f>
        <v>5917600</v>
      </c>
      <c r="H163" s="49">
        <f>VLOOKUP($A163,'Data shares'!$C:$FB,43)</f>
        <v>6802900</v>
      </c>
      <c r="I163" s="50">
        <f>VLOOKUP($A163,'Data shares'!$C:$FB,45)*100</f>
        <v>-13.01</v>
      </c>
      <c r="J163" s="49">
        <f>VLOOKUP($A163,'Data shares'!$C:$FB,58)</f>
        <v>25807600</v>
      </c>
      <c r="K163" s="49">
        <f>VLOOKUP($A163,'Data shares'!$C:$FB,59)</f>
        <v>29815500</v>
      </c>
      <c r="L163" s="50">
        <f>VLOOKUP($A163,'Data shares'!$C:$FB,61)*100</f>
        <v>-13.44</v>
      </c>
      <c r="M163" s="49">
        <f>VLOOKUP($A163,'Data shares'!$C:$FB,62)</f>
        <v>9803300</v>
      </c>
      <c r="N163" s="49">
        <f>VLOOKUP($A163,'Data shares'!$C:$FB,63)</f>
        <v>10871900</v>
      </c>
      <c r="O163" s="140">
        <f>VLOOKUP($A163,'Data shares'!$C:$FB,65)*100</f>
        <v>-9.83</v>
      </c>
    </row>
    <row r="164" spans="1:15" x14ac:dyDescent="0.25">
      <c r="A164" s="101" t="str">
        <f>'Data shares'!C159</f>
        <v>PGEL</v>
      </c>
      <c r="B164" s="50">
        <f>VLOOKUP($A164,'Data shares'!$C:$FB,7)</f>
        <v>563.75</v>
      </c>
      <c r="C164" s="50">
        <f>VLOOKUP($A164,'Data shares'!$C:$FB,10)*100</f>
        <v>-1.26</v>
      </c>
      <c r="D164" s="49">
        <f>VLOOKUP($A164,'Data shares'!$C:$FB,66)</f>
        <v>11981200</v>
      </c>
      <c r="E164" s="49">
        <f>VLOOKUP($A164,'Data shares'!$C:$FB,67)</f>
        <v>17891300</v>
      </c>
      <c r="F164" s="50">
        <f>VLOOKUP($A164,'Data shares'!$C:$FB,69)*100</f>
        <v>-33.03</v>
      </c>
      <c r="G164" s="49">
        <f>VLOOKUP($A164,'Data shares'!$C:$FB,42)</f>
        <v>1470000</v>
      </c>
      <c r="H164" s="49">
        <f>VLOOKUP($A164,'Data shares'!$C:$FB,43)</f>
        <v>2650900</v>
      </c>
      <c r="I164" s="50">
        <f>VLOOKUP($A164,'Data shares'!$C:$FB,45)*100</f>
        <v>-44.55</v>
      </c>
      <c r="J164" s="49">
        <f>VLOOKUP($A164,'Data shares'!$C:$FB,58)</f>
        <v>7431200</v>
      </c>
      <c r="K164" s="49">
        <f>VLOOKUP($A164,'Data shares'!$C:$FB,59)</f>
        <v>11116700</v>
      </c>
      <c r="L164" s="50">
        <f>VLOOKUP($A164,'Data shares'!$C:$FB,61)*100</f>
        <v>-33.15</v>
      </c>
      <c r="M164" s="49">
        <f>VLOOKUP($A164,'Data shares'!$C:$FB,62)</f>
        <v>3080000</v>
      </c>
      <c r="N164" s="49">
        <f>VLOOKUP($A164,'Data shares'!$C:$FB,63)</f>
        <v>4123700</v>
      </c>
      <c r="O164" s="140">
        <f>VLOOKUP($A164,'Data shares'!$C:$FB,65)*100</f>
        <v>-25.31</v>
      </c>
    </row>
    <row r="165" spans="1:15" x14ac:dyDescent="0.25">
      <c r="A165" s="101" t="str">
        <f>'Data shares'!C160</f>
        <v>PHOENIXLTD</v>
      </c>
      <c r="B165" s="50">
        <f>VLOOKUP($A165,'Data shares'!$C:$FB,7)</f>
        <v>1781.5</v>
      </c>
      <c r="C165" s="50">
        <f>VLOOKUP($A165,'Data shares'!$C:$FB,10)*100</f>
        <v>0.03</v>
      </c>
      <c r="D165" s="49">
        <f>VLOOKUP($A165,'Data shares'!$C:$FB,66)</f>
        <v>1239350</v>
      </c>
      <c r="E165" s="49">
        <f>VLOOKUP($A165,'Data shares'!$C:$FB,67)</f>
        <v>1475250</v>
      </c>
      <c r="F165" s="50">
        <f>VLOOKUP($A165,'Data shares'!$C:$FB,69)*100</f>
        <v>-15.989999999999998</v>
      </c>
      <c r="G165" s="49">
        <f>VLOOKUP($A165,'Data shares'!$C:$FB,42)</f>
        <v>362250</v>
      </c>
      <c r="H165" s="49">
        <f>VLOOKUP($A165,'Data shares'!$C:$FB,43)</f>
        <v>475300</v>
      </c>
      <c r="I165" s="50">
        <f>VLOOKUP($A165,'Data shares'!$C:$FB,45)*100</f>
        <v>-23.78</v>
      </c>
      <c r="J165" s="49">
        <f>VLOOKUP($A165,'Data shares'!$C:$FB,58)</f>
        <v>618800</v>
      </c>
      <c r="K165" s="49">
        <f>VLOOKUP($A165,'Data shares'!$C:$FB,59)</f>
        <v>678650</v>
      </c>
      <c r="L165" s="50">
        <f>VLOOKUP($A165,'Data shares'!$C:$FB,61)*100</f>
        <v>-8.82</v>
      </c>
      <c r="M165" s="49">
        <f>VLOOKUP($A165,'Data shares'!$C:$FB,62)</f>
        <v>258300</v>
      </c>
      <c r="N165" s="49">
        <f>VLOOKUP($A165,'Data shares'!$C:$FB,63)</f>
        <v>321300</v>
      </c>
      <c r="O165" s="140">
        <f>VLOOKUP($A165,'Data shares'!$C:$FB,65)*100</f>
        <v>-19.61</v>
      </c>
    </row>
    <row r="166" spans="1:15" x14ac:dyDescent="0.25">
      <c r="A166" s="101" t="str">
        <f>'Data shares'!C161</f>
        <v>PIDILITIND</v>
      </c>
      <c r="B166" s="50">
        <f>VLOOKUP($A166,'Data shares'!$C:$FB,7)</f>
        <v>1450.7</v>
      </c>
      <c r="C166" s="50">
        <f>VLOOKUP($A166,'Data shares'!$C:$FB,10)*100</f>
        <v>-1.52</v>
      </c>
      <c r="D166" s="49">
        <f>VLOOKUP($A166,'Data shares'!$C:$FB,66)</f>
        <v>3561500</v>
      </c>
      <c r="E166" s="49">
        <f>VLOOKUP($A166,'Data shares'!$C:$FB,67)</f>
        <v>3154000</v>
      </c>
      <c r="F166" s="50">
        <f>VLOOKUP($A166,'Data shares'!$C:$FB,69)*100</f>
        <v>12.920000000000002</v>
      </c>
      <c r="G166" s="49">
        <f>VLOOKUP($A166,'Data shares'!$C:$FB,42)</f>
        <v>1406000</v>
      </c>
      <c r="H166" s="49">
        <f>VLOOKUP($A166,'Data shares'!$C:$FB,43)</f>
        <v>721500</v>
      </c>
      <c r="I166" s="50">
        <f>VLOOKUP($A166,'Data shares'!$C:$FB,45)*100</f>
        <v>94.87</v>
      </c>
      <c r="J166" s="49">
        <f>VLOOKUP($A166,'Data shares'!$C:$FB,58)</f>
        <v>1232500</v>
      </c>
      <c r="K166" s="49">
        <f>VLOOKUP($A166,'Data shares'!$C:$FB,59)</f>
        <v>1803000</v>
      </c>
      <c r="L166" s="50">
        <f>VLOOKUP($A166,'Data shares'!$C:$FB,61)*100</f>
        <v>-31.64</v>
      </c>
      <c r="M166" s="49">
        <f>VLOOKUP($A166,'Data shares'!$C:$FB,62)</f>
        <v>923000</v>
      </c>
      <c r="N166" s="49">
        <f>VLOOKUP($A166,'Data shares'!$C:$FB,63)</f>
        <v>629500</v>
      </c>
      <c r="O166" s="140">
        <f>VLOOKUP($A166,'Data shares'!$C:$FB,65)*100</f>
        <v>46.62</v>
      </c>
    </row>
    <row r="167" spans="1:15" x14ac:dyDescent="0.25">
      <c r="A167" s="101" t="str">
        <f>'Data shares'!C162</f>
        <v>PIIND</v>
      </c>
      <c r="B167" s="50">
        <f>VLOOKUP($A167,'Data shares'!$C:$FB,7)</f>
        <v>3206.2</v>
      </c>
      <c r="C167" s="50">
        <f>VLOOKUP($A167,'Data shares'!$C:$FB,10)*100</f>
        <v>-1.63</v>
      </c>
      <c r="D167" s="49">
        <f>VLOOKUP($A167,'Data shares'!$C:$FB,66)</f>
        <v>1778350</v>
      </c>
      <c r="E167" s="49">
        <f>VLOOKUP($A167,'Data shares'!$C:$FB,67)</f>
        <v>1800575</v>
      </c>
      <c r="F167" s="50">
        <f>VLOOKUP($A167,'Data shares'!$C:$FB,69)*100</f>
        <v>-1.23</v>
      </c>
      <c r="G167" s="49">
        <f>VLOOKUP($A167,'Data shares'!$C:$FB,42)</f>
        <v>342825</v>
      </c>
      <c r="H167" s="49">
        <f>VLOOKUP($A167,'Data shares'!$C:$FB,43)</f>
        <v>414750</v>
      </c>
      <c r="I167" s="50">
        <f>VLOOKUP($A167,'Data shares'!$C:$FB,45)*100</f>
        <v>-17.34</v>
      </c>
      <c r="J167" s="49">
        <f>VLOOKUP($A167,'Data shares'!$C:$FB,58)</f>
        <v>864850</v>
      </c>
      <c r="K167" s="49">
        <f>VLOOKUP($A167,'Data shares'!$C:$FB,59)</f>
        <v>924700</v>
      </c>
      <c r="L167" s="50">
        <f>VLOOKUP($A167,'Data shares'!$C:$FB,61)*100</f>
        <v>-6.47</v>
      </c>
      <c r="M167" s="49">
        <f>VLOOKUP($A167,'Data shares'!$C:$FB,62)</f>
        <v>570675</v>
      </c>
      <c r="N167" s="49">
        <f>VLOOKUP($A167,'Data shares'!$C:$FB,63)</f>
        <v>461125</v>
      </c>
      <c r="O167" s="140">
        <f>VLOOKUP($A167,'Data shares'!$C:$FB,65)*100</f>
        <v>23.76</v>
      </c>
    </row>
    <row r="168" spans="1:15" x14ac:dyDescent="0.25">
      <c r="A168" s="101" t="str">
        <f>'Data shares'!C163</f>
        <v>PNB</v>
      </c>
      <c r="B168" s="50">
        <f>VLOOKUP($A168,'Data shares'!$C:$FB,7)</f>
        <v>119.33</v>
      </c>
      <c r="C168" s="50">
        <f>VLOOKUP($A168,'Data shares'!$C:$FB,10)*100</f>
        <v>1.97</v>
      </c>
      <c r="D168" s="49">
        <f>VLOOKUP($A168,'Data shares'!$C:$FB,66)</f>
        <v>337376000</v>
      </c>
      <c r="E168" s="49">
        <f>VLOOKUP($A168,'Data shares'!$C:$FB,67)</f>
        <v>161288000</v>
      </c>
      <c r="F168" s="50">
        <f>VLOOKUP($A168,'Data shares'!$C:$FB,69)*100</f>
        <v>109.18</v>
      </c>
      <c r="G168" s="49">
        <f>VLOOKUP($A168,'Data shares'!$C:$FB,42)</f>
        <v>49816000</v>
      </c>
      <c r="H168" s="49">
        <f>VLOOKUP($A168,'Data shares'!$C:$FB,43)</f>
        <v>32288000</v>
      </c>
      <c r="I168" s="50">
        <f>VLOOKUP($A168,'Data shares'!$C:$FB,45)*100</f>
        <v>54.290000000000006</v>
      </c>
      <c r="J168" s="49">
        <f>VLOOKUP($A168,'Data shares'!$C:$FB,58)</f>
        <v>202672000</v>
      </c>
      <c r="K168" s="49">
        <f>VLOOKUP($A168,'Data shares'!$C:$FB,59)</f>
        <v>85528000</v>
      </c>
      <c r="L168" s="50">
        <f>VLOOKUP($A168,'Data shares'!$C:$FB,61)*100</f>
        <v>136.97</v>
      </c>
      <c r="M168" s="49">
        <f>VLOOKUP($A168,'Data shares'!$C:$FB,62)</f>
        <v>84888000</v>
      </c>
      <c r="N168" s="49">
        <f>VLOOKUP($A168,'Data shares'!$C:$FB,63)</f>
        <v>43472000</v>
      </c>
      <c r="O168" s="140">
        <f>VLOOKUP($A168,'Data shares'!$C:$FB,65)*100</f>
        <v>95.27</v>
      </c>
    </row>
    <row r="169" spans="1:15" x14ac:dyDescent="0.25">
      <c r="A169" s="101" t="str">
        <f>'Data shares'!C164</f>
        <v>PNBHOUSING</v>
      </c>
      <c r="B169" s="50">
        <f>VLOOKUP($A169,'Data shares'!$C:$FB,7)</f>
        <v>894.85</v>
      </c>
      <c r="C169" s="50">
        <f>VLOOKUP($A169,'Data shares'!$C:$FB,10)*100</f>
        <v>-2.0299999999999998</v>
      </c>
      <c r="D169" s="49">
        <f>VLOOKUP($A169,'Data shares'!$C:$FB,66)</f>
        <v>10686650</v>
      </c>
      <c r="E169" s="49">
        <f>VLOOKUP($A169,'Data shares'!$C:$FB,67)</f>
        <v>7270250</v>
      </c>
      <c r="F169" s="50">
        <f>VLOOKUP($A169,'Data shares'!$C:$FB,69)*100</f>
        <v>46.989999999999995</v>
      </c>
      <c r="G169" s="49">
        <f>VLOOKUP($A169,'Data shares'!$C:$FB,42)</f>
        <v>1706250</v>
      </c>
      <c r="H169" s="49">
        <f>VLOOKUP($A169,'Data shares'!$C:$FB,43)</f>
        <v>1606150</v>
      </c>
      <c r="I169" s="50">
        <f>VLOOKUP($A169,'Data shares'!$C:$FB,45)*100</f>
        <v>6.23</v>
      </c>
      <c r="J169" s="49">
        <f>VLOOKUP($A169,'Data shares'!$C:$FB,58)</f>
        <v>6043700</v>
      </c>
      <c r="K169" s="49">
        <f>VLOOKUP($A169,'Data shares'!$C:$FB,59)</f>
        <v>3728400</v>
      </c>
      <c r="L169" s="50">
        <f>VLOOKUP($A169,'Data shares'!$C:$FB,61)*100</f>
        <v>62.1</v>
      </c>
      <c r="M169" s="49">
        <f>VLOOKUP($A169,'Data shares'!$C:$FB,62)</f>
        <v>2936700</v>
      </c>
      <c r="N169" s="49">
        <f>VLOOKUP($A169,'Data shares'!$C:$FB,63)</f>
        <v>1935700</v>
      </c>
      <c r="O169" s="140">
        <f>VLOOKUP($A169,'Data shares'!$C:$FB,65)*100</f>
        <v>51.71</v>
      </c>
    </row>
    <row r="170" spans="1:15" x14ac:dyDescent="0.25">
      <c r="A170" s="101" t="str">
        <f>'Data shares'!C165</f>
        <v>POLICYBZR</v>
      </c>
      <c r="B170" s="50">
        <f>VLOOKUP($A170,'Data shares'!$C:$FB,7)</f>
        <v>1765</v>
      </c>
      <c r="C170" s="50">
        <f>VLOOKUP($A170,'Data shares'!$C:$FB,10)*100</f>
        <v>-3.05</v>
      </c>
      <c r="D170" s="49">
        <f>VLOOKUP($A170,'Data shares'!$C:$FB,66)</f>
        <v>24197250</v>
      </c>
      <c r="E170" s="49">
        <f>VLOOKUP($A170,'Data shares'!$C:$FB,67)</f>
        <v>36171800</v>
      </c>
      <c r="F170" s="50">
        <f>VLOOKUP($A170,'Data shares'!$C:$FB,69)*100</f>
        <v>-33.1</v>
      </c>
      <c r="G170" s="49">
        <f>VLOOKUP($A170,'Data shares'!$C:$FB,42)</f>
        <v>2955050</v>
      </c>
      <c r="H170" s="49">
        <f>VLOOKUP($A170,'Data shares'!$C:$FB,43)</f>
        <v>4251100</v>
      </c>
      <c r="I170" s="50">
        <f>VLOOKUP($A170,'Data shares'!$C:$FB,45)*100</f>
        <v>-30.490000000000002</v>
      </c>
      <c r="J170" s="49">
        <f>VLOOKUP($A170,'Data shares'!$C:$FB,58)</f>
        <v>10082800</v>
      </c>
      <c r="K170" s="49">
        <f>VLOOKUP($A170,'Data shares'!$C:$FB,59)</f>
        <v>13647550</v>
      </c>
      <c r="L170" s="50">
        <f>VLOOKUP($A170,'Data shares'!$C:$FB,61)*100</f>
        <v>-26.119999999999997</v>
      </c>
      <c r="M170" s="49">
        <f>VLOOKUP($A170,'Data shares'!$C:$FB,62)</f>
        <v>11159400</v>
      </c>
      <c r="N170" s="49">
        <f>VLOOKUP($A170,'Data shares'!$C:$FB,63)</f>
        <v>18273150</v>
      </c>
      <c r="O170" s="140">
        <f>VLOOKUP($A170,'Data shares'!$C:$FB,65)*100</f>
        <v>-38.93</v>
      </c>
    </row>
    <row r="171" spans="1:15" x14ac:dyDescent="0.25">
      <c r="A171" s="101" t="str">
        <f>'Data shares'!C166</f>
        <v>POLYCAB</v>
      </c>
      <c r="B171" s="50">
        <f>VLOOKUP($A171,'Data shares'!$C:$FB,7)</f>
        <v>7079.5</v>
      </c>
      <c r="C171" s="50">
        <f>VLOOKUP($A171,'Data shares'!$C:$FB,10)*100</f>
        <v>-3.83</v>
      </c>
      <c r="D171" s="49">
        <f>VLOOKUP($A171,'Data shares'!$C:$FB,66)</f>
        <v>11192750</v>
      </c>
      <c r="E171" s="49">
        <f>VLOOKUP($A171,'Data shares'!$C:$FB,67)</f>
        <v>1600375</v>
      </c>
      <c r="F171" s="50">
        <f>VLOOKUP($A171,'Data shares'!$C:$FB,69)*100</f>
        <v>599.38</v>
      </c>
      <c r="G171" s="49">
        <f>VLOOKUP($A171,'Data shares'!$C:$FB,42)</f>
        <v>1149750</v>
      </c>
      <c r="H171" s="49">
        <f>VLOOKUP($A171,'Data shares'!$C:$FB,43)</f>
        <v>378750</v>
      </c>
      <c r="I171" s="50">
        <f>VLOOKUP($A171,'Data shares'!$C:$FB,45)*100</f>
        <v>203.56</v>
      </c>
      <c r="J171" s="49">
        <f>VLOOKUP($A171,'Data shares'!$C:$FB,58)</f>
        <v>4545125</v>
      </c>
      <c r="K171" s="49">
        <f>VLOOKUP($A171,'Data shares'!$C:$FB,59)</f>
        <v>851125</v>
      </c>
      <c r="L171" s="50">
        <f>VLOOKUP($A171,'Data shares'!$C:$FB,61)*100</f>
        <v>434.01</v>
      </c>
      <c r="M171" s="49">
        <f>VLOOKUP($A171,'Data shares'!$C:$FB,62)</f>
        <v>5497875</v>
      </c>
      <c r="N171" s="49">
        <f>VLOOKUP($A171,'Data shares'!$C:$FB,63)</f>
        <v>370500</v>
      </c>
      <c r="O171" s="140">
        <f>VLOOKUP($A171,'Data shares'!$C:$FB,65)*100</f>
        <v>1383.91</v>
      </c>
    </row>
    <row r="172" spans="1:15" x14ac:dyDescent="0.25">
      <c r="A172" s="101" t="str">
        <f>'Data shares'!C167</f>
        <v>POWERGRID</v>
      </c>
      <c r="B172" s="50">
        <f>VLOOKUP($A172,'Data shares'!$C:$FB,7)</f>
        <v>261.10000000000002</v>
      </c>
      <c r="C172" s="50">
        <f>VLOOKUP($A172,'Data shares'!$C:$FB,10)*100</f>
        <v>0.28999999999999998</v>
      </c>
      <c r="D172" s="49">
        <f>VLOOKUP($A172,'Data shares'!$C:$FB,66)</f>
        <v>28842000</v>
      </c>
      <c r="E172" s="49">
        <f>VLOOKUP($A172,'Data shares'!$C:$FB,67)</f>
        <v>31722400</v>
      </c>
      <c r="F172" s="50">
        <f>VLOOKUP($A172,'Data shares'!$C:$FB,69)*100</f>
        <v>-9.08</v>
      </c>
      <c r="G172" s="49">
        <f>VLOOKUP($A172,'Data shares'!$C:$FB,42)</f>
        <v>7421400</v>
      </c>
      <c r="H172" s="49">
        <f>VLOOKUP($A172,'Data shares'!$C:$FB,43)</f>
        <v>8679200</v>
      </c>
      <c r="I172" s="50">
        <f>VLOOKUP($A172,'Data shares'!$C:$FB,45)*100</f>
        <v>-14.49</v>
      </c>
      <c r="J172" s="49">
        <f>VLOOKUP($A172,'Data shares'!$C:$FB,58)</f>
        <v>15916300</v>
      </c>
      <c r="K172" s="49">
        <f>VLOOKUP($A172,'Data shares'!$C:$FB,59)</f>
        <v>17785900</v>
      </c>
      <c r="L172" s="50">
        <f>VLOOKUP($A172,'Data shares'!$C:$FB,61)*100</f>
        <v>-10.51</v>
      </c>
      <c r="M172" s="49">
        <f>VLOOKUP($A172,'Data shares'!$C:$FB,62)</f>
        <v>5504300</v>
      </c>
      <c r="N172" s="49">
        <f>VLOOKUP($A172,'Data shares'!$C:$FB,63)</f>
        <v>5257300</v>
      </c>
      <c r="O172" s="140">
        <f>VLOOKUP($A172,'Data shares'!$C:$FB,65)*100</f>
        <v>4.7</v>
      </c>
    </row>
    <row r="173" spans="1:15" x14ac:dyDescent="0.25">
      <c r="A173" s="101" t="str">
        <f>'Data shares'!C168</f>
        <v>POWERINDIA</v>
      </c>
      <c r="B173" s="50">
        <f>VLOOKUP($A173,'Data shares'!$C:$FB,7)</f>
        <v>19150</v>
      </c>
      <c r="C173" s="50">
        <f>VLOOKUP($A173,'Data shares'!$C:$FB,10)*100</f>
        <v>-0.88</v>
      </c>
      <c r="D173" s="49">
        <f>VLOOKUP($A173,'Data shares'!$C:$FB,66)</f>
        <v>613200</v>
      </c>
      <c r="E173" s="49">
        <f>VLOOKUP($A173,'Data shares'!$C:$FB,67)</f>
        <v>358500</v>
      </c>
      <c r="F173" s="50">
        <f>VLOOKUP($A173,'Data shares'!$C:$FB,69)*100</f>
        <v>71.05</v>
      </c>
      <c r="G173" s="49">
        <f>VLOOKUP($A173,'Data shares'!$C:$FB,42)</f>
        <v>65650</v>
      </c>
      <c r="H173" s="49">
        <f>VLOOKUP($A173,'Data shares'!$C:$FB,43)</f>
        <v>42550</v>
      </c>
      <c r="I173" s="50">
        <f>VLOOKUP($A173,'Data shares'!$C:$FB,45)*100</f>
        <v>54.290000000000006</v>
      </c>
      <c r="J173" s="49">
        <f>VLOOKUP($A173,'Data shares'!$C:$FB,58)</f>
        <v>428600</v>
      </c>
      <c r="K173" s="49">
        <f>VLOOKUP($A173,'Data shares'!$C:$FB,59)</f>
        <v>230350</v>
      </c>
      <c r="L173" s="50">
        <f>VLOOKUP($A173,'Data shares'!$C:$FB,61)*100</f>
        <v>86.06</v>
      </c>
      <c r="M173" s="49">
        <f>VLOOKUP($A173,'Data shares'!$C:$FB,62)</f>
        <v>118950</v>
      </c>
      <c r="N173" s="49">
        <f>VLOOKUP($A173,'Data shares'!$C:$FB,63)</f>
        <v>85600</v>
      </c>
      <c r="O173" s="140">
        <f>VLOOKUP($A173,'Data shares'!$C:$FB,65)*100</f>
        <v>38.96</v>
      </c>
    </row>
    <row r="174" spans="1:15" x14ac:dyDescent="0.25">
      <c r="A174" s="101" t="str">
        <f>'Data shares'!C169</f>
        <v>PPLPHARMA</v>
      </c>
      <c r="B174" s="50">
        <f>VLOOKUP($A174,'Data shares'!$C:$FB,7)</f>
        <v>167.9</v>
      </c>
      <c r="C174" s="50">
        <f>VLOOKUP($A174,'Data shares'!$C:$FB,10)*100</f>
        <v>-0.42</v>
      </c>
      <c r="D174" s="49">
        <f>VLOOKUP($A174,'Data shares'!$C:$FB,66)</f>
        <v>15385000</v>
      </c>
      <c r="E174" s="49">
        <f>VLOOKUP($A174,'Data shares'!$C:$FB,67)</f>
        <v>21690000</v>
      </c>
      <c r="F174" s="50">
        <f>VLOOKUP($A174,'Data shares'!$C:$FB,69)*100</f>
        <v>-29.07</v>
      </c>
      <c r="G174" s="49">
        <f>VLOOKUP($A174,'Data shares'!$C:$FB,42)</f>
        <v>3997500</v>
      </c>
      <c r="H174" s="49">
        <f>VLOOKUP($A174,'Data shares'!$C:$FB,43)</f>
        <v>6182500</v>
      </c>
      <c r="I174" s="50">
        <f>VLOOKUP($A174,'Data shares'!$C:$FB,45)*100</f>
        <v>-35.339999999999996</v>
      </c>
      <c r="J174" s="49">
        <f>VLOOKUP($A174,'Data shares'!$C:$FB,58)</f>
        <v>8145000</v>
      </c>
      <c r="K174" s="49">
        <f>VLOOKUP($A174,'Data shares'!$C:$FB,59)</f>
        <v>11280000</v>
      </c>
      <c r="L174" s="50">
        <f>VLOOKUP($A174,'Data shares'!$C:$FB,61)*100</f>
        <v>-27.79</v>
      </c>
      <c r="M174" s="49">
        <f>VLOOKUP($A174,'Data shares'!$C:$FB,62)</f>
        <v>3242500</v>
      </c>
      <c r="N174" s="49">
        <f>VLOOKUP($A174,'Data shares'!$C:$FB,63)</f>
        <v>4227500</v>
      </c>
      <c r="O174" s="140">
        <f>VLOOKUP($A174,'Data shares'!$C:$FB,65)*100</f>
        <v>-23.3</v>
      </c>
    </row>
    <row r="175" spans="1:15" x14ac:dyDescent="0.25">
      <c r="A175" s="101" t="str">
        <f>'Data shares'!C170</f>
        <v>PRESTIGE</v>
      </c>
      <c r="B175" s="50">
        <f>VLOOKUP($A175,'Data shares'!$C:$FB,7)</f>
        <v>1607.4</v>
      </c>
      <c r="C175" s="50">
        <f>VLOOKUP($A175,'Data shares'!$C:$FB,10)*100</f>
        <v>-1.26</v>
      </c>
      <c r="D175" s="49">
        <f>VLOOKUP($A175,'Data shares'!$C:$FB,66)</f>
        <v>1768050</v>
      </c>
      <c r="E175" s="49">
        <f>VLOOKUP($A175,'Data shares'!$C:$FB,67)</f>
        <v>2962800</v>
      </c>
      <c r="F175" s="50">
        <f>VLOOKUP($A175,'Data shares'!$C:$FB,69)*100</f>
        <v>-40.33</v>
      </c>
      <c r="G175" s="49">
        <f>VLOOKUP($A175,'Data shares'!$C:$FB,42)</f>
        <v>381150</v>
      </c>
      <c r="H175" s="49">
        <f>VLOOKUP($A175,'Data shares'!$C:$FB,43)</f>
        <v>553050</v>
      </c>
      <c r="I175" s="50">
        <f>VLOOKUP($A175,'Data shares'!$C:$FB,45)*100</f>
        <v>-31.080000000000002</v>
      </c>
      <c r="J175" s="49">
        <f>VLOOKUP($A175,'Data shares'!$C:$FB,58)</f>
        <v>918450</v>
      </c>
      <c r="K175" s="49">
        <f>VLOOKUP($A175,'Data shares'!$C:$FB,59)</f>
        <v>1574550</v>
      </c>
      <c r="L175" s="50">
        <f>VLOOKUP($A175,'Data shares'!$C:$FB,61)*100</f>
        <v>-41.67</v>
      </c>
      <c r="M175" s="49">
        <f>VLOOKUP($A175,'Data shares'!$C:$FB,62)</f>
        <v>468450</v>
      </c>
      <c r="N175" s="49">
        <f>VLOOKUP($A175,'Data shares'!$C:$FB,63)</f>
        <v>835200</v>
      </c>
      <c r="O175" s="140">
        <f>VLOOKUP($A175,'Data shares'!$C:$FB,65)*100</f>
        <v>-43.91</v>
      </c>
    </row>
    <row r="176" spans="1:15" x14ac:dyDescent="0.25">
      <c r="A176" s="101" t="str">
        <f>'Data shares'!C171</f>
        <v>RBLBANK</v>
      </c>
      <c r="B176" s="50">
        <f>VLOOKUP($A176,'Data shares'!$C:$FB,7)</f>
        <v>296.95</v>
      </c>
      <c r="C176" s="50">
        <f>VLOOKUP($A176,'Data shares'!$C:$FB,10)*100</f>
        <v>-1.25</v>
      </c>
      <c r="D176" s="49">
        <f>VLOOKUP($A176,'Data shares'!$C:$FB,66)</f>
        <v>45519975</v>
      </c>
      <c r="E176" s="49">
        <f>VLOOKUP($A176,'Data shares'!$C:$FB,67)</f>
        <v>38519100</v>
      </c>
      <c r="F176" s="50">
        <f>VLOOKUP($A176,'Data shares'!$C:$FB,69)*100</f>
        <v>18.18</v>
      </c>
      <c r="G176" s="49">
        <f>VLOOKUP($A176,'Data shares'!$C:$FB,42)</f>
        <v>15843250</v>
      </c>
      <c r="H176" s="49">
        <f>VLOOKUP($A176,'Data shares'!$C:$FB,43)</f>
        <v>12271375</v>
      </c>
      <c r="I176" s="50">
        <f>VLOOKUP($A176,'Data shares'!$C:$FB,45)*100</f>
        <v>29.110000000000003</v>
      </c>
      <c r="J176" s="49">
        <f>VLOOKUP($A176,'Data shares'!$C:$FB,58)</f>
        <v>15074900</v>
      </c>
      <c r="K176" s="49">
        <f>VLOOKUP($A176,'Data shares'!$C:$FB,59)</f>
        <v>15290800</v>
      </c>
      <c r="L176" s="50">
        <f>VLOOKUP($A176,'Data shares'!$C:$FB,61)*100</f>
        <v>-1.41</v>
      </c>
      <c r="M176" s="49">
        <f>VLOOKUP($A176,'Data shares'!$C:$FB,62)</f>
        <v>14601825</v>
      </c>
      <c r="N176" s="49">
        <f>VLOOKUP($A176,'Data shares'!$C:$FB,63)</f>
        <v>10956925</v>
      </c>
      <c r="O176" s="140">
        <f>VLOOKUP($A176,'Data shares'!$C:$FB,65)*100</f>
        <v>33.269999999999996</v>
      </c>
    </row>
    <row r="177" spans="1:15" x14ac:dyDescent="0.25">
      <c r="A177" s="101" t="str">
        <f>'Data shares'!C172</f>
        <v>RECLTD</v>
      </c>
      <c r="B177" s="50">
        <f>VLOOKUP($A177,'Data shares'!$C:$FB,7)</f>
        <v>333.95</v>
      </c>
      <c r="C177" s="50">
        <f>VLOOKUP($A177,'Data shares'!$C:$FB,10)*100</f>
        <v>-0.43</v>
      </c>
      <c r="D177" s="49">
        <f>VLOOKUP($A177,'Data shares'!$C:$FB,66)</f>
        <v>52401225</v>
      </c>
      <c r="E177" s="49">
        <f>VLOOKUP($A177,'Data shares'!$C:$FB,67)</f>
        <v>53853450</v>
      </c>
      <c r="F177" s="50">
        <f>VLOOKUP($A177,'Data shares'!$C:$FB,69)*100</f>
        <v>-2.7</v>
      </c>
      <c r="G177" s="49">
        <f>VLOOKUP($A177,'Data shares'!$C:$FB,42)</f>
        <v>7016325</v>
      </c>
      <c r="H177" s="49">
        <f>VLOOKUP($A177,'Data shares'!$C:$FB,43)</f>
        <v>10449900</v>
      </c>
      <c r="I177" s="50">
        <f>VLOOKUP($A177,'Data shares'!$C:$FB,45)*100</f>
        <v>-32.86</v>
      </c>
      <c r="J177" s="49">
        <f>VLOOKUP($A177,'Data shares'!$C:$FB,58)</f>
        <v>31229850</v>
      </c>
      <c r="K177" s="49">
        <f>VLOOKUP($A177,'Data shares'!$C:$FB,59)</f>
        <v>30045375</v>
      </c>
      <c r="L177" s="50">
        <f>VLOOKUP($A177,'Data shares'!$C:$FB,61)*100</f>
        <v>3.94</v>
      </c>
      <c r="M177" s="49">
        <f>VLOOKUP($A177,'Data shares'!$C:$FB,62)</f>
        <v>14155050</v>
      </c>
      <c r="N177" s="49">
        <f>VLOOKUP($A177,'Data shares'!$C:$FB,63)</f>
        <v>13358175</v>
      </c>
      <c r="O177" s="140">
        <f>VLOOKUP($A177,'Data shares'!$C:$FB,65)*100</f>
        <v>5.9700000000000006</v>
      </c>
    </row>
    <row r="178" spans="1:15" x14ac:dyDescent="0.25">
      <c r="A178" s="101" t="str">
        <f>'Data shares'!C173</f>
        <v>RELIANCE</v>
      </c>
      <c r="B178" s="50">
        <f>VLOOKUP($A178,'Data shares'!$C:$FB,7)</f>
        <v>1544.4</v>
      </c>
      <c r="C178" s="50">
        <f>VLOOKUP($A178,'Data shares'!$C:$FB,10)*100</f>
        <v>0.13999999999999999</v>
      </c>
      <c r="D178" s="49">
        <f>VLOOKUP($A178,'Data shares'!$C:$FB,66)</f>
        <v>61101500</v>
      </c>
      <c r="E178" s="49">
        <f>VLOOKUP($A178,'Data shares'!$C:$FB,67)</f>
        <v>74204000</v>
      </c>
      <c r="F178" s="50">
        <f>VLOOKUP($A178,'Data shares'!$C:$FB,69)*100</f>
        <v>-17.66</v>
      </c>
      <c r="G178" s="49">
        <f>VLOOKUP($A178,'Data shares'!$C:$FB,42)</f>
        <v>7563500</v>
      </c>
      <c r="H178" s="49">
        <f>VLOOKUP($A178,'Data shares'!$C:$FB,43)</f>
        <v>10380000</v>
      </c>
      <c r="I178" s="50">
        <f>VLOOKUP($A178,'Data shares'!$C:$FB,45)*100</f>
        <v>-27.13</v>
      </c>
      <c r="J178" s="49">
        <f>VLOOKUP($A178,'Data shares'!$C:$FB,58)</f>
        <v>33318000</v>
      </c>
      <c r="K178" s="49">
        <f>VLOOKUP($A178,'Data shares'!$C:$FB,59)</f>
        <v>37880000</v>
      </c>
      <c r="L178" s="50">
        <f>VLOOKUP($A178,'Data shares'!$C:$FB,61)*100</f>
        <v>-12.04</v>
      </c>
      <c r="M178" s="49">
        <f>VLOOKUP($A178,'Data shares'!$C:$FB,62)</f>
        <v>20220000</v>
      </c>
      <c r="N178" s="49">
        <f>VLOOKUP($A178,'Data shares'!$C:$FB,63)</f>
        <v>25944000</v>
      </c>
      <c r="O178" s="140">
        <f>VLOOKUP($A178,'Data shares'!$C:$FB,65)*100</f>
        <v>-22.06</v>
      </c>
    </row>
    <row r="179" spans="1:15" x14ac:dyDescent="0.25">
      <c r="A179" s="101" t="str">
        <f>'Data shares'!C174</f>
        <v>RVNL</v>
      </c>
      <c r="B179" s="50">
        <f>VLOOKUP($A179,'Data shares'!$C:$FB,7)</f>
        <v>307.25</v>
      </c>
      <c r="C179" s="50">
        <f>VLOOKUP($A179,'Data shares'!$C:$FB,10)*100</f>
        <v>-0.69</v>
      </c>
      <c r="D179" s="49">
        <f>VLOOKUP($A179,'Data shares'!$C:$FB,66)</f>
        <v>15522375</v>
      </c>
      <c r="E179" s="49">
        <f>VLOOKUP($A179,'Data shares'!$C:$FB,67)</f>
        <v>13882000</v>
      </c>
      <c r="F179" s="50">
        <f>VLOOKUP($A179,'Data shares'!$C:$FB,69)*100</f>
        <v>11.82</v>
      </c>
      <c r="G179" s="49">
        <f>VLOOKUP($A179,'Data shares'!$C:$FB,42)</f>
        <v>4434375</v>
      </c>
      <c r="H179" s="49">
        <f>VLOOKUP($A179,'Data shares'!$C:$FB,43)</f>
        <v>3515875</v>
      </c>
      <c r="I179" s="50">
        <f>VLOOKUP($A179,'Data shares'!$C:$FB,45)*100</f>
        <v>26.119999999999997</v>
      </c>
      <c r="J179" s="49">
        <f>VLOOKUP($A179,'Data shares'!$C:$FB,58)</f>
        <v>9099750</v>
      </c>
      <c r="K179" s="49">
        <f>VLOOKUP($A179,'Data shares'!$C:$FB,59)</f>
        <v>7441500</v>
      </c>
      <c r="L179" s="50">
        <f>VLOOKUP($A179,'Data shares'!$C:$FB,61)*100</f>
        <v>22.28</v>
      </c>
      <c r="M179" s="49">
        <f>VLOOKUP($A179,'Data shares'!$C:$FB,62)</f>
        <v>1988250</v>
      </c>
      <c r="N179" s="49">
        <f>VLOOKUP($A179,'Data shares'!$C:$FB,63)</f>
        <v>2924625</v>
      </c>
      <c r="O179" s="140">
        <f>VLOOKUP($A179,'Data shares'!$C:$FB,65)*100</f>
        <v>-32.019999999999996</v>
      </c>
    </row>
    <row r="180" spans="1:15" x14ac:dyDescent="0.25">
      <c r="A180" s="101" t="str">
        <f>'Data shares'!C175</f>
        <v>SAIL</v>
      </c>
      <c r="B180" s="50">
        <f>VLOOKUP($A180,'Data shares'!$C:$FB,7)</f>
        <v>130.19999999999999</v>
      </c>
      <c r="C180" s="50">
        <f>VLOOKUP($A180,'Data shares'!$C:$FB,10)*100</f>
        <v>0.4</v>
      </c>
      <c r="D180" s="49">
        <f>VLOOKUP($A180,'Data shares'!$C:$FB,66)</f>
        <v>42629000</v>
      </c>
      <c r="E180" s="49">
        <f>VLOOKUP($A180,'Data shares'!$C:$FB,67)</f>
        <v>70697400</v>
      </c>
      <c r="F180" s="50">
        <f>VLOOKUP($A180,'Data shares'!$C:$FB,69)*100</f>
        <v>-39.700000000000003</v>
      </c>
      <c r="G180" s="49">
        <f>VLOOKUP($A180,'Data shares'!$C:$FB,42)</f>
        <v>14245700</v>
      </c>
      <c r="H180" s="49">
        <f>VLOOKUP($A180,'Data shares'!$C:$FB,43)</f>
        <v>24435300</v>
      </c>
      <c r="I180" s="50">
        <f>VLOOKUP($A180,'Data shares'!$C:$FB,45)*100</f>
        <v>-41.699999999999996</v>
      </c>
      <c r="J180" s="49">
        <f>VLOOKUP($A180,'Data shares'!$C:$FB,58)</f>
        <v>21695200</v>
      </c>
      <c r="K180" s="49">
        <f>VLOOKUP($A180,'Data shares'!$C:$FB,59)</f>
        <v>32961100</v>
      </c>
      <c r="L180" s="50">
        <f>VLOOKUP($A180,'Data shares'!$C:$FB,61)*100</f>
        <v>-34.18</v>
      </c>
      <c r="M180" s="49">
        <f>VLOOKUP($A180,'Data shares'!$C:$FB,62)</f>
        <v>6688100</v>
      </c>
      <c r="N180" s="49">
        <f>VLOOKUP($A180,'Data shares'!$C:$FB,63)</f>
        <v>13301000</v>
      </c>
      <c r="O180" s="140">
        <f>VLOOKUP($A180,'Data shares'!$C:$FB,65)*100</f>
        <v>-49.72</v>
      </c>
    </row>
    <row r="181" spans="1:15" x14ac:dyDescent="0.25">
      <c r="A181" s="101" t="str">
        <f>'Data shares'!C176</f>
        <v>SAMMAANCAP</v>
      </c>
      <c r="B181" s="50">
        <f>VLOOKUP($A181,'Data shares'!$C:$FB,7)</f>
        <v>145.78</v>
      </c>
      <c r="C181" s="50">
        <f>VLOOKUP($A181,'Data shares'!$C:$FB,10)*100</f>
        <v>-0.76</v>
      </c>
      <c r="D181" s="49">
        <f>VLOOKUP($A181,'Data shares'!$C:$FB,66)</f>
        <v>419095200</v>
      </c>
      <c r="E181" s="49">
        <f>VLOOKUP($A181,'Data shares'!$C:$FB,67)</f>
        <v>63747500</v>
      </c>
      <c r="F181" s="50">
        <f>VLOOKUP($A181,'Data shares'!$C:$FB,69)*100</f>
        <v>557.42999999999995</v>
      </c>
      <c r="G181" s="49">
        <f>VLOOKUP($A181,'Data shares'!$C:$FB,42)</f>
        <v>81992400</v>
      </c>
      <c r="H181" s="49">
        <f>VLOOKUP($A181,'Data shares'!$C:$FB,43)</f>
        <v>17587000</v>
      </c>
      <c r="I181" s="50">
        <f>VLOOKUP($A181,'Data shares'!$C:$FB,45)*100</f>
        <v>366.21000000000004</v>
      </c>
      <c r="J181" s="49">
        <f>VLOOKUP($A181,'Data shares'!$C:$FB,58)</f>
        <v>215111800</v>
      </c>
      <c r="K181" s="49">
        <f>VLOOKUP($A181,'Data shares'!$C:$FB,59)</f>
        <v>34860100</v>
      </c>
      <c r="L181" s="50">
        <f>VLOOKUP($A181,'Data shares'!$C:$FB,61)*100</f>
        <v>517.07000000000005</v>
      </c>
      <c r="M181" s="49">
        <f>VLOOKUP($A181,'Data shares'!$C:$FB,62)</f>
        <v>121991000</v>
      </c>
      <c r="N181" s="49">
        <f>VLOOKUP($A181,'Data shares'!$C:$FB,63)</f>
        <v>11300400</v>
      </c>
      <c r="O181" s="140">
        <f>VLOOKUP($A181,'Data shares'!$C:$FB,65)*100</f>
        <v>979.53</v>
      </c>
    </row>
    <row r="182" spans="1:15" x14ac:dyDescent="0.25">
      <c r="A182" s="101" t="str">
        <f>'Data shares'!C177</f>
        <v>SBICARD</v>
      </c>
      <c r="B182" s="50">
        <f>VLOOKUP($A182,'Data shares'!$C:$FB,7)</f>
        <v>834.4</v>
      </c>
      <c r="C182" s="50">
        <f>VLOOKUP($A182,'Data shares'!$C:$FB,10)*100</f>
        <v>-1.5699999999999998</v>
      </c>
      <c r="D182" s="49">
        <f>VLOOKUP($A182,'Data shares'!$C:$FB,66)</f>
        <v>16168000</v>
      </c>
      <c r="E182" s="49">
        <f>VLOOKUP($A182,'Data shares'!$C:$FB,67)</f>
        <v>12827200</v>
      </c>
      <c r="F182" s="50">
        <f>VLOOKUP($A182,'Data shares'!$C:$FB,69)*100</f>
        <v>26.040000000000003</v>
      </c>
      <c r="G182" s="49">
        <f>VLOOKUP($A182,'Data shares'!$C:$FB,42)</f>
        <v>2464800</v>
      </c>
      <c r="H182" s="49">
        <f>VLOOKUP($A182,'Data shares'!$C:$FB,43)</f>
        <v>2704000</v>
      </c>
      <c r="I182" s="50">
        <f>VLOOKUP($A182,'Data shares'!$C:$FB,45)*100</f>
        <v>-8.85</v>
      </c>
      <c r="J182" s="49">
        <f>VLOOKUP($A182,'Data shares'!$C:$FB,58)</f>
        <v>7242400</v>
      </c>
      <c r="K182" s="49">
        <f>VLOOKUP($A182,'Data shares'!$C:$FB,59)</f>
        <v>6535200</v>
      </c>
      <c r="L182" s="50">
        <f>VLOOKUP($A182,'Data shares'!$C:$FB,61)*100</f>
        <v>10.82</v>
      </c>
      <c r="M182" s="49">
        <f>VLOOKUP($A182,'Data shares'!$C:$FB,62)</f>
        <v>6460800</v>
      </c>
      <c r="N182" s="49">
        <f>VLOOKUP($A182,'Data shares'!$C:$FB,63)</f>
        <v>3588000</v>
      </c>
      <c r="O182" s="140">
        <f>VLOOKUP($A182,'Data shares'!$C:$FB,65)*100</f>
        <v>80.069999999999993</v>
      </c>
    </row>
    <row r="183" spans="1:15" x14ac:dyDescent="0.25">
      <c r="A183" s="101" t="str">
        <f>'Data shares'!C178</f>
        <v>SBILIFE</v>
      </c>
      <c r="B183" s="50">
        <f>VLOOKUP($A183,'Data shares'!$C:$FB,7)</f>
        <v>2010.2</v>
      </c>
      <c r="C183" s="50">
        <f>VLOOKUP($A183,'Data shares'!$C:$FB,10)*100</f>
        <v>-1.27</v>
      </c>
      <c r="D183" s="49">
        <f>VLOOKUP($A183,'Data shares'!$C:$FB,66)</f>
        <v>13345125</v>
      </c>
      <c r="E183" s="49">
        <f>VLOOKUP($A183,'Data shares'!$C:$FB,67)</f>
        <v>10862625</v>
      </c>
      <c r="F183" s="50">
        <f>VLOOKUP($A183,'Data shares'!$C:$FB,69)*100</f>
        <v>22.85</v>
      </c>
      <c r="G183" s="49">
        <f>VLOOKUP($A183,'Data shares'!$C:$FB,42)</f>
        <v>1524000</v>
      </c>
      <c r="H183" s="49">
        <f>VLOOKUP($A183,'Data shares'!$C:$FB,43)</f>
        <v>1264500</v>
      </c>
      <c r="I183" s="50">
        <f>VLOOKUP($A183,'Data shares'!$C:$FB,45)*100</f>
        <v>20.52</v>
      </c>
      <c r="J183" s="49">
        <f>VLOOKUP($A183,'Data shares'!$C:$FB,58)</f>
        <v>5845125</v>
      </c>
      <c r="K183" s="49">
        <f>VLOOKUP($A183,'Data shares'!$C:$FB,59)</f>
        <v>7215750</v>
      </c>
      <c r="L183" s="50">
        <f>VLOOKUP($A183,'Data shares'!$C:$FB,61)*100</f>
        <v>-18.990000000000002</v>
      </c>
      <c r="M183" s="49">
        <f>VLOOKUP($A183,'Data shares'!$C:$FB,62)</f>
        <v>5976000</v>
      </c>
      <c r="N183" s="49">
        <f>VLOOKUP($A183,'Data shares'!$C:$FB,63)</f>
        <v>2382375</v>
      </c>
      <c r="O183" s="140">
        <f>VLOOKUP($A183,'Data shares'!$C:$FB,65)*100</f>
        <v>150.84</v>
      </c>
    </row>
    <row r="184" spans="1:15" x14ac:dyDescent="0.25">
      <c r="A184" s="101" t="str">
        <f>'Data shares'!C179</f>
        <v>SBIN</v>
      </c>
      <c r="B184" s="50">
        <f>VLOOKUP($A184,'Data shares'!$C:$FB,7)</f>
        <v>975.85</v>
      </c>
      <c r="C184" s="50">
        <f>VLOOKUP($A184,'Data shares'!$C:$FB,10)*100</f>
        <v>1.53</v>
      </c>
      <c r="D184" s="49">
        <f>VLOOKUP($A184,'Data shares'!$C:$FB,66)</f>
        <v>183738750</v>
      </c>
      <c r="E184" s="49">
        <f>VLOOKUP($A184,'Data shares'!$C:$FB,67)</f>
        <v>74407500</v>
      </c>
      <c r="F184" s="50">
        <f>VLOOKUP($A184,'Data shares'!$C:$FB,69)*100</f>
        <v>146.94</v>
      </c>
      <c r="G184" s="49">
        <f>VLOOKUP($A184,'Data shares'!$C:$FB,42)</f>
        <v>18019500</v>
      </c>
      <c r="H184" s="49">
        <f>VLOOKUP($A184,'Data shares'!$C:$FB,43)</f>
        <v>12000000</v>
      </c>
      <c r="I184" s="50">
        <f>VLOOKUP($A184,'Data shares'!$C:$FB,45)*100</f>
        <v>50.160000000000004</v>
      </c>
      <c r="J184" s="49">
        <f>VLOOKUP($A184,'Data shares'!$C:$FB,58)</f>
        <v>104275500</v>
      </c>
      <c r="K184" s="49">
        <f>VLOOKUP($A184,'Data shares'!$C:$FB,59)</f>
        <v>37721250</v>
      </c>
      <c r="L184" s="50">
        <f>VLOOKUP($A184,'Data shares'!$C:$FB,61)*100</f>
        <v>176.44</v>
      </c>
      <c r="M184" s="49">
        <f>VLOOKUP($A184,'Data shares'!$C:$FB,62)</f>
        <v>61443750</v>
      </c>
      <c r="N184" s="49">
        <f>VLOOKUP($A184,'Data shares'!$C:$FB,63)</f>
        <v>24686250</v>
      </c>
      <c r="O184" s="140">
        <f>VLOOKUP($A184,'Data shares'!$C:$FB,65)*100</f>
        <v>148.9</v>
      </c>
    </row>
    <row r="185" spans="1:15" x14ac:dyDescent="0.25">
      <c r="A185" s="101" t="str">
        <f>'Data shares'!C180</f>
        <v>SHREECEM</v>
      </c>
      <c r="B185" s="50">
        <f>VLOOKUP($A185,'Data shares'!$C:$FB,7)</f>
        <v>26045</v>
      </c>
      <c r="C185" s="50">
        <f>VLOOKUP($A185,'Data shares'!$C:$FB,10)*100</f>
        <v>0.21</v>
      </c>
      <c r="D185" s="49">
        <f>VLOOKUP($A185,'Data shares'!$C:$FB,66)</f>
        <v>168800</v>
      </c>
      <c r="E185" s="49">
        <f>VLOOKUP($A185,'Data shares'!$C:$FB,67)</f>
        <v>533350</v>
      </c>
      <c r="F185" s="50">
        <f>VLOOKUP($A185,'Data shares'!$C:$FB,69)*100</f>
        <v>-68.349999999999994</v>
      </c>
      <c r="G185" s="49">
        <f>VLOOKUP($A185,'Data shares'!$C:$FB,42)</f>
        <v>37650</v>
      </c>
      <c r="H185" s="49">
        <f>VLOOKUP($A185,'Data shares'!$C:$FB,43)</f>
        <v>69925</v>
      </c>
      <c r="I185" s="50">
        <f>VLOOKUP($A185,'Data shares'!$C:$FB,45)*100</f>
        <v>-46.160000000000004</v>
      </c>
      <c r="J185" s="49">
        <f>VLOOKUP($A185,'Data shares'!$C:$FB,58)</f>
        <v>110725</v>
      </c>
      <c r="K185" s="49">
        <f>VLOOKUP($A185,'Data shares'!$C:$FB,59)</f>
        <v>300250</v>
      </c>
      <c r="L185" s="50">
        <f>VLOOKUP($A185,'Data shares'!$C:$FB,61)*100</f>
        <v>-63.12</v>
      </c>
      <c r="M185" s="49">
        <f>VLOOKUP($A185,'Data shares'!$C:$FB,62)</f>
        <v>20425</v>
      </c>
      <c r="N185" s="49">
        <f>VLOOKUP($A185,'Data shares'!$C:$FB,63)</f>
        <v>163175</v>
      </c>
      <c r="O185" s="140">
        <f>VLOOKUP($A185,'Data shares'!$C:$FB,65)*100</f>
        <v>-87.48</v>
      </c>
    </row>
    <row r="186" spans="1:15" x14ac:dyDescent="0.25">
      <c r="A186" s="101" t="str">
        <f>'Data shares'!C181</f>
        <v>SHRIRAMFIN</v>
      </c>
      <c r="B186" s="50">
        <f>VLOOKUP($A186,'Data shares'!$C:$FB,7)</f>
        <v>864.2</v>
      </c>
      <c r="C186" s="50">
        <f>VLOOKUP($A186,'Data shares'!$C:$FB,10)*100</f>
        <v>1.8599999999999999</v>
      </c>
      <c r="D186" s="49">
        <f>VLOOKUP($A186,'Data shares'!$C:$FB,66)</f>
        <v>120237150</v>
      </c>
      <c r="E186" s="49">
        <f>VLOOKUP($A186,'Data shares'!$C:$FB,67)</f>
        <v>32554500</v>
      </c>
      <c r="F186" s="50">
        <f>VLOOKUP($A186,'Data shares'!$C:$FB,69)*100</f>
        <v>269.33999999999997</v>
      </c>
      <c r="G186" s="49">
        <f>VLOOKUP($A186,'Data shares'!$C:$FB,42)</f>
        <v>15138750</v>
      </c>
      <c r="H186" s="49">
        <f>VLOOKUP($A186,'Data shares'!$C:$FB,43)</f>
        <v>6526575</v>
      </c>
      <c r="I186" s="50">
        <f>VLOOKUP($A186,'Data shares'!$C:$FB,45)*100</f>
        <v>131.96</v>
      </c>
      <c r="J186" s="49">
        <f>VLOOKUP($A186,'Data shares'!$C:$FB,58)</f>
        <v>77833800</v>
      </c>
      <c r="K186" s="49">
        <f>VLOOKUP($A186,'Data shares'!$C:$FB,59)</f>
        <v>17235900</v>
      </c>
      <c r="L186" s="50">
        <f>VLOOKUP($A186,'Data shares'!$C:$FB,61)*100</f>
        <v>351.58</v>
      </c>
      <c r="M186" s="49">
        <f>VLOOKUP($A186,'Data shares'!$C:$FB,62)</f>
        <v>27264600</v>
      </c>
      <c r="N186" s="49">
        <f>VLOOKUP($A186,'Data shares'!$C:$FB,63)</f>
        <v>8792025</v>
      </c>
      <c r="O186" s="140">
        <f>VLOOKUP($A186,'Data shares'!$C:$FB,65)*100</f>
        <v>210.11</v>
      </c>
    </row>
    <row r="187" spans="1:15" x14ac:dyDescent="0.25">
      <c r="A187" s="101" t="str">
        <f>'Data shares'!C182</f>
        <v>SIEMENS</v>
      </c>
      <c r="B187" s="50">
        <f>VLOOKUP($A187,'Data shares'!$C:$FB,7)</f>
        <v>3140.1</v>
      </c>
      <c r="C187" s="50">
        <f>VLOOKUP($A187,'Data shares'!$C:$FB,10)*100</f>
        <v>-0.67</v>
      </c>
      <c r="D187" s="49">
        <f>VLOOKUP($A187,'Data shares'!$C:$FB,66)</f>
        <v>2350250</v>
      </c>
      <c r="E187" s="49">
        <f>VLOOKUP($A187,'Data shares'!$C:$FB,67)</f>
        <v>3009500</v>
      </c>
      <c r="F187" s="50">
        <f>VLOOKUP($A187,'Data shares'!$C:$FB,69)*100</f>
        <v>-21.91</v>
      </c>
      <c r="G187" s="49">
        <f>VLOOKUP($A187,'Data shares'!$C:$FB,42)</f>
        <v>309625</v>
      </c>
      <c r="H187" s="49">
        <f>VLOOKUP($A187,'Data shares'!$C:$FB,43)</f>
        <v>445375</v>
      </c>
      <c r="I187" s="50">
        <f>VLOOKUP($A187,'Data shares'!$C:$FB,45)*100</f>
        <v>-30.48</v>
      </c>
      <c r="J187" s="49">
        <f>VLOOKUP($A187,'Data shares'!$C:$FB,58)</f>
        <v>1455000</v>
      </c>
      <c r="K187" s="49">
        <f>VLOOKUP($A187,'Data shares'!$C:$FB,59)</f>
        <v>1684625</v>
      </c>
      <c r="L187" s="50">
        <f>VLOOKUP($A187,'Data shares'!$C:$FB,61)*100</f>
        <v>-13.63</v>
      </c>
      <c r="M187" s="49">
        <f>VLOOKUP($A187,'Data shares'!$C:$FB,62)</f>
        <v>585625</v>
      </c>
      <c r="N187" s="49">
        <f>VLOOKUP($A187,'Data shares'!$C:$FB,63)</f>
        <v>879500</v>
      </c>
      <c r="O187" s="140">
        <f>VLOOKUP($A187,'Data shares'!$C:$FB,65)*100</f>
        <v>-33.410000000000004</v>
      </c>
    </row>
    <row r="188" spans="1:15" x14ac:dyDescent="0.25">
      <c r="A188" s="101" t="str">
        <f>'Data shares'!C183</f>
        <v>SOLARINDS</v>
      </c>
      <c r="B188" s="50">
        <f>VLOOKUP($A188,'Data shares'!$C:$FB,7)</f>
        <v>11815</v>
      </c>
      <c r="C188" s="50">
        <f>VLOOKUP($A188,'Data shares'!$C:$FB,10)*100</f>
        <v>-0.86</v>
      </c>
      <c r="D188" s="49">
        <f>VLOOKUP($A188,'Data shares'!$C:$FB,66)</f>
        <v>1171275</v>
      </c>
      <c r="E188" s="49">
        <f>VLOOKUP($A188,'Data shares'!$C:$FB,67)</f>
        <v>1521825</v>
      </c>
      <c r="F188" s="50">
        <f>VLOOKUP($A188,'Data shares'!$C:$FB,69)*100</f>
        <v>-23.03</v>
      </c>
      <c r="G188" s="49">
        <f>VLOOKUP($A188,'Data shares'!$C:$FB,42)</f>
        <v>122400</v>
      </c>
      <c r="H188" s="49">
        <f>VLOOKUP($A188,'Data shares'!$C:$FB,43)</f>
        <v>177225</v>
      </c>
      <c r="I188" s="50">
        <f>VLOOKUP($A188,'Data shares'!$C:$FB,45)*100</f>
        <v>-30.94</v>
      </c>
      <c r="J188" s="49">
        <f>VLOOKUP($A188,'Data shares'!$C:$FB,58)</f>
        <v>643575</v>
      </c>
      <c r="K188" s="49">
        <f>VLOOKUP($A188,'Data shares'!$C:$FB,59)</f>
        <v>932475</v>
      </c>
      <c r="L188" s="50">
        <f>VLOOKUP($A188,'Data shares'!$C:$FB,61)*100</f>
        <v>-30.98</v>
      </c>
      <c r="M188" s="49">
        <f>VLOOKUP($A188,'Data shares'!$C:$FB,62)</f>
        <v>405300</v>
      </c>
      <c r="N188" s="49">
        <f>VLOOKUP($A188,'Data shares'!$C:$FB,63)</f>
        <v>412125</v>
      </c>
      <c r="O188" s="140">
        <f>VLOOKUP($A188,'Data shares'!$C:$FB,65)*100</f>
        <v>-1.66</v>
      </c>
    </row>
    <row r="189" spans="1:15" x14ac:dyDescent="0.25">
      <c r="A189" s="101" t="str">
        <f>'Data shares'!C215</f>
        <v>ZYDUSLIFE</v>
      </c>
      <c r="B189" s="50">
        <f>VLOOKUP($A189,'Data shares'!$C:$FB,7)</f>
        <v>918.1</v>
      </c>
      <c r="C189" s="50">
        <f>VLOOKUP($A189,'Data shares'!$C:$FB,10)*100</f>
        <v>0.41000000000000003</v>
      </c>
      <c r="D189" s="49">
        <f>VLOOKUP($A189,'Data shares'!$C:$FB,66)</f>
        <v>3155400</v>
      </c>
      <c r="E189" s="49">
        <f>VLOOKUP($A189,'Data shares'!$C:$FB,67)</f>
        <v>6210900</v>
      </c>
      <c r="F189" s="50">
        <f>VLOOKUP($A189,'Data shares'!$C:$FB,69)*100</f>
        <v>-49.2</v>
      </c>
      <c r="G189" s="49">
        <f>VLOOKUP($A189,'Data shares'!$C:$FB,42)</f>
        <v>846000</v>
      </c>
      <c r="H189" s="49">
        <f>VLOOKUP($A189,'Data shares'!$C:$FB,43)</f>
        <v>1282500</v>
      </c>
      <c r="I189" s="50">
        <f>VLOOKUP($A189,'Data shares'!$C:$FB,45)*100</f>
        <v>-34.04</v>
      </c>
      <c r="J189" s="49">
        <f>VLOOKUP($A189,'Data shares'!$C:$FB,58)</f>
        <v>1771200</v>
      </c>
      <c r="K189" s="49">
        <f>VLOOKUP($A189,'Data shares'!$C:$FB,59)</f>
        <v>3897900</v>
      </c>
      <c r="L189" s="50">
        <f>VLOOKUP($A189,'Data shares'!$C:$FB,61)*100</f>
        <v>-54.559999999999995</v>
      </c>
      <c r="M189" s="49">
        <f>VLOOKUP($A189,'Data shares'!$C:$FB,62)</f>
        <v>538200</v>
      </c>
      <c r="N189" s="49">
        <f>VLOOKUP($A189,'Data shares'!$C:$FB,63)</f>
        <v>1030500</v>
      </c>
      <c r="O189" s="140">
        <f>VLOOKUP($A189,'Data shares'!$C:$FB,65)*100</f>
        <v>-47.77</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12234983215</v>
      </c>
      <c r="E209" s="133">
        <f>SUM(E7:E172)</f>
        <v>29534330357</v>
      </c>
      <c r="F209" s="134">
        <f>(D209-E209)/E209</f>
        <v>-0.58573690118895283</v>
      </c>
      <c r="G209" s="133">
        <f>SUM(G7:G172)</f>
        <v>1493221357</v>
      </c>
      <c r="H209" s="133">
        <f>SUM(H7:H172)</f>
        <v>1805798095</v>
      </c>
      <c r="I209" s="134">
        <f>(G209-H209)/H209</f>
        <v>-0.17309617219415663</v>
      </c>
      <c r="J209" s="133">
        <f>SUM(J7:J172)</f>
        <v>6931303035</v>
      </c>
      <c r="K209" s="133">
        <f>SUM(K7:K172)</f>
        <v>15156926306</v>
      </c>
      <c r="L209" s="134">
        <f>(J209-K209)/K209</f>
        <v>-0.54269731902990226</v>
      </c>
      <c r="M209" s="133">
        <f>SUM(M7:M172)</f>
        <v>3810458823</v>
      </c>
      <c r="N209" s="133">
        <f>SUM(N7:N172)</f>
        <v>12571605956</v>
      </c>
      <c r="O209" s="134">
        <f>(M209-N209)/N209</f>
        <v>-0.69689959768573584</v>
      </c>
    </row>
    <row r="210" spans="1:15" x14ac:dyDescent="0.25">
      <c r="A210" s="133" t="s">
        <v>398</v>
      </c>
      <c r="B210" s="133"/>
      <c r="C210" s="133"/>
      <c r="D210" s="133">
        <f>D209/10000000</f>
        <v>1223.4983215</v>
      </c>
      <c r="E210" s="133">
        <f>E209/10000000</f>
        <v>2953.4330356999999</v>
      </c>
      <c r="F210" s="134">
        <f>(D210-E210)/E210</f>
        <v>-0.58573690118895283</v>
      </c>
      <c r="G210" s="133">
        <f>G209/10000000</f>
        <v>149.32213569999999</v>
      </c>
      <c r="H210" s="133">
        <f>H209/10000000</f>
        <v>180.57980950000001</v>
      </c>
      <c r="I210" s="134">
        <f>(G210-H210)/H210</f>
        <v>-0.17309617219415674</v>
      </c>
      <c r="J210" s="133">
        <f>J209/10000000</f>
        <v>693.13030349999997</v>
      </c>
      <c r="K210" s="133">
        <f>K209/10000000</f>
        <v>1515.6926306</v>
      </c>
      <c r="L210" s="134">
        <f>(J210-K210)/K210</f>
        <v>-0.54269731902990226</v>
      </c>
      <c r="M210" s="133">
        <f>M209/10000000</f>
        <v>381.04588230000002</v>
      </c>
      <c r="N210" s="133">
        <f>N209/10000000</f>
        <v>1257.1605956000001</v>
      </c>
      <c r="O210" s="134">
        <f>(M210-N210)/N210</f>
        <v>-0.69689959768573584</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46008</v>
      </c>
      <c r="C6" s="76" t="s">
        <v>322</v>
      </c>
      <c r="D6" s="76" t="s">
        <v>328</v>
      </c>
      <c r="E6" s="3">
        <f>B6</f>
        <v>46008</v>
      </c>
      <c r="F6" s="76" t="s">
        <v>322</v>
      </c>
      <c r="G6" s="76" t="s">
        <v>328</v>
      </c>
      <c r="H6" s="3">
        <f>E6</f>
        <v>46008</v>
      </c>
      <c r="I6" s="76" t="s">
        <v>333</v>
      </c>
      <c r="J6" s="3">
        <f>E6</f>
        <v>46008</v>
      </c>
      <c r="K6" s="76" t="s">
        <v>333</v>
      </c>
      <c r="L6" s="3">
        <f>E6</f>
        <v>46008</v>
      </c>
      <c r="M6" s="76" t="s">
        <v>333</v>
      </c>
      <c r="N6" s="3">
        <f>E6</f>
        <v>46008</v>
      </c>
      <c r="O6" s="76" t="s">
        <v>333</v>
      </c>
    </row>
    <row r="7" spans="1:19" x14ac:dyDescent="0.25">
      <c r="A7" s="105" t="str">
        <f>'Data shares'!C2</f>
        <v>360ONE</v>
      </c>
      <c r="B7" s="143">
        <f>VLOOKUP($A7,'Data shares'!$C:$FA,118)</f>
        <v>0.63</v>
      </c>
      <c r="C7" s="143">
        <f>VLOOKUP($A7,'Data shares'!$C:$FA,119)</f>
        <v>0.62</v>
      </c>
      <c r="D7" s="143">
        <f>VLOOKUP($A7,'Data shares'!$C:$FA,121)*100</f>
        <v>1.6099999999999999</v>
      </c>
      <c r="E7" s="143">
        <f>VLOOKUP($A7,'Data shares'!$C:$FA,124)</f>
        <v>0.61</v>
      </c>
      <c r="F7" s="143">
        <f>VLOOKUP($A7,'Data shares'!$C:$FA,125)</f>
        <v>0.46</v>
      </c>
      <c r="G7" s="143">
        <f>VLOOKUP($A7,'Data shares'!$C:$FA,127)*100</f>
        <v>32.61</v>
      </c>
      <c r="H7" s="103">
        <f>VLOOKUP($A7,'OI(Volume)'!$A$7:$O$427,8)</f>
        <v>1722000</v>
      </c>
      <c r="I7" s="103">
        <f>VLOOKUP($A7,'OI(Volume)'!$A$7:$O$427,9)</f>
        <v>85500</v>
      </c>
      <c r="J7" s="103">
        <f>VLOOKUP($A7,'OI(Volume)'!$A$7:$O$427,11)</f>
        <v>1085000</v>
      </c>
      <c r="K7" s="103">
        <f>VLOOKUP($A7,'OI(Volume)'!$A$7:$O$427,12)</f>
        <v>64000</v>
      </c>
      <c r="L7" s="103">
        <f>VLOOKUP($A7,'OI(Value)'!$A$7:$O$306,8,0)</f>
        <v>195</v>
      </c>
      <c r="M7" s="103">
        <f>VLOOKUP($A7,'OI(Value)'!$A$7:$O$306,9,0)</f>
        <v>10</v>
      </c>
      <c r="N7" s="103">
        <f>VLOOKUP($A7,'OI(Value)'!$A$7:$O$306,11,0)</f>
        <v>123</v>
      </c>
      <c r="O7" s="103">
        <f>VLOOKUP($A7,'OI(Value)'!$A$7:$O$306,12,0)</f>
        <v>7</v>
      </c>
      <c r="P7" s="179">
        <f>VLOOKUP(A7,'OI(Value)'!A7:O182,8,0)</f>
        <v>195</v>
      </c>
      <c r="Q7" s="179">
        <f>VLOOKUP(A7,'OI(Value)'!A7:O182,9,0)</f>
        <v>10</v>
      </c>
      <c r="R7" s="179">
        <f>VLOOKUP(A7,'OI(Value)'!A7:O182,11,0)</f>
        <v>123</v>
      </c>
      <c r="S7" s="179">
        <f>VLOOKUP(A7,'OI(Value)'!A7:O182,12,0)</f>
        <v>7</v>
      </c>
    </row>
    <row r="8" spans="1:19" x14ac:dyDescent="0.25">
      <c r="A8" s="105" t="str">
        <f>'Data shares'!C3</f>
        <v>ABB</v>
      </c>
      <c r="B8" s="143">
        <f>VLOOKUP($A8,'Data shares'!$C:$FA,118)</f>
        <v>0.78</v>
      </c>
      <c r="C8" s="143">
        <f>VLOOKUP($A8,'Data shares'!$C:$FA,119)</f>
        <v>0.83</v>
      </c>
      <c r="D8" s="143">
        <f>VLOOKUP($A8,'Data shares'!$C:$FA,121)*100</f>
        <v>-6.02</v>
      </c>
      <c r="E8" s="143">
        <f>VLOOKUP($A8,'Data shares'!$C:$FA,124)</f>
        <v>0.5</v>
      </c>
      <c r="F8" s="143">
        <f>VLOOKUP($A8,'Data shares'!$C:$FA,125)</f>
        <v>0.52</v>
      </c>
      <c r="G8" s="143">
        <f>VLOOKUP($A8,'Data shares'!$C:$FA,127)*100</f>
        <v>-3.85</v>
      </c>
      <c r="H8" s="103">
        <f>VLOOKUP($A8,'OI(Volume)'!$A$7:$O$427,8)</f>
        <v>871875</v>
      </c>
      <c r="I8" s="103">
        <f>VLOOKUP($A8,'OI(Volume)'!$A$7:$O$427,9)</f>
        <v>43625</v>
      </c>
      <c r="J8" s="103">
        <f>VLOOKUP($A8,'OI(Volume)'!$A$7:$O$427,11)</f>
        <v>676000</v>
      </c>
      <c r="K8" s="103">
        <f>VLOOKUP($A8,'OI(Volume)'!$A$7:$O$427,12)</f>
        <v>-14500</v>
      </c>
      <c r="L8" s="103">
        <f>VLOOKUP($A8,'OI(Value)'!$A$7:$O$306,8,0)</f>
        <v>453</v>
      </c>
      <c r="M8" s="103">
        <f>VLOOKUP($A8,'OI(Value)'!$A$7:$O$306,9,0)</f>
        <v>23</v>
      </c>
      <c r="N8" s="103">
        <f>VLOOKUP($A8,'OI(Value)'!$A$7:$O$306,11,0)</f>
        <v>351</v>
      </c>
      <c r="O8" s="103">
        <f>VLOOKUP($A8,'OI(Value)'!$A$7:$O$306,12,0)</f>
        <v>-8</v>
      </c>
      <c r="P8" s="179">
        <f>VLOOKUP(A8,'OI(Value)'!A8:O209,8,0)</f>
        <v>453</v>
      </c>
      <c r="Q8" s="179">
        <f>VLOOKUP(A8,'OI(Value)'!A8:O209,9,0)</f>
        <v>23</v>
      </c>
      <c r="R8" s="179">
        <f>VLOOKUP(A8,'OI(Value)'!A8:O209,11,0)</f>
        <v>351</v>
      </c>
      <c r="S8" s="179">
        <f>VLOOKUP(A8,'OI(Value)'!A8:O209,11,0)</f>
        <v>351</v>
      </c>
    </row>
    <row r="9" spans="1:19" x14ac:dyDescent="0.25">
      <c r="A9" s="105" t="str">
        <f>'Data shares'!C4</f>
        <v>ABCAPITAL</v>
      </c>
      <c r="B9" s="143">
        <f>VLOOKUP($A9,'Data shares'!$C:$FA,118)</f>
        <v>0.65</v>
      </c>
      <c r="C9" s="143">
        <f>VLOOKUP($A9,'Data shares'!$C:$FA,119)</f>
        <v>0.66</v>
      </c>
      <c r="D9" s="143">
        <f>VLOOKUP($A9,'Data shares'!$C:$FA,121)*100</f>
        <v>-1.52</v>
      </c>
      <c r="E9" s="143">
        <f>VLOOKUP($A9,'Data shares'!$C:$FA,124)</f>
        <v>0.55000000000000004</v>
      </c>
      <c r="F9" s="143">
        <f>VLOOKUP($A9,'Data shares'!$C:$FA,125)</f>
        <v>0.37</v>
      </c>
      <c r="G9" s="143">
        <f>VLOOKUP($A9,'Data shares'!$C:$FA,127)*100</f>
        <v>48.65</v>
      </c>
      <c r="H9" s="103">
        <f>VLOOKUP($A9,'OI(Volume)'!$A$7:$O$427,8)</f>
        <v>27174600</v>
      </c>
      <c r="I9" s="103">
        <f>VLOOKUP($A9,'OI(Volume)'!$A$7:$O$427,9)</f>
        <v>1215200</v>
      </c>
      <c r="J9" s="103">
        <f>VLOOKUP($A9,'OI(Volume)'!$A$7:$O$427,11)</f>
        <v>17772300</v>
      </c>
      <c r="K9" s="103">
        <f>VLOOKUP($A9,'OI(Volume)'!$A$7:$O$427,12)</f>
        <v>629300</v>
      </c>
      <c r="L9" s="103">
        <f>VLOOKUP($A9,'OI(Value)'!$A$7:$O$306,8,0)</f>
        <v>945</v>
      </c>
      <c r="M9" s="103">
        <f>VLOOKUP($A9,'OI(Value)'!$A$7:$O$306,9,0)</f>
        <v>42</v>
      </c>
      <c r="N9" s="103">
        <f>VLOOKUP($A9,'OI(Value)'!$A$7:$O$306,11,0)</f>
        <v>618</v>
      </c>
      <c r="O9" s="103">
        <f>VLOOKUP($A9,'OI(Value)'!$A$7:$O$306,12,0)</f>
        <v>22</v>
      </c>
      <c r="P9" s="179">
        <f>VLOOKUP(A9,'OI(Value)'!A9:O210,8,0)</f>
        <v>945</v>
      </c>
      <c r="Q9" s="179">
        <f>VLOOKUP(A9,'OI(Value)'!A9:O210,9,0)</f>
        <v>42</v>
      </c>
      <c r="R9" s="179">
        <f>VLOOKUP(A9,'OI(Value)'!A9:O210,11,0)</f>
        <v>618</v>
      </c>
      <c r="S9" s="179">
        <f>VLOOKUP(A9,'OI(Value)'!A9:O210,11,0)</f>
        <v>618</v>
      </c>
    </row>
    <row r="10" spans="1:19" x14ac:dyDescent="0.25">
      <c r="A10" s="105" t="str">
        <f>'Data shares'!C5</f>
        <v>ADANIENSOL</v>
      </c>
      <c r="B10" s="143">
        <f>VLOOKUP($A10,'Data shares'!$C:$FA,118)</f>
        <v>0.56000000000000005</v>
      </c>
      <c r="C10" s="143">
        <f>VLOOKUP($A10,'Data shares'!$C:$FA,119)</f>
        <v>0.56999999999999995</v>
      </c>
      <c r="D10" s="143">
        <f>VLOOKUP($A10,'Data shares'!$C:$FA,121)*100</f>
        <v>-1.7500000000000002</v>
      </c>
      <c r="E10" s="143">
        <f>VLOOKUP($A10,'Data shares'!$C:$FA,124)</f>
        <v>0.6</v>
      </c>
      <c r="F10" s="143">
        <f>VLOOKUP($A10,'Data shares'!$C:$FA,125)</f>
        <v>0.73</v>
      </c>
      <c r="G10" s="143">
        <f>VLOOKUP($A10,'Data shares'!$C:$FA,127)*100</f>
        <v>-17.810000000000002</v>
      </c>
      <c r="H10" s="103">
        <f>VLOOKUP($A10,'OI(Volume)'!$A$7:$O$427,8)</f>
        <v>4056750</v>
      </c>
      <c r="I10" s="103">
        <f>VLOOKUP($A10,'OI(Volume)'!$A$7:$O$427,9)</f>
        <v>37800</v>
      </c>
      <c r="J10" s="103">
        <f>VLOOKUP($A10,'OI(Volume)'!$A$7:$O$427,11)</f>
        <v>2288250</v>
      </c>
      <c r="K10" s="103">
        <f>VLOOKUP($A10,'OI(Volume)'!$A$7:$O$427,12)</f>
        <v>-7425</v>
      </c>
      <c r="L10" s="103">
        <f>VLOOKUP($A10,'OI(Value)'!$A$7:$O$306,8,0)</f>
        <v>398</v>
      </c>
      <c r="M10" s="103">
        <f>VLOOKUP($A10,'OI(Value)'!$A$7:$O$306,9,0)</f>
        <v>4</v>
      </c>
      <c r="N10" s="103">
        <f>VLOOKUP($A10,'OI(Value)'!$A$7:$O$306,11,0)</f>
        <v>225</v>
      </c>
      <c r="O10" s="103">
        <f>VLOOKUP($A10,'OI(Value)'!$A$7:$O$306,12,0)</f>
        <v>-1</v>
      </c>
      <c r="P10" s="179">
        <f>VLOOKUP(A10,'OI(Value)'!A10:O211,8,0)</f>
        <v>398</v>
      </c>
      <c r="Q10" s="179">
        <f>VLOOKUP(A10,'OI(Value)'!A10:O211,9,0)</f>
        <v>4</v>
      </c>
      <c r="R10" s="179">
        <f>VLOOKUP(A10,'OI(Value)'!A10:O211,11,0)</f>
        <v>225</v>
      </c>
      <c r="S10" s="179">
        <f>VLOOKUP(A10,'OI(Value)'!A10:O211,11,0)</f>
        <v>225</v>
      </c>
    </row>
    <row r="11" spans="1:19" x14ac:dyDescent="0.25">
      <c r="A11" s="105" t="str">
        <f>'Data shares'!C6</f>
        <v>ADANIENT</v>
      </c>
      <c r="B11" s="143">
        <f>VLOOKUP($A11,'Data shares'!$C:$FA,118)</f>
        <v>0.61</v>
      </c>
      <c r="C11" s="143">
        <f>VLOOKUP($A11,'Data shares'!$C:$FA,119)</f>
        <v>0.61</v>
      </c>
      <c r="D11" s="143">
        <f>VLOOKUP($A11,'Data shares'!$C:$FA,121)*100</f>
        <v>0</v>
      </c>
      <c r="E11" s="143">
        <f>VLOOKUP($A11,'Data shares'!$C:$FA,124)</f>
        <v>0.47</v>
      </c>
      <c r="F11" s="143">
        <f>VLOOKUP($A11,'Data shares'!$C:$FA,125)</f>
        <v>0.41</v>
      </c>
      <c r="G11" s="143">
        <f>VLOOKUP($A11,'Data shares'!$C:$FA,127)*100</f>
        <v>14.63</v>
      </c>
      <c r="H11" s="103">
        <f>VLOOKUP($A11,'OI(Volume)'!$A$7:$O$427,8)</f>
        <v>14375298</v>
      </c>
      <c r="I11" s="103">
        <f>VLOOKUP($A11,'OI(Volume)'!$A$7:$O$427,9)</f>
        <v>202395</v>
      </c>
      <c r="J11" s="103">
        <f>VLOOKUP($A11,'OI(Volume)'!$A$7:$O$427,11)</f>
        <v>8757987</v>
      </c>
      <c r="K11" s="103">
        <f>VLOOKUP($A11,'OI(Volume)'!$A$7:$O$427,12)</f>
        <v>141522</v>
      </c>
      <c r="L11" s="103">
        <f>VLOOKUP($A11,'OI(Value)'!$A$7:$O$306,8,0)</f>
        <v>3223</v>
      </c>
      <c r="M11" s="103">
        <f>VLOOKUP($A11,'OI(Value)'!$A$7:$O$306,9,0)</f>
        <v>45</v>
      </c>
      <c r="N11" s="103">
        <f>VLOOKUP($A11,'OI(Value)'!$A$7:$O$306,11,0)</f>
        <v>1963</v>
      </c>
      <c r="O11" s="103">
        <f>VLOOKUP($A11,'OI(Value)'!$A$7:$O$306,12,0)</f>
        <v>32</v>
      </c>
      <c r="P11" s="179">
        <f>VLOOKUP(A11,'OI(Value)'!A11:O212,8,0)</f>
        <v>3223</v>
      </c>
      <c r="Q11" s="179">
        <f>VLOOKUP(A11,'OI(Value)'!A11:O212,9,0)</f>
        <v>45</v>
      </c>
      <c r="R11" s="179">
        <f>VLOOKUP(A11,'OI(Value)'!A11:O212,11,0)</f>
        <v>1963</v>
      </c>
      <c r="S11" s="179">
        <f>VLOOKUP(A11,'OI(Value)'!A11:O212,11,0)</f>
        <v>1963</v>
      </c>
    </row>
    <row r="12" spans="1:19" x14ac:dyDescent="0.25">
      <c r="A12" s="105" t="str">
        <f>'Data shares'!C7</f>
        <v>ADANIGREEN</v>
      </c>
      <c r="B12" s="143">
        <f>VLOOKUP($A12,'Data shares'!$C:$FA,118)</f>
        <v>0.54</v>
      </c>
      <c r="C12" s="143">
        <f>VLOOKUP($A12,'Data shares'!$C:$FA,119)</f>
        <v>0.53</v>
      </c>
      <c r="D12" s="143">
        <f>VLOOKUP($A12,'Data shares'!$C:$FA,121)*100</f>
        <v>1.8900000000000001</v>
      </c>
      <c r="E12" s="143">
        <f>VLOOKUP($A12,'Data shares'!$C:$FA,124)</f>
        <v>0.53</v>
      </c>
      <c r="F12" s="143">
        <f>VLOOKUP($A12,'Data shares'!$C:$FA,125)</f>
        <v>0.74</v>
      </c>
      <c r="G12" s="143">
        <f>VLOOKUP($A12,'Data shares'!$C:$FA,127)*100</f>
        <v>-28.38</v>
      </c>
      <c r="H12" s="103">
        <f>VLOOKUP($A12,'OI(Volume)'!$A$7:$O$427,8)</f>
        <v>12699600</v>
      </c>
      <c r="I12" s="103">
        <f>VLOOKUP($A12,'OI(Volume)'!$A$7:$O$427,9)</f>
        <v>-60600</v>
      </c>
      <c r="J12" s="103">
        <f>VLOOKUP($A12,'OI(Volume)'!$A$7:$O$427,11)</f>
        <v>6808200</v>
      </c>
      <c r="K12" s="103">
        <f>VLOOKUP($A12,'OI(Volume)'!$A$7:$O$427,12)</f>
        <v>65400</v>
      </c>
      <c r="L12" s="103">
        <f>VLOOKUP($A12,'OI(Value)'!$A$7:$O$306,8,0)</f>
        <v>1300</v>
      </c>
      <c r="M12" s="103">
        <f>VLOOKUP($A12,'OI(Value)'!$A$7:$O$306,9,0)</f>
        <v>-6</v>
      </c>
      <c r="N12" s="103">
        <f>VLOOKUP($A12,'OI(Value)'!$A$7:$O$306,11,0)</f>
        <v>697</v>
      </c>
      <c r="O12" s="103">
        <f>VLOOKUP($A12,'OI(Value)'!$A$7:$O$306,12,0)</f>
        <v>7</v>
      </c>
      <c r="P12" s="179">
        <f>VLOOKUP(A12,'OI(Value)'!A12:O213,8,0)</f>
        <v>1300</v>
      </c>
      <c r="Q12" s="179">
        <f>VLOOKUP(A12,'OI(Value)'!A12:O213,9,0)</f>
        <v>-6</v>
      </c>
      <c r="R12" s="179">
        <f>VLOOKUP(A12,'OI(Value)'!A12:O213,11,0)</f>
        <v>697</v>
      </c>
      <c r="S12" s="179">
        <f>VLOOKUP(A12,'OI(Value)'!A12:O213,11,0)</f>
        <v>697</v>
      </c>
    </row>
    <row r="13" spans="1:19" x14ac:dyDescent="0.25">
      <c r="A13" s="105" t="str">
        <f>'Data shares'!C8</f>
        <v>ADANIPORTS</v>
      </c>
      <c r="B13" s="143">
        <f>VLOOKUP($A13,'Data shares'!$C:$FA,118)</f>
        <v>0.49</v>
      </c>
      <c r="C13" s="143">
        <f>VLOOKUP($A13,'Data shares'!$C:$FA,119)</f>
        <v>0.51</v>
      </c>
      <c r="D13" s="143">
        <f>VLOOKUP($A13,'Data shares'!$C:$FA,121)*100</f>
        <v>-3.92</v>
      </c>
      <c r="E13" s="143">
        <f>VLOOKUP($A13,'Data shares'!$C:$FA,124)</f>
        <v>0.45</v>
      </c>
      <c r="F13" s="143">
        <f>VLOOKUP($A13,'Data shares'!$C:$FA,125)</f>
        <v>0.47</v>
      </c>
      <c r="G13" s="143">
        <f>VLOOKUP($A13,'Data shares'!$C:$FA,127)*100</f>
        <v>-4.26</v>
      </c>
      <c r="H13" s="103">
        <f>VLOOKUP($A13,'OI(Volume)'!$A$7:$O$427,8)</f>
        <v>9410700</v>
      </c>
      <c r="I13" s="103">
        <f>VLOOKUP($A13,'OI(Volume)'!$A$7:$O$427,9)</f>
        <v>401850</v>
      </c>
      <c r="J13" s="103">
        <f>VLOOKUP($A13,'OI(Volume)'!$A$7:$O$427,11)</f>
        <v>4611300</v>
      </c>
      <c r="K13" s="103">
        <f>VLOOKUP($A13,'OI(Volume)'!$A$7:$O$427,12)</f>
        <v>49400</v>
      </c>
      <c r="L13" s="103">
        <f>VLOOKUP($A13,'OI(Value)'!$A$7:$O$306,8,0)</f>
        <v>1404</v>
      </c>
      <c r="M13" s="103">
        <f>VLOOKUP($A13,'OI(Value)'!$A$7:$O$306,9,0)</f>
        <v>60</v>
      </c>
      <c r="N13" s="103">
        <f>VLOOKUP($A13,'OI(Value)'!$A$7:$O$306,11,0)</f>
        <v>688</v>
      </c>
      <c r="O13" s="103">
        <f>VLOOKUP($A13,'OI(Value)'!$A$7:$O$306,12,0)</f>
        <v>7</v>
      </c>
      <c r="P13" s="179">
        <f>VLOOKUP(A13,'OI(Value)'!A13:O214,8,0)</f>
        <v>1404</v>
      </c>
      <c r="Q13" s="179">
        <f>VLOOKUP(A13,'OI(Value)'!A13:O214,9,0)</f>
        <v>60</v>
      </c>
      <c r="R13" s="179">
        <f>VLOOKUP(A13,'OI(Value)'!A13:O214,11,0)</f>
        <v>688</v>
      </c>
      <c r="S13" s="179">
        <f>VLOOKUP(A13,'OI(Value)'!A13:O214,11,0)</f>
        <v>688</v>
      </c>
    </row>
    <row r="14" spans="1:19" x14ac:dyDescent="0.25">
      <c r="A14" s="105" t="str">
        <f>'Data shares'!C9</f>
        <v>ALKEM</v>
      </c>
      <c r="B14" s="143">
        <f>VLOOKUP($A14,'Data shares'!$C:$FA,118)</f>
        <v>0.65</v>
      </c>
      <c r="C14" s="143">
        <f>VLOOKUP($A14,'Data shares'!$C:$FA,119)</f>
        <v>0.75</v>
      </c>
      <c r="D14" s="143">
        <f>VLOOKUP($A14,'Data shares'!$C:$FA,121)*100</f>
        <v>-13.33</v>
      </c>
      <c r="E14" s="143">
        <f>VLOOKUP($A14,'Data shares'!$C:$FA,124)</f>
        <v>0.42</v>
      </c>
      <c r="F14" s="143">
        <f>VLOOKUP($A14,'Data shares'!$C:$FA,125)</f>
        <v>0.32</v>
      </c>
      <c r="G14" s="143">
        <f>VLOOKUP($A14,'Data shares'!$C:$FA,127)*100</f>
        <v>31.25</v>
      </c>
      <c r="H14" s="103">
        <f>VLOOKUP($A14,'OI(Volume)'!$A$7:$O$427,8)</f>
        <v>252625</v>
      </c>
      <c r="I14" s="103">
        <f>VLOOKUP($A14,'OI(Volume)'!$A$7:$O$427,9)</f>
        <v>35625</v>
      </c>
      <c r="J14" s="103">
        <f>VLOOKUP($A14,'OI(Volume)'!$A$7:$O$427,11)</f>
        <v>163375</v>
      </c>
      <c r="K14" s="103">
        <f>VLOOKUP($A14,'OI(Volume)'!$A$7:$O$427,12)</f>
        <v>1500</v>
      </c>
      <c r="L14" s="103">
        <f>VLOOKUP($A14,'OI(Value)'!$A$7:$O$306,8,0)</f>
        <v>142</v>
      </c>
      <c r="M14" s="103">
        <f>VLOOKUP($A14,'OI(Value)'!$A$7:$O$306,9,0)</f>
        <v>20</v>
      </c>
      <c r="N14" s="103">
        <f>VLOOKUP($A14,'OI(Value)'!$A$7:$O$306,11,0)</f>
        <v>92</v>
      </c>
      <c r="O14" s="103">
        <f>VLOOKUP($A14,'OI(Value)'!$A$7:$O$306,12,0)</f>
        <v>1</v>
      </c>
      <c r="P14" s="179">
        <f>VLOOKUP(A14,'OI(Value)'!A14:O215,8,0)</f>
        <v>142</v>
      </c>
      <c r="Q14" s="179">
        <f>VLOOKUP(A14,'OI(Value)'!A14:O215,9,0)</f>
        <v>20</v>
      </c>
      <c r="R14" s="179">
        <f>VLOOKUP(A14,'OI(Value)'!A14:O215,11,0)</f>
        <v>92</v>
      </c>
      <c r="S14" s="179">
        <f>VLOOKUP(A14,'OI(Value)'!A14:O215,11,0)</f>
        <v>92</v>
      </c>
    </row>
    <row r="15" spans="1:19" x14ac:dyDescent="0.25">
      <c r="A15" s="105" t="str">
        <f>'Data shares'!C10</f>
        <v>AMBER</v>
      </c>
      <c r="B15" s="143">
        <f>VLOOKUP($A15,'Data shares'!$C:$FA,118)</f>
        <v>0.66</v>
      </c>
      <c r="C15" s="143">
        <f>VLOOKUP($A15,'Data shares'!$C:$FA,119)</f>
        <v>0.72</v>
      </c>
      <c r="D15" s="143">
        <f>VLOOKUP($A15,'Data shares'!$C:$FA,121)*100</f>
        <v>-8.33</v>
      </c>
      <c r="E15" s="143">
        <f>VLOOKUP($A15,'Data shares'!$C:$FA,124)</f>
        <v>0.8</v>
      </c>
      <c r="F15" s="143">
        <f>VLOOKUP($A15,'Data shares'!$C:$FA,125)</f>
        <v>0.55000000000000004</v>
      </c>
      <c r="G15" s="143">
        <f>VLOOKUP($A15,'Data shares'!$C:$FA,127)*100</f>
        <v>45.45</v>
      </c>
      <c r="H15" s="103">
        <f>VLOOKUP($A15,'OI(Volume)'!$A$7:$O$427,8)</f>
        <v>1178100</v>
      </c>
      <c r="I15" s="103">
        <f>VLOOKUP($A15,'OI(Volume)'!$A$7:$O$427,9)</f>
        <v>96100</v>
      </c>
      <c r="J15" s="103">
        <f>VLOOKUP($A15,'OI(Volume)'!$A$7:$O$427,11)</f>
        <v>781500</v>
      </c>
      <c r="K15" s="103">
        <f>VLOOKUP($A15,'OI(Volume)'!$A$7:$O$427,12)</f>
        <v>7200</v>
      </c>
      <c r="L15" s="103">
        <f>VLOOKUP($A15,'OI(Value)'!$A$7:$O$306,8,0)</f>
        <v>778</v>
      </c>
      <c r="M15" s="103">
        <f>VLOOKUP($A15,'OI(Value)'!$A$7:$O$306,9,0)</f>
        <v>63</v>
      </c>
      <c r="N15" s="103">
        <f>VLOOKUP($A15,'OI(Value)'!$A$7:$O$306,11,0)</f>
        <v>516</v>
      </c>
      <c r="O15" s="103">
        <f>VLOOKUP($A15,'OI(Value)'!$A$7:$O$306,12,0)</f>
        <v>5</v>
      </c>
      <c r="P15" s="179">
        <f>VLOOKUP(A15,'OI(Value)'!A15:O216,8,0)</f>
        <v>778</v>
      </c>
      <c r="Q15" s="179">
        <f>VLOOKUP(A15,'OI(Value)'!A15:O216,9,0)</f>
        <v>63</v>
      </c>
      <c r="R15" s="179">
        <f>VLOOKUP(A15,'OI(Value)'!A15:O216,11,0)</f>
        <v>516</v>
      </c>
      <c r="S15" s="179">
        <f>VLOOKUP(A15,'OI(Value)'!A15:O216,11,0)</f>
        <v>516</v>
      </c>
    </row>
    <row r="16" spans="1:19" x14ac:dyDescent="0.25">
      <c r="A16" s="105" t="str">
        <f>'Data shares'!C11</f>
        <v>AMBUJACEM</v>
      </c>
      <c r="B16" s="143">
        <f>VLOOKUP($A16,'Data shares'!$C:$FA,118)</f>
        <v>0.81</v>
      </c>
      <c r="C16" s="143">
        <f>VLOOKUP($A16,'Data shares'!$C:$FA,119)</f>
        <v>0.86</v>
      </c>
      <c r="D16" s="143">
        <f>VLOOKUP($A16,'Data shares'!$C:$FA,121)*100</f>
        <v>-5.81</v>
      </c>
      <c r="E16" s="143">
        <f>VLOOKUP($A16,'Data shares'!$C:$FA,124)</f>
        <v>0.45</v>
      </c>
      <c r="F16" s="143">
        <f>VLOOKUP($A16,'Data shares'!$C:$FA,125)</f>
        <v>0.6</v>
      </c>
      <c r="G16" s="143">
        <f>VLOOKUP($A16,'Data shares'!$C:$FA,127)*100</f>
        <v>-25</v>
      </c>
      <c r="H16" s="103">
        <f>VLOOKUP($A16,'OI(Volume)'!$A$7:$O$427,8)</f>
        <v>11865000</v>
      </c>
      <c r="I16" s="103">
        <f>VLOOKUP($A16,'OI(Volume)'!$A$7:$O$427,9)</f>
        <v>630000</v>
      </c>
      <c r="J16" s="103">
        <f>VLOOKUP($A16,'OI(Volume)'!$A$7:$O$427,11)</f>
        <v>9641100</v>
      </c>
      <c r="K16" s="103">
        <f>VLOOKUP($A16,'OI(Volume)'!$A$7:$O$427,12)</f>
        <v>-26250</v>
      </c>
      <c r="L16" s="103">
        <f>VLOOKUP($A16,'OI(Value)'!$A$7:$O$306,8,0)</f>
        <v>643</v>
      </c>
      <c r="M16" s="103">
        <f>VLOOKUP($A16,'OI(Value)'!$A$7:$O$306,9,0)</f>
        <v>34</v>
      </c>
      <c r="N16" s="103">
        <f>VLOOKUP($A16,'OI(Value)'!$A$7:$O$306,11,0)</f>
        <v>522</v>
      </c>
      <c r="O16" s="103">
        <f>VLOOKUP($A16,'OI(Value)'!$A$7:$O$306,12,0)</f>
        <v>-1</v>
      </c>
      <c r="P16" s="179">
        <f>VLOOKUP(A16,'OI(Value)'!A16:O217,8,0)</f>
        <v>643</v>
      </c>
      <c r="Q16" s="179">
        <f>VLOOKUP(A16,'OI(Value)'!A16:O217,9,0)</f>
        <v>34</v>
      </c>
      <c r="R16" s="179">
        <f>VLOOKUP(A16,'OI(Value)'!A16:O217,11,0)</f>
        <v>522</v>
      </c>
      <c r="S16" s="179">
        <f>VLOOKUP(A16,'OI(Value)'!A16:O217,11,0)</f>
        <v>522</v>
      </c>
    </row>
    <row r="17" spans="1:19" x14ac:dyDescent="0.25">
      <c r="A17" s="105" t="str">
        <f>'Data shares'!C12</f>
        <v>ANGELONE</v>
      </c>
      <c r="B17" s="143">
        <f>VLOOKUP($A17,'Data shares'!$C:$FA,118)</f>
        <v>0.41</v>
      </c>
      <c r="C17" s="143">
        <f>VLOOKUP($A17,'Data shares'!$C:$FA,119)</f>
        <v>0.43</v>
      </c>
      <c r="D17" s="143">
        <f>VLOOKUP($A17,'Data shares'!$C:$FA,121)*100</f>
        <v>-4.6500000000000004</v>
      </c>
      <c r="E17" s="143">
        <f>VLOOKUP($A17,'Data shares'!$C:$FA,124)</f>
        <v>0.4</v>
      </c>
      <c r="F17" s="143">
        <f>VLOOKUP($A17,'Data shares'!$C:$FA,125)</f>
        <v>0.51</v>
      </c>
      <c r="G17" s="143">
        <f>VLOOKUP($A17,'Data shares'!$C:$FA,127)*100</f>
        <v>-21.57</v>
      </c>
      <c r="H17" s="103">
        <f>VLOOKUP($A17,'OI(Volume)'!$A$7:$O$427,8)</f>
        <v>5140000</v>
      </c>
      <c r="I17" s="103">
        <f>VLOOKUP($A17,'OI(Volume)'!$A$7:$O$427,9)</f>
        <v>261250</v>
      </c>
      <c r="J17" s="103">
        <f>VLOOKUP($A17,'OI(Volume)'!$A$7:$O$427,11)</f>
        <v>2095500</v>
      </c>
      <c r="K17" s="103">
        <f>VLOOKUP($A17,'OI(Volume)'!$A$7:$O$427,12)</f>
        <v>7500</v>
      </c>
      <c r="L17" s="103">
        <f>VLOOKUP($A17,'OI(Value)'!$A$7:$O$306,8,0)</f>
        <v>1274</v>
      </c>
      <c r="M17" s="103">
        <f>VLOOKUP($A17,'OI(Value)'!$A$7:$O$306,9,0)</f>
        <v>65</v>
      </c>
      <c r="N17" s="103">
        <f>VLOOKUP($A17,'OI(Value)'!$A$7:$O$306,11,0)</f>
        <v>519</v>
      </c>
      <c r="O17" s="103">
        <f>VLOOKUP($A17,'OI(Value)'!$A$7:$O$306,12,0)</f>
        <v>2</v>
      </c>
      <c r="P17" s="179">
        <f>VLOOKUP(A17,'OI(Value)'!A17:O218,8,0)</f>
        <v>1274</v>
      </c>
      <c r="Q17" s="179">
        <f>VLOOKUP(A17,'OI(Value)'!A17:O218,9,0)</f>
        <v>65</v>
      </c>
      <c r="R17" s="179">
        <f>VLOOKUP(A17,'OI(Value)'!A17:O218,11,0)</f>
        <v>519</v>
      </c>
      <c r="S17" s="179">
        <f>VLOOKUP(A17,'OI(Value)'!A17:O218,11,0)</f>
        <v>519</v>
      </c>
    </row>
    <row r="18" spans="1:19" x14ac:dyDescent="0.25">
      <c r="A18" s="105" t="str">
        <f>'Data shares'!C13</f>
        <v>APLAPOLLO</v>
      </c>
      <c r="B18" s="143">
        <f>VLOOKUP($A18,'Data shares'!$C:$FA,118)</f>
        <v>0.75</v>
      </c>
      <c r="C18" s="143">
        <f>VLOOKUP($A18,'Data shares'!$C:$FA,119)</f>
        <v>0.87</v>
      </c>
      <c r="D18" s="143">
        <f>VLOOKUP($A18,'Data shares'!$C:$FA,121)*100</f>
        <v>-13.79</v>
      </c>
      <c r="E18" s="143">
        <f>VLOOKUP($A18,'Data shares'!$C:$FA,124)</f>
        <v>0.32</v>
      </c>
      <c r="F18" s="143">
        <f>VLOOKUP($A18,'Data shares'!$C:$FA,125)</f>
        <v>0.39</v>
      </c>
      <c r="G18" s="143">
        <f>VLOOKUP($A18,'Data shares'!$C:$FA,127)*100</f>
        <v>-17.95</v>
      </c>
      <c r="H18" s="103">
        <f>VLOOKUP($A18,'OI(Volume)'!$A$7:$O$427,8)</f>
        <v>1142750</v>
      </c>
      <c r="I18" s="103">
        <f>VLOOKUP($A18,'OI(Volume)'!$A$7:$O$427,9)</f>
        <v>135800</v>
      </c>
      <c r="J18" s="103">
        <f>VLOOKUP($A18,'OI(Volume)'!$A$7:$O$427,11)</f>
        <v>862050</v>
      </c>
      <c r="K18" s="103">
        <f>VLOOKUP($A18,'OI(Volume)'!$A$7:$O$427,12)</f>
        <v>-17500</v>
      </c>
      <c r="L18" s="103">
        <f>VLOOKUP($A18,'OI(Value)'!$A$7:$O$306,8,0)</f>
        <v>202</v>
      </c>
      <c r="M18" s="103">
        <f>VLOOKUP($A18,'OI(Value)'!$A$7:$O$306,9,0)</f>
        <v>24</v>
      </c>
      <c r="N18" s="103">
        <f>VLOOKUP($A18,'OI(Value)'!$A$7:$O$306,11,0)</f>
        <v>153</v>
      </c>
      <c r="O18" s="103">
        <f>VLOOKUP($A18,'OI(Value)'!$A$7:$O$306,12,0)</f>
        <v>-3</v>
      </c>
      <c r="P18" s="179">
        <f>VLOOKUP(A18,'OI(Value)'!A18:O219,8,0)</f>
        <v>202</v>
      </c>
      <c r="Q18" s="179">
        <f>VLOOKUP(A18,'OI(Value)'!A18:O219,9,0)</f>
        <v>24</v>
      </c>
      <c r="R18" s="179">
        <f>VLOOKUP(A18,'OI(Value)'!A18:O219,11,0)</f>
        <v>153</v>
      </c>
      <c r="S18" s="179">
        <f>VLOOKUP(A18,'OI(Value)'!A18:O219,11,0)</f>
        <v>153</v>
      </c>
    </row>
    <row r="19" spans="1:19" x14ac:dyDescent="0.25">
      <c r="A19" s="105" t="str">
        <f>'Data shares'!C14</f>
        <v>APOLLOHOSP</v>
      </c>
      <c r="B19" s="143">
        <f>VLOOKUP($A19,'Data shares'!$C:$FA,118)</f>
        <v>0.47</v>
      </c>
      <c r="C19" s="143">
        <f>VLOOKUP($A19,'Data shares'!$C:$FA,119)</f>
        <v>0.47</v>
      </c>
      <c r="D19" s="143">
        <f>VLOOKUP($A19,'Data shares'!$C:$FA,121)*100</f>
        <v>0</v>
      </c>
      <c r="E19" s="143">
        <f>VLOOKUP($A19,'Data shares'!$C:$FA,124)</f>
        <v>0.54</v>
      </c>
      <c r="F19" s="143">
        <f>VLOOKUP($A19,'Data shares'!$C:$FA,125)</f>
        <v>0.24</v>
      </c>
      <c r="G19" s="143">
        <f>VLOOKUP($A19,'Data shares'!$C:$FA,127)*100</f>
        <v>125</v>
      </c>
      <c r="H19" s="103">
        <f>VLOOKUP($A19,'OI(Volume)'!$A$7:$O$427,8)</f>
        <v>2414750</v>
      </c>
      <c r="I19" s="103">
        <f>VLOOKUP($A19,'OI(Volume)'!$A$7:$O$427,9)</f>
        <v>296875</v>
      </c>
      <c r="J19" s="103">
        <f>VLOOKUP($A19,'OI(Volume)'!$A$7:$O$427,11)</f>
        <v>1132125</v>
      </c>
      <c r="K19" s="103">
        <f>VLOOKUP($A19,'OI(Volume)'!$A$7:$O$427,12)</f>
        <v>126875</v>
      </c>
      <c r="L19" s="103">
        <f>VLOOKUP($A19,'OI(Value)'!$A$7:$O$306,8,0)</f>
        <v>1673</v>
      </c>
      <c r="M19" s="103">
        <f>VLOOKUP($A19,'OI(Value)'!$A$7:$O$306,9,0)</f>
        <v>206</v>
      </c>
      <c r="N19" s="103">
        <f>VLOOKUP($A19,'OI(Value)'!$A$7:$O$306,11,0)</f>
        <v>784</v>
      </c>
      <c r="O19" s="103">
        <f>VLOOKUP($A19,'OI(Value)'!$A$7:$O$306,12,0)</f>
        <v>88</v>
      </c>
      <c r="P19" s="179">
        <f>VLOOKUP(A19,'OI(Value)'!A19:O220,8,0)</f>
        <v>1673</v>
      </c>
      <c r="Q19" s="179">
        <f>VLOOKUP(A19,'OI(Value)'!A19:O220,9,0)</f>
        <v>206</v>
      </c>
      <c r="R19" s="179">
        <f>VLOOKUP(A19,'OI(Value)'!A19:O220,11,0)</f>
        <v>784</v>
      </c>
      <c r="S19" s="179">
        <f>VLOOKUP(A19,'OI(Value)'!A19:O220,11,0)</f>
        <v>784</v>
      </c>
    </row>
    <row r="20" spans="1:19" x14ac:dyDescent="0.25">
      <c r="A20" s="105" t="str">
        <f>'Data shares'!C15</f>
        <v>ASHOKLEY</v>
      </c>
      <c r="B20" s="143">
        <f>VLOOKUP($A20,'Data shares'!$C:$FA,118)</f>
        <v>0.98</v>
      </c>
      <c r="C20" s="143">
        <f>VLOOKUP($A20,'Data shares'!$C:$FA,119)</f>
        <v>0.96</v>
      </c>
      <c r="D20" s="143">
        <f>VLOOKUP($A20,'Data shares'!$C:$FA,121)*100</f>
        <v>2.08</v>
      </c>
      <c r="E20" s="143">
        <f>VLOOKUP($A20,'Data shares'!$C:$FA,124)</f>
        <v>0.66</v>
      </c>
      <c r="F20" s="143">
        <f>VLOOKUP($A20,'Data shares'!$C:$FA,125)</f>
        <v>0.48</v>
      </c>
      <c r="G20" s="143">
        <f>VLOOKUP($A20,'Data shares'!$C:$FA,127)*100</f>
        <v>37.5</v>
      </c>
      <c r="H20" s="103">
        <f>VLOOKUP($A20,'OI(Volume)'!$A$7:$O$427,8)</f>
        <v>67825000</v>
      </c>
      <c r="I20" s="103">
        <f>VLOOKUP($A20,'OI(Volume)'!$A$7:$O$427,9)</f>
        <v>-1160000</v>
      </c>
      <c r="J20" s="103">
        <f>VLOOKUP($A20,'OI(Volume)'!$A$7:$O$427,11)</f>
        <v>66175000</v>
      </c>
      <c r="K20" s="103">
        <f>VLOOKUP($A20,'OI(Volume)'!$A$7:$O$427,12)</f>
        <v>-50000</v>
      </c>
      <c r="L20" s="103">
        <f>VLOOKUP($A20,'OI(Value)'!$A$7:$O$306,8,0)</f>
        <v>1127</v>
      </c>
      <c r="M20" s="103">
        <f>VLOOKUP($A20,'OI(Value)'!$A$7:$O$306,9,0)</f>
        <v>-19</v>
      </c>
      <c r="N20" s="103">
        <f>VLOOKUP($A20,'OI(Value)'!$A$7:$O$306,11,0)</f>
        <v>1099</v>
      </c>
      <c r="O20" s="103">
        <f>VLOOKUP($A20,'OI(Value)'!$A$7:$O$306,12,0)</f>
        <v>-1</v>
      </c>
      <c r="P20" s="179">
        <f>VLOOKUP(A20,'OI(Value)'!A20:O221,8,0)</f>
        <v>1127</v>
      </c>
      <c r="Q20" s="179">
        <f>VLOOKUP(A20,'OI(Value)'!A20:O221,9,0)</f>
        <v>-19</v>
      </c>
      <c r="R20" s="179">
        <f>VLOOKUP(A20,'OI(Value)'!A20:O221,11,0)</f>
        <v>1099</v>
      </c>
      <c r="S20" s="179">
        <f>VLOOKUP(A20,'OI(Value)'!A20:O221,11,0)</f>
        <v>1099</v>
      </c>
    </row>
    <row r="21" spans="1:19" x14ac:dyDescent="0.25">
      <c r="A21" s="105" t="str">
        <f>'Data shares'!C16</f>
        <v>ASIANPAINT</v>
      </c>
      <c r="B21" s="143">
        <f>VLOOKUP($A21,'Data shares'!$C:$FA,118)</f>
        <v>0.51</v>
      </c>
      <c r="C21" s="143">
        <f>VLOOKUP($A21,'Data shares'!$C:$FA,119)</f>
        <v>0.52</v>
      </c>
      <c r="D21" s="143">
        <f>VLOOKUP($A21,'Data shares'!$C:$FA,121)*100</f>
        <v>-1.92</v>
      </c>
      <c r="E21" s="143">
        <f>VLOOKUP($A21,'Data shares'!$C:$FA,124)</f>
        <v>0.38</v>
      </c>
      <c r="F21" s="143">
        <f>VLOOKUP($A21,'Data shares'!$C:$FA,125)</f>
        <v>0.34</v>
      </c>
      <c r="G21" s="143">
        <f>VLOOKUP($A21,'Data shares'!$C:$FA,127)*100</f>
        <v>11.76</v>
      </c>
      <c r="H21" s="103">
        <f>VLOOKUP($A21,'OI(Volume)'!$A$7:$O$427,8)</f>
        <v>8883250</v>
      </c>
      <c r="I21" s="103">
        <f>VLOOKUP($A21,'OI(Volume)'!$A$7:$O$427,9)</f>
        <v>-32250</v>
      </c>
      <c r="J21" s="103">
        <f>VLOOKUP($A21,'OI(Volume)'!$A$7:$O$427,11)</f>
        <v>4535250</v>
      </c>
      <c r="K21" s="103">
        <f>VLOOKUP($A21,'OI(Volume)'!$A$7:$O$427,12)</f>
        <v>-80000</v>
      </c>
      <c r="L21" s="103">
        <f>VLOOKUP($A21,'OI(Value)'!$A$7:$O$306,8,0)</f>
        <v>2475</v>
      </c>
      <c r="M21" s="103">
        <f>VLOOKUP($A21,'OI(Value)'!$A$7:$O$306,9,0)</f>
        <v>-9</v>
      </c>
      <c r="N21" s="103">
        <f>VLOOKUP($A21,'OI(Value)'!$A$7:$O$306,11,0)</f>
        <v>1263</v>
      </c>
      <c r="O21" s="103">
        <f>VLOOKUP($A21,'OI(Value)'!$A$7:$O$306,12,0)</f>
        <v>-22</v>
      </c>
      <c r="P21" s="179">
        <f>VLOOKUP(A21,'OI(Value)'!A21:O222,8,0)</f>
        <v>2475</v>
      </c>
      <c r="Q21" s="179">
        <f>VLOOKUP(A21,'OI(Value)'!A21:O222,9,0)</f>
        <v>-9</v>
      </c>
      <c r="R21" s="179">
        <f>VLOOKUP(A21,'OI(Value)'!A21:O222,11,0)</f>
        <v>1263</v>
      </c>
      <c r="S21" s="179">
        <f>VLOOKUP(A21,'OI(Value)'!A21:O222,11,0)</f>
        <v>1263</v>
      </c>
    </row>
    <row r="22" spans="1:19" x14ac:dyDescent="0.25">
      <c r="A22" s="105" t="str">
        <f>'Data shares'!C17</f>
        <v>ASTRAL</v>
      </c>
      <c r="B22" s="143">
        <f>VLOOKUP($A22,'Data shares'!$C:$FA,118)</f>
        <v>0.51</v>
      </c>
      <c r="C22" s="143">
        <f>VLOOKUP($A22,'Data shares'!$C:$FA,119)</f>
        <v>0.55000000000000004</v>
      </c>
      <c r="D22" s="143">
        <f>VLOOKUP($A22,'Data shares'!$C:$FA,121)*100</f>
        <v>-7.2700000000000005</v>
      </c>
      <c r="E22" s="143">
        <f>VLOOKUP($A22,'Data shares'!$C:$FA,124)</f>
        <v>0.72</v>
      </c>
      <c r="F22" s="143">
        <f>VLOOKUP($A22,'Data shares'!$C:$FA,125)</f>
        <v>0.44</v>
      </c>
      <c r="G22" s="143">
        <f>VLOOKUP($A22,'Data shares'!$C:$FA,127)*100</f>
        <v>63.639999999999993</v>
      </c>
      <c r="H22" s="103">
        <f>VLOOKUP($A22,'OI(Volume)'!$A$7:$O$427,8)</f>
        <v>3717900</v>
      </c>
      <c r="I22" s="103">
        <f>VLOOKUP($A22,'OI(Volume)'!$A$7:$O$427,9)</f>
        <v>69275</v>
      </c>
      <c r="J22" s="103">
        <f>VLOOKUP($A22,'OI(Volume)'!$A$7:$O$427,11)</f>
        <v>1879350</v>
      </c>
      <c r="K22" s="103">
        <f>VLOOKUP($A22,'OI(Volume)'!$A$7:$O$427,12)</f>
        <v>-125800</v>
      </c>
      <c r="L22" s="103">
        <f>VLOOKUP($A22,'OI(Value)'!$A$7:$O$306,8,0)</f>
        <v>532</v>
      </c>
      <c r="M22" s="103">
        <f>VLOOKUP($A22,'OI(Value)'!$A$7:$O$306,9,0)</f>
        <v>10</v>
      </c>
      <c r="N22" s="103">
        <f>VLOOKUP($A22,'OI(Value)'!$A$7:$O$306,11,0)</f>
        <v>269</v>
      </c>
      <c r="O22" s="103">
        <f>VLOOKUP($A22,'OI(Value)'!$A$7:$O$306,12,0)</f>
        <v>-18</v>
      </c>
      <c r="P22" s="179">
        <f>VLOOKUP(A22,'OI(Value)'!A22:O223,8,0)</f>
        <v>532</v>
      </c>
      <c r="Q22" s="179">
        <f>VLOOKUP(A22,'OI(Value)'!A22:O223,9,0)</f>
        <v>10</v>
      </c>
      <c r="R22" s="179">
        <f>VLOOKUP(A22,'OI(Value)'!A22:O223,11,0)</f>
        <v>269</v>
      </c>
      <c r="S22" s="179">
        <f>VLOOKUP(A22,'OI(Value)'!A22:O223,11,0)</f>
        <v>269</v>
      </c>
    </row>
    <row r="23" spans="1:19" x14ac:dyDescent="0.25">
      <c r="A23" s="105" t="str">
        <f>'Data shares'!C18</f>
        <v>AUBANK</v>
      </c>
      <c r="B23" s="143">
        <f>VLOOKUP($A23,'Data shares'!$C:$FA,118)</f>
        <v>0.81</v>
      </c>
      <c r="C23" s="143">
        <f>VLOOKUP($A23,'Data shares'!$C:$FA,119)</f>
        <v>0.84</v>
      </c>
      <c r="D23" s="143">
        <f>VLOOKUP($A23,'Data shares'!$C:$FA,121)*100</f>
        <v>-3.5700000000000003</v>
      </c>
      <c r="E23" s="143">
        <f>VLOOKUP($A23,'Data shares'!$C:$FA,124)</f>
        <v>0.41</v>
      </c>
      <c r="F23" s="143">
        <f>VLOOKUP($A23,'Data shares'!$C:$FA,125)</f>
        <v>0.72</v>
      </c>
      <c r="G23" s="143">
        <f>VLOOKUP($A23,'Data shares'!$C:$FA,127)*100</f>
        <v>-43.059999999999995</v>
      </c>
      <c r="H23" s="103">
        <f>VLOOKUP($A23,'OI(Volume)'!$A$7:$O$427,8)</f>
        <v>8661000</v>
      </c>
      <c r="I23" s="103">
        <f>VLOOKUP($A23,'OI(Volume)'!$A$7:$O$427,9)</f>
        <v>616000</v>
      </c>
      <c r="J23" s="103">
        <f>VLOOKUP($A23,'OI(Volume)'!$A$7:$O$427,11)</f>
        <v>7025000</v>
      </c>
      <c r="K23" s="103">
        <f>VLOOKUP($A23,'OI(Volume)'!$A$7:$O$427,12)</f>
        <v>281000</v>
      </c>
      <c r="L23" s="103">
        <f>VLOOKUP($A23,'OI(Value)'!$A$7:$O$306,8,0)</f>
        <v>856</v>
      </c>
      <c r="M23" s="103">
        <f>VLOOKUP($A23,'OI(Value)'!$A$7:$O$306,9,0)</f>
        <v>61</v>
      </c>
      <c r="N23" s="103">
        <f>VLOOKUP($A23,'OI(Value)'!$A$7:$O$306,11,0)</f>
        <v>695</v>
      </c>
      <c r="O23" s="103">
        <f>VLOOKUP($A23,'OI(Value)'!$A$7:$O$306,12,0)</f>
        <v>28</v>
      </c>
      <c r="P23" s="179">
        <f>VLOOKUP(A23,'OI(Value)'!A23:O224,8,0)</f>
        <v>856</v>
      </c>
      <c r="Q23" s="179">
        <f>VLOOKUP(A23,'OI(Value)'!A23:O224,9,0)</f>
        <v>61</v>
      </c>
      <c r="R23" s="179">
        <f>VLOOKUP(A23,'OI(Value)'!A23:O224,11,0)</f>
        <v>695</v>
      </c>
      <c r="S23" s="179">
        <f>VLOOKUP(A23,'OI(Value)'!A23:O224,11,0)</f>
        <v>695</v>
      </c>
    </row>
    <row r="24" spans="1:19" x14ac:dyDescent="0.25">
      <c r="A24" s="105" t="str">
        <f>'Data shares'!C19</f>
        <v>AUROPHARMA</v>
      </c>
      <c r="B24" s="143">
        <f>VLOOKUP($A24,'Data shares'!$C:$FA,118)</f>
        <v>0.45</v>
      </c>
      <c r="C24" s="143">
        <f>VLOOKUP($A24,'Data shares'!$C:$FA,119)</f>
        <v>0.45</v>
      </c>
      <c r="D24" s="143">
        <f>VLOOKUP($A24,'Data shares'!$C:$FA,121)*100</f>
        <v>0</v>
      </c>
      <c r="E24" s="143">
        <f>VLOOKUP($A24,'Data shares'!$C:$FA,124)</f>
        <v>0.36</v>
      </c>
      <c r="F24" s="143">
        <f>VLOOKUP($A24,'Data shares'!$C:$FA,125)</f>
        <v>0.8</v>
      </c>
      <c r="G24" s="143">
        <f>VLOOKUP($A24,'Data shares'!$C:$FA,127)*100</f>
        <v>-55.000000000000007</v>
      </c>
      <c r="H24" s="103">
        <f>VLOOKUP($A24,'OI(Volume)'!$A$7:$O$427,8)</f>
        <v>5979600</v>
      </c>
      <c r="I24" s="103">
        <f>VLOOKUP($A24,'OI(Volume)'!$A$7:$O$427,9)</f>
        <v>129250</v>
      </c>
      <c r="J24" s="103">
        <f>VLOOKUP($A24,'OI(Volume)'!$A$7:$O$427,11)</f>
        <v>2663650</v>
      </c>
      <c r="K24" s="103">
        <f>VLOOKUP($A24,'OI(Volume)'!$A$7:$O$427,12)</f>
        <v>29150</v>
      </c>
      <c r="L24" s="103">
        <f>VLOOKUP($A24,'OI(Value)'!$A$7:$O$306,8,0)</f>
        <v>715</v>
      </c>
      <c r="M24" s="103">
        <f>VLOOKUP($A24,'OI(Value)'!$A$7:$O$306,9,0)</f>
        <v>15</v>
      </c>
      <c r="N24" s="103">
        <f>VLOOKUP($A24,'OI(Value)'!$A$7:$O$306,11,0)</f>
        <v>318</v>
      </c>
      <c r="O24" s="103">
        <f>VLOOKUP($A24,'OI(Value)'!$A$7:$O$306,12,0)</f>
        <v>3</v>
      </c>
      <c r="P24" s="179">
        <f>VLOOKUP(A24,'OI(Value)'!A24:O225,8,0)</f>
        <v>715</v>
      </c>
      <c r="Q24" s="179">
        <f>VLOOKUP(A24,'OI(Value)'!A24:O225,9,0)</f>
        <v>15</v>
      </c>
      <c r="R24" s="179">
        <f>VLOOKUP(A24,'OI(Value)'!A24:O225,11,0)</f>
        <v>318</v>
      </c>
      <c r="S24" s="179">
        <f>VLOOKUP(A24,'OI(Value)'!A24:O225,11,0)</f>
        <v>318</v>
      </c>
    </row>
    <row r="25" spans="1:19" x14ac:dyDescent="0.25">
      <c r="A25" s="105" t="str">
        <f>'Data shares'!C20</f>
        <v>AXISBANK</v>
      </c>
      <c r="B25" s="143">
        <f>VLOOKUP($A25,'Data shares'!$C:$FA,118)</f>
        <v>0.44</v>
      </c>
      <c r="C25" s="143">
        <f>VLOOKUP($A25,'Data shares'!$C:$FA,119)</f>
        <v>0.45</v>
      </c>
      <c r="D25" s="143">
        <f>VLOOKUP($A25,'Data shares'!$C:$FA,121)*100</f>
        <v>-2.2200000000000002</v>
      </c>
      <c r="E25" s="143">
        <f>VLOOKUP($A25,'Data shares'!$C:$FA,124)</f>
        <v>0.66</v>
      </c>
      <c r="F25" s="143">
        <f>VLOOKUP($A25,'Data shares'!$C:$FA,125)</f>
        <v>0.8</v>
      </c>
      <c r="G25" s="143">
        <f>VLOOKUP($A25,'Data shares'!$C:$FA,127)*100</f>
        <v>-17.5</v>
      </c>
      <c r="H25" s="103">
        <f>VLOOKUP($A25,'OI(Volume)'!$A$7:$O$427,8)</f>
        <v>36412500</v>
      </c>
      <c r="I25" s="103">
        <f>VLOOKUP($A25,'OI(Volume)'!$A$7:$O$427,9)</f>
        <v>-3200000</v>
      </c>
      <c r="J25" s="103">
        <f>VLOOKUP($A25,'OI(Volume)'!$A$7:$O$427,11)</f>
        <v>16055000</v>
      </c>
      <c r="K25" s="103">
        <f>VLOOKUP($A25,'OI(Volume)'!$A$7:$O$427,12)</f>
        <v>-1928750</v>
      </c>
      <c r="L25" s="103">
        <f>VLOOKUP($A25,'OI(Value)'!$A$7:$O$306,8,0)</f>
        <v>4474</v>
      </c>
      <c r="M25" s="103">
        <f>VLOOKUP($A25,'OI(Value)'!$A$7:$O$306,9,0)</f>
        <v>-393</v>
      </c>
      <c r="N25" s="103">
        <f>VLOOKUP($A25,'OI(Value)'!$A$7:$O$306,11,0)</f>
        <v>1973</v>
      </c>
      <c r="O25" s="103">
        <f>VLOOKUP($A25,'OI(Value)'!$A$7:$O$306,12,0)</f>
        <v>-237</v>
      </c>
      <c r="P25" s="179">
        <f>VLOOKUP(A25,'OI(Value)'!A25:O226,8,0)</f>
        <v>4474</v>
      </c>
      <c r="Q25" s="179">
        <f>VLOOKUP(A25,'OI(Value)'!A25:O226,9,0)</f>
        <v>-393</v>
      </c>
      <c r="R25" s="179">
        <f>VLOOKUP(A25,'OI(Value)'!A25:O226,11,0)</f>
        <v>1973</v>
      </c>
      <c r="S25" s="179">
        <f>VLOOKUP(A25,'OI(Value)'!A25:O226,11,0)</f>
        <v>1973</v>
      </c>
    </row>
    <row r="26" spans="1:19" x14ac:dyDescent="0.25">
      <c r="A26" s="105" t="str">
        <f>'Data shares'!C21</f>
        <v>BAJAJ-AUTO</v>
      </c>
      <c r="B26" s="143">
        <f>VLOOKUP($A26,'Data shares'!$C:$FA,118)</f>
        <v>0.53</v>
      </c>
      <c r="C26" s="143">
        <f>VLOOKUP($A26,'Data shares'!$C:$FA,119)</f>
        <v>0.55000000000000004</v>
      </c>
      <c r="D26" s="143">
        <f>VLOOKUP($A26,'Data shares'!$C:$FA,121)*100</f>
        <v>-3.64</v>
      </c>
      <c r="E26" s="143">
        <f>VLOOKUP($A26,'Data shares'!$C:$FA,124)</f>
        <v>0.73</v>
      </c>
      <c r="F26" s="143">
        <f>VLOOKUP($A26,'Data shares'!$C:$FA,125)</f>
        <v>0.45</v>
      </c>
      <c r="G26" s="143">
        <f>VLOOKUP($A26,'Data shares'!$C:$FA,127)*100</f>
        <v>62.22</v>
      </c>
      <c r="H26" s="103">
        <f>VLOOKUP($A26,'OI(Volume)'!$A$7:$O$427,8)</f>
        <v>2185200</v>
      </c>
      <c r="I26" s="103">
        <f>VLOOKUP($A26,'OI(Volume)'!$A$7:$O$427,9)</f>
        <v>70200</v>
      </c>
      <c r="J26" s="103">
        <f>VLOOKUP($A26,'OI(Volume)'!$A$7:$O$427,11)</f>
        <v>1169025</v>
      </c>
      <c r="K26" s="103">
        <f>VLOOKUP($A26,'OI(Volume)'!$A$7:$O$427,12)</f>
        <v>6075</v>
      </c>
      <c r="L26" s="103">
        <f>VLOOKUP($A26,'OI(Value)'!$A$7:$O$306,8,0)</f>
        <v>1950</v>
      </c>
      <c r="M26" s="103">
        <f>VLOOKUP($A26,'OI(Value)'!$A$7:$O$306,9,0)</f>
        <v>63</v>
      </c>
      <c r="N26" s="103">
        <f>VLOOKUP($A26,'OI(Value)'!$A$7:$O$306,11,0)</f>
        <v>1043</v>
      </c>
      <c r="O26" s="103">
        <f>VLOOKUP($A26,'OI(Value)'!$A$7:$O$306,12,0)</f>
        <v>5</v>
      </c>
      <c r="P26" s="179">
        <f>VLOOKUP(A26,'OI(Value)'!A26:O227,8,0)</f>
        <v>1950</v>
      </c>
      <c r="Q26" s="179">
        <f>VLOOKUP(A26,'OI(Value)'!A26:O227,9,0)</f>
        <v>63</v>
      </c>
      <c r="R26" s="179">
        <f>VLOOKUP(A26,'OI(Value)'!A26:O227,11,0)</f>
        <v>1043</v>
      </c>
      <c r="S26" s="179">
        <f>VLOOKUP(A26,'OI(Value)'!A26:O227,11,0)</f>
        <v>1043</v>
      </c>
    </row>
    <row r="27" spans="1:19" x14ac:dyDescent="0.25">
      <c r="A27" s="105" t="str">
        <f>'Data shares'!C22</f>
        <v>BAJAJFINSV</v>
      </c>
      <c r="B27" s="143">
        <f>VLOOKUP($A27,'Data shares'!$C:$FA,118)</f>
        <v>0.65</v>
      </c>
      <c r="C27" s="143">
        <f>VLOOKUP($A27,'Data shares'!$C:$FA,119)</f>
        <v>0.71</v>
      </c>
      <c r="D27" s="143">
        <f>VLOOKUP($A27,'Data shares'!$C:$FA,121)*100</f>
        <v>-8.4500000000000011</v>
      </c>
      <c r="E27" s="143">
        <f>VLOOKUP($A27,'Data shares'!$C:$FA,124)</f>
        <v>0.67</v>
      </c>
      <c r="F27" s="143">
        <f>VLOOKUP($A27,'Data shares'!$C:$FA,125)</f>
        <v>0.64</v>
      </c>
      <c r="G27" s="143">
        <f>VLOOKUP($A27,'Data shares'!$C:$FA,127)*100</f>
        <v>4.6899999999999995</v>
      </c>
      <c r="H27" s="103">
        <f>VLOOKUP($A27,'OI(Volume)'!$A$7:$O$427,8)</f>
        <v>5588000</v>
      </c>
      <c r="I27" s="103">
        <f>VLOOKUP($A27,'OI(Volume)'!$A$7:$O$427,9)</f>
        <v>319250</v>
      </c>
      <c r="J27" s="103">
        <f>VLOOKUP($A27,'OI(Volume)'!$A$7:$O$427,11)</f>
        <v>3656250</v>
      </c>
      <c r="K27" s="103">
        <f>VLOOKUP($A27,'OI(Volume)'!$A$7:$O$427,12)</f>
        <v>-67750</v>
      </c>
      <c r="L27" s="103">
        <f>VLOOKUP($A27,'OI(Value)'!$A$7:$O$306,8,0)</f>
        <v>1132</v>
      </c>
      <c r="M27" s="103">
        <f>VLOOKUP($A27,'OI(Value)'!$A$7:$O$306,9,0)</f>
        <v>65</v>
      </c>
      <c r="N27" s="103">
        <f>VLOOKUP($A27,'OI(Value)'!$A$7:$O$306,11,0)</f>
        <v>741</v>
      </c>
      <c r="O27" s="103">
        <f>VLOOKUP($A27,'OI(Value)'!$A$7:$O$306,12,0)</f>
        <v>-14</v>
      </c>
      <c r="P27" s="179">
        <f>VLOOKUP(A27,'OI(Value)'!A27:O228,8,0)</f>
        <v>1132</v>
      </c>
      <c r="Q27" s="179">
        <f>VLOOKUP(A27,'OI(Value)'!A27:O228,9,0)</f>
        <v>65</v>
      </c>
      <c r="R27" s="179">
        <f>VLOOKUP(A27,'OI(Value)'!A27:O228,11,0)</f>
        <v>741</v>
      </c>
      <c r="S27" s="179">
        <f>VLOOKUP(A27,'OI(Value)'!A27:O228,11,0)</f>
        <v>741</v>
      </c>
    </row>
    <row r="28" spans="1:19" x14ac:dyDescent="0.25">
      <c r="A28" s="105" t="str">
        <f>'Data shares'!C23</f>
        <v>BAJFINANCE</v>
      </c>
      <c r="B28" s="143">
        <f>VLOOKUP($A28,'Data shares'!$C:$FA,118)</f>
        <v>0.59</v>
      </c>
      <c r="C28" s="143">
        <f>VLOOKUP($A28,'Data shares'!$C:$FA,119)</f>
        <v>0.57999999999999996</v>
      </c>
      <c r="D28" s="143">
        <f>VLOOKUP($A28,'Data shares'!$C:$FA,121)*100</f>
        <v>1.72</v>
      </c>
      <c r="E28" s="143">
        <f>VLOOKUP($A28,'Data shares'!$C:$FA,124)</f>
        <v>0.47</v>
      </c>
      <c r="F28" s="143">
        <f>VLOOKUP($A28,'Data shares'!$C:$FA,125)</f>
        <v>0.46</v>
      </c>
      <c r="G28" s="143">
        <f>VLOOKUP($A28,'Data shares'!$C:$FA,127)*100</f>
        <v>2.17</v>
      </c>
      <c r="H28" s="103">
        <f>VLOOKUP($A28,'OI(Volume)'!$A$7:$O$427,8)</f>
        <v>32435250</v>
      </c>
      <c r="I28" s="103">
        <f>VLOOKUP($A28,'OI(Volume)'!$A$7:$O$427,9)</f>
        <v>252000</v>
      </c>
      <c r="J28" s="103">
        <f>VLOOKUP($A28,'OI(Volume)'!$A$7:$O$427,11)</f>
        <v>19207500</v>
      </c>
      <c r="K28" s="103">
        <f>VLOOKUP($A28,'OI(Volume)'!$A$7:$O$427,12)</f>
        <v>492000</v>
      </c>
      <c r="L28" s="103">
        <f>VLOOKUP($A28,'OI(Value)'!$A$7:$O$306,8,0)</f>
        <v>3254</v>
      </c>
      <c r="M28" s="103">
        <f>VLOOKUP($A28,'OI(Value)'!$A$7:$O$306,9,0)</f>
        <v>25</v>
      </c>
      <c r="N28" s="103">
        <f>VLOOKUP($A28,'OI(Value)'!$A$7:$O$306,11,0)</f>
        <v>1927</v>
      </c>
      <c r="O28" s="103">
        <f>VLOOKUP($A28,'OI(Value)'!$A$7:$O$306,12,0)</f>
        <v>49</v>
      </c>
      <c r="P28" s="179">
        <f>VLOOKUP(A28,'OI(Value)'!A28:O229,8,0)</f>
        <v>3254</v>
      </c>
      <c r="Q28" s="179">
        <f>VLOOKUP(A28,'OI(Value)'!A28:O229,9,0)</f>
        <v>25</v>
      </c>
      <c r="R28" s="179">
        <f>VLOOKUP(A28,'OI(Value)'!A28:O229,11,0)</f>
        <v>1927</v>
      </c>
      <c r="S28" s="179">
        <f>VLOOKUP(A28,'OI(Value)'!A28:O229,11,0)</f>
        <v>1927</v>
      </c>
    </row>
    <row r="29" spans="1:19" x14ac:dyDescent="0.25">
      <c r="A29" s="105" t="str">
        <f>'Data shares'!C24</f>
        <v>BANDHANBNK</v>
      </c>
      <c r="B29" s="143">
        <f>VLOOKUP($A29,'Data shares'!$C:$FA,118)</f>
        <v>0.67</v>
      </c>
      <c r="C29" s="143">
        <f>VLOOKUP($A29,'Data shares'!$C:$FA,119)</f>
        <v>0.67</v>
      </c>
      <c r="D29" s="143">
        <f>VLOOKUP($A29,'Data shares'!$C:$FA,121)*100</f>
        <v>0</v>
      </c>
      <c r="E29" s="143">
        <f>VLOOKUP($A29,'Data shares'!$C:$FA,124)</f>
        <v>0.16</v>
      </c>
      <c r="F29" s="143">
        <f>VLOOKUP($A29,'Data shares'!$C:$FA,125)</f>
        <v>0.32</v>
      </c>
      <c r="G29" s="143">
        <f>VLOOKUP($A29,'Data shares'!$C:$FA,127)*100</f>
        <v>-50</v>
      </c>
      <c r="H29" s="103">
        <f>VLOOKUP($A29,'OI(Volume)'!$A$7:$O$427,8)</f>
        <v>41889600</v>
      </c>
      <c r="I29" s="103">
        <f>VLOOKUP($A29,'OI(Volume)'!$A$7:$O$427,9)</f>
        <v>-115200</v>
      </c>
      <c r="J29" s="103">
        <f>VLOOKUP($A29,'OI(Volume)'!$A$7:$O$427,11)</f>
        <v>28242000</v>
      </c>
      <c r="K29" s="103">
        <f>VLOOKUP($A29,'OI(Volume)'!$A$7:$O$427,12)</f>
        <v>-50400</v>
      </c>
      <c r="L29" s="103">
        <f>VLOOKUP($A29,'OI(Value)'!$A$7:$O$306,8,0)</f>
        <v>623</v>
      </c>
      <c r="M29" s="103">
        <f>VLOOKUP($A29,'OI(Value)'!$A$7:$O$306,9,0)</f>
        <v>-2</v>
      </c>
      <c r="N29" s="103">
        <f>VLOOKUP($A29,'OI(Value)'!$A$7:$O$306,11,0)</f>
        <v>420</v>
      </c>
      <c r="O29" s="103">
        <f>VLOOKUP($A29,'OI(Value)'!$A$7:$O$306,12,0)</f>
        <v>-1</v>
      </c>
      <c r="P29" s="179">
        <f>VLOOKUP(A29,'OI(Value)'!A29:O230,8,0)</f>
        <v>623</v>
      </c>
      <c r="Q29" s="179">
        <f>VLOOKUP(A29,'OI(Value)'!A29:O230,9,0)</f>
        <v>-2</v>
      </c>
      <c r="R29" s="179">
        <f>VLOOKUP(A29,'OI(Value)'!A29:O230,11,0)</f>
        <v>420</v>
      </c>
      <c r="S29" s="179">
        <f>VLOOKUP(A29,'OI(Value)'!A29:O230,11,0)</f>
        <v>420</v>
      </c>
    </row>
    <row r="30" spans="1:19" x14ac:dyDescent="0.25">
      <c r="A30" s="105" t="str">
        <f>'Data shares'!C25</f>
        <v>BANKBARODA</v>
      </c>
      <c r="B30" s="143">
        <f>VLOOKUP($A30,'Data shares'!$C:$FA,118)</f>
        <v>0.79</v>
      </c>
      <c r="C30" s="143">
        <f>VLOOKUP($A30,'Data shares'!$C:$FA,119)</f>
        <v>0.74</v>
      </c>
      <c r="D30" s="143">
        <f>VLOOKUP($A30,'Data shares'!$C:$FA,121)*100</f>
        <v>6.76</v>
      </c>
      <c r="E30" s="143">
        <f>VLOOKUP($A30,'Data shares'!$C:$FA,124)</f>
        <v>0.52</v>
      </c>
      <c r="F30" s="143">
        <f>VLOOKUP($A30,'Data shares'!$C:$FA,125)</f>
        <v>0.43</v>
      </c>
      <c r="G30" s="143">
        <f>VLOOKUP($A30,'Data shares'!$C:$FA,127)*100</f>
        <v>20.93</v>
      </c>
      <c r="H30" s="103">
        <f>VLOOKUP($A30,'OI(Volume)'!$A$7:$O$427,8)</f>
        <v>50625900</v>
      </c>
      <c r="I30" s="103">
        <f>VLOOKUP($A30,'OI(Volume)'!$A$7:$O$427,9)</f>
        <v>-3232125</v>
      </c>
      <c r="J30" s="103">
        <f>VLOOKUP($A30,'OI(Volume)'!$A$7:$O$427,11)</f>
        <v>40107600</v>
      </c>
      <c r="K30" s="103">
        <f>VLOOKUP($A30,'OI(Volume)'!$A$7:$O$427,12)</f>
        <v>438750</v>
      </c>
      <c r="L30" s="103">
        <f>VLOOKUP($A30,'OI(Value)'!$A$7:$O$306,8,0)</f>
        <v>1459</v>
      </c>
      <c r="M30" s="103">
        <f>VLOOKUP($A30,'OI(Value)'!$A$7:$O$306,9,0)</f>
        <v>-93</v>
      </c>
      <c r="N30" s="103">
        <f>VLOOKUP($A30,'OI(Value)'!$A$7:$O$306,11,0)</f>
        <v>1156</v>
      </c>
      <c r="O30" s="103">
        <f>VLOOKUP($A30,'OI(Value)'!$A$7:$O$306,12,0)</f>
        <v>13</v>
      </c>
      <c r="P30" s="179">
        <f>VLOOKUP(A30,'OI(Value)'!A30:O231,8,0)</f>
        <v>1459</v>
      </c>
      <c r="Q30" s="179">
        <f>VLOOKUP(A30,'OI(Value)'!A30:O231,9,0)</f>
        <v>-93</v>
      </c>
      <c r="R30" s="179">
        <f>VLOOKUP(A30,'OI(Value)'!A30:O231,11,0)</f>
        <v>1156</v>
      </c>
      <c r="S30" s="179">
        <f>VLOOKUP(A30,'OI(Value)'!A30:O231,11,0)</f>
        <v>1156</v>
      </c>
    </row>
    <row r="31" spans="1:19" x14ac:dyDescent="0.25">
      <c r="A31" s="105" t="str">
        <f>'Data shares'!C26</f>
        <v>BANKINDIA</v>
      </c>
      <c r="B31" s="143">
        <f>VLOOKUP($A31,'Data shares'!$C:$FA,118)</f>
        <v>0.72</v>
      </c>
      <c r="C31" s="143">
        <f>VLOOKUP($A31,'Data shares'!$C:$FA,119)</f>
        <v>0.73</v>
      </c>
      <c r="D31" s="143">
        <f>VLOOKUP($A31,'Data shares'!$C:$FA,121)*100</f>
        <v>-1.37</v>
      </c>
      <c r="E31" s="143">
        <f>VLOOKUP($A31,'Data shares'!$C:$FA,124)</f>
        <v>0.36</v>
      </c>
      <c r="F31" s="143">
        <f>VLOOKUP($A31,'Data shares'!$C:$FA,125)</f>
        <v>0.31</v>
      </c>
      <c r="G31" s="143">
        <f>VLOOKUP($A31,'Data shares'!$C:$FA,127)*100</f>
        <v>16.13</v>
      </c>
      <c r="H31" s="103">
        <f>VLOOKUP($A31,'OI(Volume)'!$A$7:$O$427,8)</f>
        <v>27596400</v>
      </c>
      <c r="I31" s="103">
        <f>VLOOKUP($A31,'OI(Volume)'!$A$7:$O$427,9)</f>
        <v>2002000</v>
      </c>
      <c r="J31" s="103">
        <f>VLOOKUP($A31,'OI(Volume)'!$A$7:$O$427,11)</f>
        <v>19942000</v>
      </c>
      <c r="K31" s="103">
        <f>VLOOKUP($A31,'OI(Volume)'!$A$7:$O$427,12)</f>
        <v>1362400</v>
      </c>
      <c r="L31" s="103">
        <f>VLOOKUP($A31,'OI(Value)'!$A$7:$O$306,8,0)</f>
        <v>393</v>
      </c>
      <c r="M31" s="103">
        <f>VLOOKUP($A31,'OI(Value)'!$A$7:$O$306,9,0)</f>
        <v>29</v>
      </c>
      <c r="N31" s="103">
        <f>VLOOKUP($A31,'OI(Value)'!$A$7:$O$306,11,0)</f>
        <v>284</v>
      </c>
      <c r="O31" s="103">
        <f>VLOOKUP($A31,'OI(Value)'!$A$7:$O$306,12,0)</f>
        <v>19</v>
      </c>
      <c r="P31" s="179">
        <f>VLOOKUP(A31,'OI(Value)'!A31:O232,8,0)</f>
        <v>393</v>
      </c>
      <c r="Q31" s="179">
        <f>VLOOKUP(A31,'OI(Value)'!A31:O232,9,0)</f>
        <v>29</v>
      </c>
      <c r="R31" s="179">
        <f>VLOOKUP(A31,'OI(Value)'!A31:O232,11,0)</f>
        <v>284</v>
      </c>
      <c r="S31" s="179">
        <f>VLOOKUP(A31,'OI(Value)'!A31:O232,11,0)</f>
        <v>284</v>
      </c>
    </row>
    <row r="32" spans="1:19" x14ac:dyDescent="0.25">
      <c r="A32" s="105" t="str">
        <f>'Data shares'!C27</f>
        <v>BANKNIFTY</v>
      </c>
      <c r="B32" s="143">
        <f>VLOOKUP($A32,'Data shares'!$C:$FA,118)</f>
        <v>0.75</v>
      </c>
      <c r="C32" s="143">
        <f>VLOOKUP($A32,'Data shares'!$C:$FA,119)</f>
        <v>0.77</v>
      </c>
      <c r="D32" s="143">
        <f>VLOOKUP($A32,'Data shares'!$C:$FA,121)*100</f>
        <v>-2.6</v>
      </c>
      <c r="E32" s="143">
        <f>VLOOKUP($A32,'Data shares'!$C:$FA,124)</f>
        <v>0.96</v>
      </c>
      <c r="F32" s="143">
        <f>VLOOKUP($A32,'Data shares'!$C:$FA,125)</f>
        <v>0.95</v>
      </c>
      <c r="G32" s="143">
        <f>VLOOKUP($A32,'Data shares'!$C:$FA,127)*100</f>
        <v>1.05</v>
      </c>
      <c r="H32" s="103">
        <f>VLOOKUP($A32,'OI(Volume)'!$A$7:$O$427,8)</f>
        <v>22702860</v>
      </c>
      <c r="I32" s="103">
        <f>VLOOKUP($A32,'OI(Volume)'!$A$7:$O$427,9)</f>
        <v>815410</v>
      </c>
      <c r="J32" s="103">
        <f>VLOOKUP($A32,'OI(Volume)'!$A$7:$O$427,11)</f>
        <v>17047205</v>
      </c>
      <c r="K32" s="103">
        <f>VLOOKUP($A32,'OI(Volume)'!$A$7:$O$427,12)</f>
        <v>146620</v>
      </c>
      <c r="L32" s="103">
        <f>VLOOKUP($A32,'OI(Value)'!$A$7:$O$306,8,0)</f>
        <v>134280</v>
      </c>
      <c r="M32" s="103">
        <f>VLOOKUP($A32,'OI(Value)'!$A$7:$O$306,9,0)</f>
        <v>4823</v>
      </c>
      <c r="N32" s="103">
        <f>VLOOKUP($A32,'OI(Value)'!$A$7:$O$306,11,0)</f>
        <v>100829</v>
      </c>
      <c r="O32" s="103">
        <f>VLOOKUP($A32,'OI(Value)'!$A$7:$O$306,12,0)</f>
        <v>867</v>
      </c>
      <c r="P32" s="179">
        <f>VLOOKUP(A32,'OI(Value)'!A32:O233,8,0)</f>
        <v>134280</v>
      </c>
      <c r="Q32" s="179">
        <f>VLOOKUP(A32,'OI(Value)'!A32:O233,9,0)</f>
        <v>4823</v>
      </c>
      <c r="R32" s="179">
        <f>VLOOKUP(A32,'OI(Value)'!A32:O233,11,0)</f>
        <v>100829</v>
      </c>
      <c r="S32" s="179">
        <f>VLOOKUP(A32,'OI(Value)'!A32:O233,11,0)</f>
        <v>100829</v>
      </c>
    </row>
    <row r="33" spans="1:19" x14ac:dyDescent="0.25">
      <c r="A33" s="105" t="str">
        <f>'Data shares'!C28</f>
        <v>BDL</v>
      </c>
      <c r="B33" s="143">
        <f>VLOOKUP($A33,'Data shares'!$C:$FA,118)</f>
        <v>0.4</v>
      </c>
      <c r="C33" s="143">
        <f>VLOOKUP($A33,'Data shares'!$C:$FA,119)</f>
        <v>0.41</v>
      </c>
      <c r="D33" s="143">
        <f>VLOOKUP($A33,'Data shares'!$C:$FA,121)*100</f>
        <v>-2.44</v>
      </c>
      <c r="E33" s="143">
        <f>VLOOKUP($A33,'Data shares'!$C:$FA,124)</f>
        <v>0.63</v>
      </c>
      <c r="F33" s="143">
        <f>VLOOKUP($A33,'Data shares'!$C:$FA,125)</f>
        <v>0.64</v>
      </c>
      <c r="G33" s="143">
        <f>VLOOKUP($A33,'Data shares'!$C:$FA,127)*100</f>
        <v>-1.5599999999999998</v>
      </c>
      <c r="H33" s="103">
        <f>VLOOKUP($A33,'OI(Volume)'!$A$7:$O$427,8)</f>
        <v>7476700</v>
      </c>
      <c r="I33" s="103">
        <f>VLOOKUP($A33,'OI(Volume)'!$A$7:$O$427,9)</f>
        <v>477500</v>
      </c>
      <c r="J33" s="103">
        <f>VLOOKUP($A33,'OI(Volume)'!$A$7:$O$427,11)</f>
        <v>2956425</v>
      </c>
      <c r="K33" s="103">
        <f>VLOOKUP($A33,'OI(Volume)'!$A$7:$O$427,12)</f>
        <v>107025</v>
      </c>
      <c r="L33" s="103">
        <f>VLOOKUP($A33,'OI(Value)'!$A$7:$O$306,8,0)</f>
        <v>993</v>
      </c>
      <c r="M33" s="103">
        <f>VLOOKUP($A33,'OI(Value)'!$A$7:$O$306,9,0)</f>
        <v>63</v>
      </c>
      <c r="N33" s="103">
        <f>VLOOKUP($A33,'OI(Value)'!$A$7:$O$306,11,0)</f>
        <v>393</v>
      </c>
      <c r="O33" s="103">
        <f>VLOOKUP($A33,'OI(Value)'!$A$7:$O$306,12,0)</f>
        <v>14</v>
      </c>
      <c r="P33" s="179">
        <f>VLOOKUP(A33,'OI(Value)'!A33:O234,8,0)</f>
        <v>993</v>
      </c>
      <c r="Q33" s="179">
        <f>VLOOKUP(A33,'OI(Value)'!A33:O234,9,0)</f>
        <v>63</v>
      </c>
      <c r="R33" s="179">
        <f>VLOOKUP(A33,'OI(Value)'!A33:O234,11,0)</f>
        <v>393</v>
      </c>
      <c r="S33" s="179">
        <f>VLOOKUP(A33,'OI(Value)'!A33:O234,11,0)</f>
        <v>393</v>
      </c>
    </row>
    <row r="34" spans="1:19" x14ac:dyDescent="0.25">
      <c r="A34" s="105" t="str">
        <f>'Data shares'!C29</f>
        <v>BEL</v>
      </c>
      <c r="B34" s="143">
        <f>VLOOKUP($A34,'Data shares'!$C:$FA,118)</f>
        <v>0.46</v>
      </c>
      <c r="C34" s="143">
        <f>VLOOKUP($A34,'Data shares'!$C:$FA,119)</f>
        <v>0.46</v>
      </c>
      <c r="D34" s="143">
        <f>VLOOKUP($A34,'Data shares'!$C:$FA,121)*100</f>
        <v>0</v>
      </c>
      <c r="E34" s="143">
        <f>VLOOKUP($A34,'Data shares'!$C:$FA,124)</f>
        <v>0.39</v>
      </c>
      <c r="F34" s="143">
        <f>VLOOKUP($A34,'Data shares'!$C:$FA,125)</f>
        <v>0.43</v>
      </c>
      <c r="G34" s="143">
        <f>VLOOKUP($A34,'Data shares'!$C:$FA,127)*100</f>
        <v>-9.3000000000000007</v>
      </c>
      <c r="H34" s="103">
        <f>VLOOKUP($A34,'OI(Volume)'!$A$7:$O$427,8)</f>
        <v>93129450</v>
      </c>
      <c r="I34" s="103">
        <f>VLOOKUP($A34,'OI(Volume)'!$A$7:$O$427,9)</f>
        <v>-551475</v>
      </c>
      <c r="J34" s="103">
        <f>VLOOKUP($A34,'OI(Volume)'!$A$7:$O$427,11)</f>
        <v>42440775</v>
      </c>
      <c r="K34" s="103">
        <f>VLOOKUP($A34,'OI(Volume)'!$A$7:$O$427,12)</f>
        <v>-366225</v>
      </c>
      <c r="L34" s="103">
        <f>VLOOKUP($A34,'OI(Value)'!$A$7:$O$306,8,0)</f>
        <v>3603</v>
      </c>
      <c r="M34" s="103">
        <f>VLOOKUP($A34,'OI(Value)'!$A$7:$O$306,9,0)</f>
        <v>-21</v>
      </c>
      <c r="N34" s="103">
        <f>VLOOKUP($A34,'OI(Value)'!$A$7:$O$306,11,0)</f>
        <v>1642</v>
      </c>
      <c r="O34" s="103">
        <f>VLOOKUP($A34,'OI(Value)'!$A$7:$O$306,12,0)</f>
        <v>-14</v>
      </c>
      <c r="P34" s="179">
        <f>VLOOKUP(A34,'OI(Value)'!A34:O235,8,0)</f>
        <v>3603</v>
      </c>
      <c r="Q34" s="179">
        <f>VLOOKUP(A34,'OI(Value)'!A34:O235,9,0)</f>
        <v>-21</v>
      </c>
      <c r="R34" s="179">
        <f>VLOOKUP(A34,'OI(Value)'!A34:O235,11,0)</f>
        <v>1642</v>
      </c>
      <c r="S34" s="179">
        <f>VLOOKUP(A34,'OI(Value)'!A34:O235,11,0)</f>
        <v>1642</v>
      </c>
    </row>
    <row r="35" spans="1:19" x14ac:dyDescent="0.25">
      <c r="A35" s="105" t="str">
        <f>'Data shares'!C30</f>
        <v>BHARATFORG</v>
      </c>
      <c r="B35" s="143">
        <f>VLOOKUP($A35,'Data shares'!$C:$FA,118)</f>
        <v>0.62</v>
      </c>
      <c r="C35" s="143">
        <f>VLOOKUP($A35,'Data shares'!$C:$FA,119)</f>
        <v>0.62</v>
      </c>
      <c r="D35" s="143">
        <f>VLOOKUP($A35,'Data shares'!$C:$FA,121)*100</f>
        <v>0</v>
      </c>
      <c r="E35" s="143">
        <f>VLOOKUP($A35,'Data shares'!$C:$FA,124)</f>
        <v>0.44</v>
      </c>
      <c r="F35" s="143">
        <f>VLOOKUP($A35,'Data shares'!$C:$FA,125)</f>
        <v>0.36</v>
      </c>
      <c r="G35" s="143">
        <f>VLOOKUP($A35,'Data shares'!$C:$FA,127)*100</f>
        <v>22.220000000000002</v>
      </c>
      <c r="H35" s="103">
        <f>VLOOKUP($A35,'OI(Volume)'!$A$7:$O$427,8)</f>
        <v>3607500</v>
      </c>
      <c r="I35" s="103">
        <f>VLOOKUP($A35,'OI(Volume)'!$A$7:$O$427,9)</f>
        <v>40500</v>
      </c>
      <c r="J35" s="103">
        <f>VLOOKUP($A35,'OI(Volume)'!$A$7:$O$427,11)</f>
        <v>2253500</v>
      </c>
      <c r="K35" s="103">
        <f>VLOOKUP($A35,'OI(Volume)'!$A$7:$O$427,12)</f>
        <v>46500</v>
      </c>
      <c r="L35" s="103">
        <f>VLOOKUP($A35,'OI(Value)'!$A$7:$O$306,8,0)</f>
        <v>511</v>
      </c>
      <c r="M35" s="103">
        <f>VLOOKUP($A35,'OI(Value)'!$A$7:$O$306,9,0)</f>
        <v>6</v>
      </c>
      <c r="N35" s="103">
        <f>VLOOKUP($A35,'OI(Value)'!$A$7:$O$306,11,0)</f>
        <v>319</v>
      </c>
      <c r="O35" s="103">
        <f>VLOOKUP($A35,'OI(Value)'!$A$7:$O$306,12,0)</f>
        <v>7</v>
      </c>
      <c r="P35" s="179">
        <f>VLOOKUP(A35,'OI(Value)'!A35:O236,8,0)</f>
        <v>511</v>
      </c>
      <c r="Q35" s="179">
        <f>VLOOKUP(A35,'OI(Value)'!A35:O236,9,0)</f>
        <v>6</v>
      </c>
      <c r="R35" s="179">
        <f>VLOOKUP(A35,'OI(Value)'!A35:O236,11,0)</f>
        <v>319</v>
      </c>
      <c r="S35" s="179">
        <f>VLOOKUP(A35,'OI(Value)'!A35:O236,11,0)</f>
        <v>319</v>
      </c>
    </row>
    <row r="36" spans="1:19" x14ac:dyDescent="0.25">
      <c r="A36" s="105" t="str">
        <f>'Data shares'!C31</f>
        <v>BHARTIARTL</v>
      </c>
      <c r="B36" s="143">
        <f>VLOOKUP($A36,'Data shares'!$C:$FA,118)</f>
        <v>0.5</v>
      </c>
      <c r="C36" s="143">
        <f>VLOOKUP($A36,'Data shares'!$C:$FA,119)</f>
        <v>0.49</v>
      </c>
      <c r="D36" s="143">
        <f>VLOOKUP($A36,'Data shares'!$C:$FA,121)*100</f>
        <v>2.04</v>
      </c>
      <c r="E36" s="143">
        <f>VLOOKUP($A36,'Data shares'!$C:$FA,124)</f>
        <v>0.51</v>
      </c>
      <c r="F36" s="143">
        <f>VLOOKUP($A36,'Data shares'!$C:$FA,125)</f>
        <v>0.43</v>
      </c>
      <c r="G36" s="143">
        <f>VLOOKUP($A36,'Data shares'!$C:$FA,127)*100</f>
        <v>18.600000000000001</v>
      </c>
      <c r="H36" s="103">
        <f>VLOOKUP($A36,'OI(Volume)'!$A$7:$O$427,8)</f>
        <v>19246050</v>
      </c>
      <c r="I36" s="103">
        <f>VLOOKUP($A36,'OI(Volume)'!$A$7:$O$427,9)</f>
        <v>-477375</v>
      </c>
      <c r="J36" s="103">
        <f>VLOOKUP($A36,'OI(Volume)'!$A$7:$O$427,11)</f>
        <v>9595000</v>
      </c>
      <c r="K36" s="103">
        <f>VLOOKUP($A36,'OI(Volume)'!$A$7:$O$427,12)</f>
        <v>-82175</v>
      </c>
      <c r="L36" s="103">
        <f>VLOOKUP($A36,'OI(Value)'!$A$7:$O$306,8,0)</f>
        <v>4059</v>
      </c>
      <c r="M36" s="103">
        <f>VLOOKUP($A36,'OI(Value)'!$A$7:$O$306,9,0)</f>
        <v>-101</v>
      </c>
      <c r="N36" s="103">
        <f>VLOOKUP($A36,'OI(Value)'!$A$7:$O$306,11,0)</f>
        <v>2024</v>
      </c>
      <c r="O36" s="103">
        <f>VLOOKUP($A36,'OI(Value)'!$A$7:$O$306,12,0)</f>
        <v>-17</v>
      </c>
      <c r="P36" s="179">
        <f>VLOOKUP(A36,'OI(Value)'!A36:O237,8,0)</f>
        <v>4059</v>
      </c>
      <c r="Q36" s="179">
        <f>VLOOKUP(A36,'OI(Value)'!A36:O237,9,0)</f>
        <v>-101</v>
      </c>
      <c r="R36" s="179">
        <f>VLOOKUP(A36,'OI(Value)'!A36:O237,11,0)</f>
        <v>2024</v>
      </c>
      <c r="S36" s="179">
        <f>VLOOKUP(A36,'OI(Value)'!A36:O237,11,0)</f>
        <v>2024</v>
      </c>
    </row>
    <row r="37" spans="1:19" x14ac:dyDescent="0.25">
      <c r="A37" s="105" t="str">
        <f>'Data shares'!C32</f>
        <v>BHEL</v>
      </c>
      <c r="B37" s="143">
        <f>VLOOKUP($A37,'Data shares'!$C:$FA,118)</f>
        <v>0.48</v>
      </c>
      <c r="C37" s="143">
        <f>VLOOKUP($A37,'Data shares'!$C:$FA,119)</f>
        <v>0.5</v>
      </c>
      <c r="D37" s="143">
        <f>VLOOKUP($A37,'Data shares'!$C:$FA,121)*100</f>
        <v>-4</v>
      </c>
      <c r="E37" s="143">
        <f>VLOOKUP($A37,'Data shares'!$C:$FA,124)</f>
        <v>0.32</v>
      </c>
      <c r="F37" s="143">
        <f>VLOOKUP($A37,'Data shares'!$C:$FA,125)</f>
        <v>0.47</v>
      </c>
      <c r="G37" s="143">
        <f>VLOOKUP($A37,'Data shares'!$C:$FA,127)*100</f>
        <v>-31.91</v>
      </c>
      <c r="H37" s="103">
        <f>VLOOKUP($A37,'OI(Volume)'!$A$7:$O$427,8)</f>
        <v>52179750</v>
      </c>
      <c r="I37" s="103">
        <f>VLOOKUP($A37,'OI(Volume)'!$A$7:$O$427,9)</f>
        <v>2273250</v>
      </c>
      <c r="J37" s="103">
        <f>VLOOKUP($A37,'OI(Volume)'!$A$7:$O$427,11)</f>
        <v>24898125</v>
      </c>
      <c r="K37" s="103">
        <f>VLOOKUP($A37,'OI(Volume)'!$A$7:$O$427,12)</f>
        <v>28875</v>
      </c>
      <c r="L37" s="103">
        <f>VLOOKUP($A37,'OI(Value)'!$A$7:$O$306,8,0)</f>
        <v>1455</v>
      </c>
      <c r="M37" s="103">
        <f>VLOOKUP($A37,'OI(Value)'!$A$7:$O$306,9,0)</f>
        <v>63</v>
      </c>
      <c r="N37" s="103">
        <f>VLOOKUP($A37,'OI(Value)'!$A$7:$O$306,11,0)</f>
        <v>694</v>
      </c>
      <c r="O37" s="103">
        <f>VLOOKUP($A37,'OI(Value)'!$A$7:$O$306,12,0)</f>
        <v>1</v>
      </c>
      <c r="P37" s="179">
        <f>VLOOKUP(A37,'OI(Value)'!A37:O238,8,0)</f>
        <v>1455</v>
      </c>
      <c r="Q37" s="179">
        <f>VLOOKUP(A37,'OI(Value)'!A37:O238,9,0)</f>
        <v>63</v>
      </c>
      <c r="R37" s="179">
        <f>VLOOKUP(A37,'OI(Value)'!A37:O238,11,0)</f>
        <v>694</v>
      </c>
      <c r="S37" s="179">
        <f>VLOOKUP(A37,'OI(Value)'!A37:O238,11,0)</f>
        <v>694</v>
      </c>
    </row>
    <row r="38" spans="1:19" x14ac:dyDescent="0.25">
      <c r="A38" s="105" t="str">
        <f>'Data shares'!C33</f>
        <v>BIOCON</v>
      </c>
      <c r="B38" s="143">
        <f>VLOOKUP($A38,'Data shares'!$C:$FA,118)</f>
        <v>0.51</v>
      </c>
      <c r="C38" s="143">
        <f>VLOOKUP($A38,'Data shares'!$C:$FA,119)</f>
        <v>0.5</v>
      </c>
      <c r="D38" s="143">
        <f>VLOOKUP($A38,'Data shares'!$C:$FA,121)*100</f>
        <v>2</v>
      </c>
      <c r="E38" s="143">
        <f>VLOOKUP($A38,'Data shares'!$C:$FA,124)</f>
        <v>0.34</v>
      </c>
      <c r="F38" s="143">
        <f>VLOOKUP($A38,'Data shares'!$C:$FA,125)</f>
        <v>0.36</v>
      </c>
      <c r="G38" s="143">
        <f>VLOOKUP($A38,'Data shares'!$C:$FA,127)*100</f>
        <v>-5.56</v>
      </c>
      <c r="H38" s="103">
        <f>VLOOKUP($A38,'OI(Volume)'!$A$7:$O$427,8)</f>
        <v>32985000</v>
      </c>
      <c r="I38" s="103">
        <f>VLOOKUP($A38,'OI(Volume)'!$A$7:$O$427,9)</f>
        <v>-967500</v>
      </c>
      <c r="J38" s="103">
        <f>VLOOKUP($A38,'OI(Volume)'!$A$7:$O$427,11)</f>
        <v>16707500</v>
      </c>
      <c r="K38" s="103">
        <f>VLOOKUP($A38,'OI(Volume)'!$A$7:$O$427,12)</f>
        <v>-192500</v>
      </c>
      <c r="L38" s="103">
        <f>VLOOKUP($A38,'OI(Value)'!$A$7:$O$306,8,0)</f>
        <v>1276</v>
      </c>
      <c r="M38" s="103">
        <f>VLOOKUP($A38,'OI(Value)'!$A$7:$O$306,9,0)</f>
        <v>-37</v>
      </c>
      <c r="N38" s="103">
        <f>VLOOKUP($A38,'OI(Value)'!$A$7:$O$306,11,0)</f>
        <v>646</v>
      </c>
      <c r="O38" s="103">
        <f>VLOOKUP($A38,'OI(Value)'!$A$7:$O$306,12,0)</f>
        <v>-7</v>
      </c>
      <c r="P38" s="179">
        <f>VLOOKUP(A38,'OI(Value)'!A38:O239,8,0)</f>
        <v>1276</v>
      </c>
      <c r="Q38" s="179">
        <f>VLOOKUP(A38,'OI(Value)'!A38:O239,9,0)</f>
        <v>-37</v>
      </c>
      <c r="R38" s="179">
        <f>VLOOKUP(A38,'OI(Value)'!A38:O239,11,0)</f>
        <v>646</v>
      </c>
      <c r="S38" s="179">
        <f>VLOOKUP(A38,'OI(Value)'!A38:O239,11,0)</f>
        <v>646</v>
      </c>
    </row>
    <row r="39" spans="1:19" x14ac:dyDescent="0.25">
      <c r="A39" s="105" t="str">
        <f>'Data shares'!C34</f>
        <v>BLUESTARCO</v>
      </c>
      <c r="B39" s="143">
        <f>VLOOKUP($A39,'Data shares'!$C:$FA,118)</f>
        <v>0.7</v>
      </c>
      <c r="C39" s="143">
        <f>VLOOKUP($A39,'Data shares'!$C:$FA,119)</f>
        <v>0.79</v>
      </c>
      <c r="D39" s="143">
        <f>VLOOKUP($A39,'Data shares'!$C:$FA,121)*100</f>
        <v>-11.39</v>
      </c>
      <c r="E39" s="143">
        <f>VLOOKUP($A39,'Data shares'!$C:$FA,124)</f>
        <v>0.23</v>
      </c>
      <c r="F39" s="143">
        <f>VLOOKUP($A39,'Data shares'!$C:$FA,125)</f>
        <v>0.42</v>
      </c>
      <c r="G39" s="143">
        <f>VLOOKUP($A39,'Data shares'!$C:$FA,127)*100</f>
        <v>-45.24</v>
      </c>
      <c r="H39" s="103">
        <f>VLOOKUP($A39,'OI(Volume)'!$A$7:$O$427,8)</f>
        <v>743925</v>
      </c>
      <c r="I39" s="103">
        <f>VLOOKUP($A39,'OI(Volume)'!$A$7:$O$427,9)</f>
        <v>167700</v>
      </c>
      <c r="J39" s="103">
        <f>VLOOKUP($A39,'OI(Volume)'!$A$7:$O$427,11)</f>
        <v>520650</v>
      </c>
      <c r="K39" s="103">
        <f>VLOOKUP($A39,'OI(Volume)'!$A$7:$O$427,12)</f>
        <v>65975</v>
      </c>
      <c r="L39" s="103">
        <f>VLOOKUP($A39,'OI(Value)'!$A$7:$O$306,8,0)</f>
        <v>136</v>
      </c>
      <c r="M39" s="103">
        <f>VLOOKUP($A39,'OI(Value)'!$A$7:$O$306,9,0)</f>
        <v>31</v>
      </c>
      <c r="N39" s="103">
        <f>VLOOKUP($A39,'OI(Value)'!$A$7:$O$306,11,0)</f>
        <v>95</v>
      </c>
      <c r="O39" s="103">
        <f>VLOOKUP($A39,'OI(Value)'!$A$7:$O$306,12,0)</f>
        <v>12</v>
      </c>
      <c r="P39" s="179">
        <f>VLOOKUP(A39,'OI(Value)'!A39:O240,8,0)</f>
        <v>136</v>
      </c>
      <c r="Q39" s="179">
        <f>VLOOKUP(A39,'OI(Value)'!A39:O240,9,0)</f>
        <v>31</v>
      </c>
      <c r="R39" s="179">
        <f>VLOOKUP(A39,'OI(Value)'!A39:O240,11,0)</f>
        <v>95</v>
      </c>
      <c r="S39" s="179">
        <f>VLOOKUP(A39,'OI(Value)'!A39:O240,11,0)</f>
        <v>95</v>
      </c>
    </row>
    <row r="40" spans="1:19" x14ac:dyDescent="0.25">
      <c r="A40" s="105" t="str">
        <f>'Data shares'!C35</f>
        <v>BOSCHLTD</v>
      </c>
      <c r="B40" s="143">
        <f>VLOOKUP($A40,'Data shares'!$C:$FA,118)</f>
        <v>0.48</v>
      </c>
      <c r="C40" s="143">
        <f>VLOOKUP($A40,'Data shares'!$C:$FA,119)</f>
        <v>0.52</v>
      </c>
      <c r="D40" s="143">
        <f>VLOOKUP($A40,'Data shares'!$C:$FA,121)*100</f>
        <v>-7.6899999999999995</v>
      </c>
      <c r="E40" s="143">
        <f>VLOOKUP($A40,'Data shares'!$C:$FA,124)</f>
        <v>0.15</v>
      </c>
      <c r="F40" s="143">
        <f>VLOOKUP($A40,'Data shares'!$C:$FA,125)</f>
        <v>0.38</v>
      </c>
      <c r="G40" s="143">
        <f>VLOOKUP($A40,'Data shares'!$C:$FA,127)*100</f>
        <v>-60.529999999999994</v>
      </c>
      <c r="H40" s="103">
        <f>VLOOKUP($A40,'OI(Volume)'!$A$7:$O$427,8)</f>
        <v>89125</v>
      </c>
      <c r="I40" s="103">
        <f>VLOOKUP($A40,'OI(Volume)'!$A$7:$O$427,9)</f>
        <v>8450</v>
      </c>
      <c r="J40" s="103">
        <f>VLOOKUP($A40,'OI(Volume)'!$A$7:$O$427,11)</f>
        <v>42525</v>
      </c>
      <c r="K40" s="103">
        <f>VLOOKUP($A40,'OI(Volume)'!$A$7:$O$427,12)</f>
        <v>400</v>
      </c>
      <c r="L40" s="103">
        <f>VLOOKUP($A40,'OI(Value)'!$A$7:$O$306,8,0)</f>
        <v>321</v>
      </c>
      <c r="M40" s="103">
        <f>VLOOKUP($A40,'OI(Value)'!$A$7:$O$306,9,0)</f>
        <v>30</v>
      </c>
      <c r="N40" s="103">
        <f>VLOOKUP($A40,'OI(Value)'!$A$7:$O$306,11,0)</f>
        <v>153</v>
      </c>
      <c r="O40" s="103">
        <f>VLOOKUP($A40,'OI(Value)'!$A$7:$O$306,12,0)</f>
        <v>1</v>
      </c>
      <c r="P40" s="179">
        <f>VLOOKUP(A40,'OI(Value)'!A40:O241,8,0)</f>
        <v>321</v>
      </c>
      <c r="Q40" s="179">
        <f>VLOOKUP(A40,'OI(Value)'!A40:O241,9,0)</f>
        <v>30</v>
      </c>
      <c r="R40" s="179">
        <f>VLOOKUP(A40,'OI(Value)'!A40:O241,11,0)</f>
        <v>153</v>
      </c>
      <c r="S40" s="179">
        <f>VLOOKUP(A40,'OI(Value)'!A40:O241,11,0)</f>
        <v>153</v>
      </c>
    </row>
    <row r="41" spans="1:19" x14ac:dyDescent="0.25">
      <c r="A41" s="105" t="str">
        <f>'Data shares'!C36</f>
        <v>BPCL</v>
      </c>
      <c r="B41" s="143">
        <f>VLOOKUP($A41,'Data shares'!$C:$FA,118)</f>
        <v>0.56999999999999995</v>
      </c>
      <c r="C41" s="143">
        <f>VLOOKUP($A41,'Data shares'!$C:$FA,119)</f>
        <v>0.59</v>
      </c>
      <c r="D41" s="143">
        <f>VLOOKUP($A41,'Data shares'!$C:$FA,121)*100</f>
        <v>-3.39</v>
      </c>
      <c r="E41" s="143">
        <f>VLOOKUP($A41,'Data shares'!$C:$FA,124)</f>
        <v>0.27</v>
      </c>
      <c r="F41" s="143">
        <f>VLOOKUP($A41,'Data shares'!$C:$FA,125)</f>
        <v>0.28000000000000003</v>
      </c>
      <c r="G41" s="143">
        <f>VLOOKUP($A41,'Data shares'!$C:$FA,127)*100</f>
        <v>-3.5700000000000003</v>
      </c>
      <c r="H41" s="103">
        <f>VLOOKUP($A41,'OI(Volume)'!$A$7:$O$427,8)</f>
        <v>19965275</v>
      </c>
      <c r="I41" s="103">
        <f>VLOOKUP($A41,'OI(Volume)'!$A$7:$O$427,9)</f>
        <v>795925</v>
      </c>
      <c r="J41" s="103">
        <f>VLOOKUP($A41,'OI(Volume)'!$A$7:$O$427,11)</f>
        <v>11462900</v>
      </c>
      <c r="K41" s="103">
        <f>VLOOKUP($A41,'OI(Volume)'!$A$7:$O$427,12)</f>
        <v>191575</v>
      </c>
      <c r="L41" s="103">
        <f>VLOOKUP($A41,'OI(Value)'!$A$7:$O$306,8,0)</f>
        <v>736</v>
      </c>
      <c r="M41" s="103">
        <f>VLOOKUP($A41,'OI(Value)'!$A$7:$O$306,9,0)</f>
        <v>29</v>
      </c>
      <c r="N41" s="103">
        <f>VLOOKUP($A41,'OI(Value)'!$A$7:$O$306,11,0)</f>
        <v>423</v>
      </c>
      <c r="O41" s="103">
        <f>VLOOKUP($A41,'OI(Value)'!$A$7:$O$306,12,0)</f>
        <v>7</v>
      </c>
      <c r="P41" s="179">
        <f>VLOOKUP(A41,'OI(Value)'!A41:O242,8,0)</f>
        <v>736</v>
      </c>
      <c r="Q41" s="179">
        <f>VLOOKUP(A41,'OI(Value)'!A41:O242,9,0)</f>
        <v>29</v>
      </c>
      <c r="R41" s="179">
        <f>VLOOKUP(A41,'OI(Value)'!A41:O242,11,0)</f>
        <v>423</v>
      </c>
      <c r="S41" s="179">
        <f>VLOOKUP(A41,'OI(Value)'!A41:O242,11,0)</f>
        <v>423</v>
      </c>
    </row>
    <row r="42" spans="1:19" x14ac:dyDescent="0.25">
      <c r="A42" s="105" t="str">
        <f>'Data shares'!C37</f>
        <v>BRITANNIA</v>
      </c>
      <c r="B42" s="143">
        <f>VLOOKUP($A42,'Data shares'!$C:$FA,118)</f>
        <v>0.64</v>
      </c>
      <c r="C42" s="143">
        <f>VLOOKUP($A42,'Data shares'!$C:$FA,119)</f>
        <v>0.7</v>
      </c>
      <c r="D42" s="143">
        <f>VLOOKUP($A42,'Data shares'!$C:$FA,121)*100</f>
        <v>-8.57</v>
      </c>
      <c r="E42" s="143">
        <f>VLOOKUP($A42,'Data shares'!$C:$FA,124)</f>
        <v>0.36</v>
      </c>
      <c r="F42" s="143">
        <f>VLOOKUP($A42,'Data shares'!$C:$FA,125)</f>
        <v>0.35</v>
      </c>
      <c r="G42" s="143">
        <f>VLOOKUP($A42,'Data shares'!$C:$FA,127)*100</f>
        <v>2.86</v>
      </c>
      <c r="H42" s="103">
        <f>VLOOKUP($A42,'OI(Volume)'!$A$7:$O$427,8)</f>
        <v>1263375</v>
      </c>
      <c r="I42" s="103">
        <f>VLOOKUP($A42,'OI(Volume)'!$A$7:$O$427,9)</f>
        <v>98375</v>
      </c>
      <c r="J42" s="103">
        <f>VLOOKUP($A42,'OI(Volume)'!$A$7:$O$427,11)</f>
        <v>802875</v>
      </c>
      <c r="K42" s="103">
        <f>VLOOKUP($A42,'OI(Volume)'!$A$7:$O$427,12)</f>
        <v>-13500</v>
      </c>
      <c r="L42" s="103">
        <f>VLOOKUP($A42,'OI(Value)'!$A$7:$O$306,8,0)</f>
        <v>771</v>
      </c>
      <c r="M42" s="103">
        <f>VLOOKUP($A42,'OI(Value)'!$A$7:$O$306,9,0)</f>
        <v>60</v>
      </c>
      <c r="N42" s="103">
        <f>VLOOKUP($A42,'OI(Value)'!$A$7:$O$306,11,0)</f>
        <v>490</v>
      </c>
      <c r="O42" s="103">
        <f>VLOOKUP($A42,'OI(Value)'!$A$7:$O$306,12,0)</f>
        <v>-8</v>
      </c>
      <c r="P42" s="179">
        <f>VLOOKUP(A42,'OI(Value)'!A42:O243,8,0)</f>
        <v>771</v>
      </c>
      <c r="Q42" s="179">
        <f>VLOOKUP(A42,'OI(Value)'!A42:O243,9,0)</f>
        <v>60</v>
      </c>
      <c r="R42" s="179">
        <f>VLOOKUP(A42,'OI(Value)'!A42:O243,11,0)</f>
        <v>490</v>
      </c>
      <c r="S42" s="179">
        <f>VLOOKUP(A42,'OI(Value)'!A42:O243,11,0)</f>
        <v>490</v>
      </c>
    </row>
    <row r="43" spans="1:19" x14ac:dyDescent="0.25">
      <c r="A43" s="105" t="str">
        <f>'Data shares'!C38</f>
        <v>BSE</v>
      </c>
      <c r="B43" s="143">
        <f>VLOOKUP($A43,'Data shares'!$C:$FA,118)</f>
        <v>0.5</v>
      </c>
      <c r="C43" s="143">
        <f>VLOOKUP($A43,'Data shares'!$C:$FA,119)</f>
        <v>0.51</v>
      </c>
      <c r="D43" s="143">
        <f>VLOOKUP($A43,'Data shares'!$C:$FA,121)*100</f>
        <v>-1.96</v>
      </c>
      <c r="E43" s="143">
        <f>VLOOKUP($A43,'Data shares'!$C:$FA,124)</f>
        <v>0.53</v>
      </c>
      <c r="F43" s="143">
        <f>VLOOKUP($A43,'Data shares'!$C:$FA,125)</f>
        <v>0.68</v>
      </c>
      <c r="G43" s="143">
        <f>VLOOKUP($A43,'Data shares'!$C:$FA,127)*100</f>
        <v>-22.06</v>
      </c>
      <c r="H43" s="103">
        <f>VLOOKUP($A43,'OI(Volume)'!$A$7:$O$427,8)</f>
        <v>14941875</v>
      </c>
      <c r="I43" s="103">
        <f>VLOOKUP($A43,'OI(Volume)'!$A$7:$O$427,9)</f>
        <v>-110625</v>
      </c>
      <c r="J43" s="103">
        <f>VLOOKUP($A43,'OI(Volume)'!$A$7:$O$427,11)</f>
        <v>7545000</v>
      </c>
      <c r="K43" s="103">
        <f>VLOOKUP($A43,'OI(Volume)'!$A$7:$O$427,12)</f>
        <v>-125250</v>
      </c>
      <c r="L43" s="103">
        <f>VLOOKUP($A43,'OI(Value)'!$A$7:$O$306,8,0)</f>
        <v>3935</v>
      </c>
      <c r="M43" s="103">
        <f>VLOOKUP($A43,'OI(Value)'!$A$7:$O$306,9,0)</f>
        <v>-29</v>
      </c>
      <c r="N43" s="103">
        <f>VLOOKUP($A43,'OI(Value)'!$A$7:$O$306,11,0)</f>
        <v>1987</v>
      </c>
      <c r="O43" s="103">
        <f>VLOOKUP($A43,'OI(Value)'!$A$7:$O$306,12,0)</f>
        <v>-33</v>
      </c>
      <c r="P43" s="179">
        <f>VLOOKUP(A43,'OI(Value)'!A43:O244,8,0)</f>
        <v>3935</v>
      </c>
      <c r="Q43" s="179">
        <f>VLOOKUP(A43,'OI(Value)'!A43:O244,9,0)</f>
        <v>-29</v>
      </c>
      <c r="R43" s="179">
        <f>VLOOKUP(A43,'OI(Value)'!A43:O244,11,0)</f>
        <v>1987</v>
      </c>
      <c r="S43" s="179">
        <f>VLOOKUP(A43,'OI(Value)'!A43:O244,11,0)</f>
        <v>1987</v>
      </c>
    </row>
    <row r="44" spans="1:19" x14ac:dyDescent="0.25">
      <c r="A44" s="105" t="str">
        <f>'Data shares'!C39</f>
        <v>CAMS</v>
      </c>
      <c r="B44" s="143">
        <f>VLOOKUP($A44,'Data shares'!$C:$FA,118)</f>
        <v>0.65</v>
      </c>
      <c r="C44" s="143">
        <f>VLOOKUP($A44,'Data shares'!$C:$FA,119)</f>
        <v>0.61</v>
      </c>
      <c r="D44" s="143">
        <f>VLOOKUP($A44,'Data shares'!$C:$FA,121)*100</f>
        <v>6.5600000000000005</v>
      </c>
      <c r="E44" s="143">
        <f>VLOOKUP($A44,'Data shares'!$C:$FA,124)</f>
        <v>0.94</v>
      </c>
      <c r="F44" s="143">
        <f>VLOOKUP($A44,'Data shares'!$C:$FA,125)</f>
        <v>0.24</v>
      </c>
      <c r="G44" s="143">
        <f>VLOOKUP($A44,'Data shares'!$C:$FA,127)*100</f>
        <v>291.67</v>
      </c>
      <c r="H44" s="103">
        <f>VLOOKUP($A44,'OI(Volume)'!$A$7:$O$427,8)</f>
        <v>5910000</v>
      </c>
      <c r="I44" s="103">
        <f>VLOOKUP($A44,'OI(Volume)'!$A$7:$O$427,9)</f>
        <v>228000</v>
      </c>
      <c r="J44" s="103">
        <f>VLOOKUP($A44,'OI(Volume)'!$A$7:$O$427,11)</f>
        <v>3863250</v>
      </c>
      <c r="K44" s="103">
        <f>VLOOKUP($A44,'OI(Volume)'!$A$7:$O$427,12)</f>
        <v>388500</v>
      </c>
      <c r="L44" s="103">
        <f>VLOOKUP($A44,'OI(Value)'!$A$7:$O$306,8,0)</f>
        <v>435</v>
      </c>
      <c r="M44" s="103">
        <f>VLOOKUP($A44,'OI(Value)'!$A$7:$O$306,9,0)</f>
        <v>17</v>
      </c>
      <c r="N44" s="103">
        <f>VLOOKUP($A44,'OI(Value)'!$A$7:$O$306,11,0)</f>
        <v>284</v>
      </c>
      <c r="O44" s="103">
        <f>VLOOKUP($A44,'OI(Value)'!$A$7:$O$306,12,0)</f>
        <v>29</v>
      </c>
      <c r="P44" s="179">
        <f>VLOOKUP(A44,'OI(Value)'!A44:O245,8,0)</f>
        <v>435</v>
      </c>
      <c r="Q44" s="179">
        <f>VLOOKUP(A44,'OI(Value)'!A44:O245,9,0)</f>
        <v>17</v>
      </c>
      <c r="R44" s="179">
        <f>VLOOKUP(A44,'OI(Value)'!A44:O245,11,0)</f>
        <v>284</v>
      </c>
      <c r="S44" s="179">
        <f>VLOOKUP(A44,'OI(Value)'!A44:O245,11,0)</f>
        <v>284</v>
      </c>
    </row>
    <row r="45" spans="1:19" x14ac:dyDescent="0.25">
      <c r="A45" s="105" t="str">
        <f>'Data shares'!C40</f>
        <v>CANBK</v>
      </c>
      <c r="B45" s="143">
        <f>VLOOKUP($A45,'Data shares'!$C:$FA,118)</f>
        <v>0.82</v>
      </c>
      <c r="C45" s="143">
        <f>VLOOKUP($A45,'Data shares'!$C:$FA,119)</f>
        <v>0.76</v>
      </c>
      <c r="D45" s="143">
        <f>VLOOKUP($A45,'Data shares'!$C:$FA,121)*100</f>
        <v>7.89</v>
      </c>
      <c r="E45" s="143">
        <f>VLOOKUP($A45,'Data shares'!$C:$FA,124)</f>
        <v>0.49</v>
      </c>
      <c r="F45" s="143">
        <f>VLOOKUP($A45,'Data shares'!$C:$FA,125)</f>
        <v>0.61</v>
      </c>
      <c r="G45" s="143">
        <f>VLOOKUP($A45,'Data shares'!$C:$FA,127)*100</f>
        <v>-19.670000000000002</v>
      </c>
      <c r="H45" s="103">
        <f>VLOOKUP($A45,'OI(Volume)'!$A$7:$O$427,8)</f>
        <v>110700000</v>
      </c>
      <c r="I45" s="103">
        <f>VLOOKUP($A45,'OI(Volume)'!$A$7:$O$427,9)</f>
        <v>-3996000</v>
      </c>
      <c r="J45" s="103">
        <f>VLOOKUP($A45,'OI(Volume)'!$A$7:$O$427,11)</f>
        <v>90834750</v>
      </c>
      <c r="K45" s="103">
        <f>VLOOKUP($A45,'OI(Volume)'!$A$7:$O$427,12)</f>
        <v>3766500</v>
      </c>
      <c r="L45" s="103">
        <f>VLOOKUP($A45,'OI(Value)'!$A$7:$O$306,8,0)</f>
        <v>1664</v>
      </c>
      <c r="M45" s="103">
        <f>VLOOKUP($A45,'OI(Value)'!$A$7:$O$306,9,0)</f>
        <v>-60</v>
      </c>
      <c r="N45" s="103">
        <f>VLOOKUP($A45,'OI(Value)'!$A$7:$O$306,11,0)</f>
        <v>1366</v>
      </c>
      <c r="O45" s="103">
        <f>VLOOKUP($A45,'OI(Value)'!$A$7:$O$306,12,0)</f>
        <v>57</v>
      </c>
      <c r="P45" s="179">
        <f>VLOOKUP(A45,'OI(Value)'!A45:O246,8,0)</f>
        <v>1664</v>
      </c>
      <c r="Q45" s="179">
        <f>VLOOKUP(A45,'OI(Value)'!A45:O246,9,0)</f>
        <v>-60</v>
      </c>
      <c r="R45" s="179">
        <f>VLOOKUP(A45,'OI(Value)'!A45:O246,11,0)</f>
        <v>1366</v>
      </c>
      <c r="S45" s="179">
        <f>VLOOKUP(A45,'OI(Value)'!A45:O246,11,0)</f>
        <v>1366</v>
      </c>
    </row>
    <row r="46" spans="1:19" x14ac:dyDescent="0.25">
      <c r="A46" s="105" t="str">
        <f>'Data shares'!C41</f>
        <v>CDSL</v>
      </c>
      <c r="B46" s="143">
        <f>VLOOKUP($A46,'Data shares'!$C:$FA,118)</f>
        <v>0.44</v>
      </c>
      <c r="C46" s="143">
        <f>VLOOKUP($A46,'Data shares'!$C:$FA,119)</f>
        <v>0.46</v>
      </c>
      <c r="D46" s="143">
        <f>VLOOKUP($A46,'Data shares'!$C:$FA,121)*100</f>
        <v>-4.3499999999999996</v>
      </c>
      <c r="E46" s="143">
        <f>VLOOKUP($A46,'Data shares'!$C:$FA,124)</f>
        <v>0.35</v>
      </c>
      <c r="F46" s="143">
        <f>VLOOKUP($A46,'Data shares'!$C:$FA,125)</f>
        <v>0.32</v>
      </c>
      <c r="G46" s="143">
        <f>VLOOKUP($A46,'Data shares'!$C:$FA,127)*100</f>
        <v>9.370000000000001</v>
      </c>
      <c r="H46" s="103">
        <f>VLOOKUP($A46,'OI(Volume)'!$A$7:$O$427,8)</f>
        <v>11708275</v>
      </c>
      <c r="I46" s="103">
        <f>VLOOKUP($A46,'OI(Volume)'!$A$7:$O$427,9)</f>
        <v>915800</v>
      </c>
      <c r="J46" s="103">
        <f>VLOOKUP($A46,'OI(Volume)'!$A$7:$O$427,11)</f>
        <v>5100550</v>
      </c>
      <c r="K46" s="103">
        <f>VLOOKUP($A46,'OI(Volume)'!$A$7:$O$427,12)</f>
        <v>104975</v>
      </c>
      <c r="L46" s="103">
        <f>VLOOKUP($A46,'OI(Value)'!$A$7:$O$306,8,0)</f>
        <v>1731</v>
      </c>
      <c r="M46" s="103">
        <f>VLOOKUP($A46,'OI(Value)'!$A$7:$O$306,9,0)</f>
        <v>135</v>
      </c>
      <c r="N46" s="103">
        <f>VLOOKUP($A46,'OI(Value)'!$A$7:$O$306,11,0)</f>
        <v>754</v>
      </c>
      <c r="O46" s="103">
        <f>VLOOKUP($A46,'OI(Value)'!$A$7:$O$306,12,0)</f>
        <v>16</v>
      </c>
      <c r="P46" s="179">
        <f>VLOOKUP(A46,'OI(Value)'!A46:O247,8,0)</f>
        <v>1731</v>
      </c>
      <c r="Q46" s="179">
        <f>VLOOKUP(A46,'OI(Value)'!A46:O247,9,0)</f>
        <v>135</v>
      </c>
      <c r="R46" s="179">
        <f>VLOOKUP(A46,'OI(Value)'!A46:O247,11,0)</f>
        <v>754</v>
      </c>
      <c r="S46" s="179">
        <f>VLOOKUP(A46,'OI(Value)'!A46:O247,11,0)</f>
        <v>754</v>
      </c>
    </row>
    <row r="47" spans="1:19" x14ac:dyDescent="0.25">
      <c r="A47" s="105" t="str">
        <f>'Data shares'!C42</f>
        <v>CGPOWER</v>
      </c>
      <c r="B47" s="143">
        <f>VLOOKUP($A47,'Data shares'!$C:$FA,118)</f>
        <v>0.44</v>
      </c>
      <c r="C47" s="143">
        <f>VLOOKUP($A47,'Data shares'!$C:$FA,119)</f>
        <v>0.52</v>
      </c>
      <c r="D47" s="143">
        <f>VLOOKUP($A47,'Data shares'!$C:$FA,121)*100</f>
        <v>-15.379999999999999</v>
      </c>
      <c r="E47" s="143">
        <f>VLOOKUP($A47,'Data shares'!$C:$FA,124)</f>
        <v>0.22</v>
      </c>
      <c r="F47" s="143">
        <f>VLOOKUP($A47,'Data shares'!$C:$FA,125)</f>
        <v>0.28999999999999998</v>
      </c>
      <c r="G47" s="143">
        <f>VLOOKUP($A47,'Data shares'!$C:$FA,127)*100</f>
        <v>-24.14</v>
      </c>
      <c r="H47" s="103">
        <f>VLOOKUP($A47,'OI(Volume)'!$A$7:$O$427,8)</f>
        <v>9639000</v>
      </c>
      <c r="I47" s="103">
        <f>VLOOKUP($A47,'OI(Volume)'!$A$7:$O$427,9)</f>
        <v>1757800</v>
      </c>
      <c r="J47" s="103">
        <f>VLOOKUP($A47,'OI(Volume)'!$A$7:$O$427,11)</f>
        <v>4280600</v>
      </c>
      <c r="K47" s="103">
        <f>VLOOKUP($A47,'OI(Volume)'!$A$7:$O$427,12)</f>
        <v>152150</v>
      </c>
      <c r="L47" s="103">
        <f>VLOOKUP($A47,'OI(Value)'!$A$7:$O$306,8,0)</f>
        <v>646</v>
      </c>
      <c r="M47" s="103">
        <f>VLOOKUP($A47,'OI(Value)'!$A$7:$O$306,9,0)</f>
        <v>118</v>
      </c>
      <c r="N47" s="103">
        <f>VLOOKUP($A47,'OI(Value)'!$A$7:$O$306,11,0)</f>
        <v>287</v>
      </c>
      <c r="O47" s="103">
        <f>VLOOKUP($A47,'OI(Value)'!$A$7:$O$306,12,0)</f>
        <v>10</v>
      </c>
      <c r="P47" s="179">
        <f>VLOOKUP(A47,'OI(Value)'!A47:O248,8,0)</f>
        <v>646</v>
      </c>
      <c r="Q47" s="179">
        <f>VLOOKUP(A47,'OI(Value)'!A47:O248,9,0)</f>
        <v>118</v>
      </c>
      <c r="R47" s="179">
        <f>VLOOKUP(A47,'OI(Value)'!A47:O248,11,0)</f>
        <v>287</v>
      </c>
      <c r="S47" s="179">
        <f>VLOOKUP(A47,'OI(Value)'!A47:O248,11,0)</f>
        <v>287</v>
      </c>
    </row>
    <row r="48" spans="1:19" x14ac:dyDescent="0.25">
      <c r="A48" s="105" t="str">
        <f>'Data shares'!C43</f>
        <v>CHOLAFIN</v>
      </c>
      <c r="B48" s="143">
        <f>VLOOKUP($A48,'Data shares'!$C:$FA,118)</f>
        <v>0.74</v>
      </c>
      <c r="C48" s="143">
        <f>VLOOKUP($A48,'Data shares'!$C:$FA,119)</f>
        <v>0.65</v>
      </c>
      <c r="D48" s="143">
        <f>VLOOKUP($A48,'Data shares'!$C:$FA,121)*100</f>
        <v>13.850000000000001</v>
      </c>
      <c r="E48" s="143">
        <f>VLOOKUP($A48,'Data shares'!$C:$FA,124)</f>
        <v>0.64</v>
      </c>
      <c r="F48" s="143">
        <f>VLOOKUP($A48,'Data shares'!$C:$FA,125)</f>
        <v>0.37</v>
      </c>
      <c r="G48" s="143">
        <f>VLOOKUP($A48,'Data shares'!$C:$FA,127)*100</f>
        <v>72.97</v>
      </c>
      <c r="H48" s="103">
        <f>VLOOKUP($A48,'OI(Volume)'!$A$7:$O$427,8)</f>
        <v>5844375</v>
      </c>
      <c r="I48" s="103">
        <f>VLOOKUP($A48,'OI(Volume)'!$A$7:$O$427,9)</f>
        <v>2195625</v>
      </c>
      <c r="J48" s="103">
        <f>VLOOKUP($A48,'OI(Volume)'!$A$7:$O$427,11)</f>
        <v>4307500</v>
      </c>
      <c r="K48" s="103">
        <f>VLOOKUP($A48,'OI(Volume)'!$A$7:$O$427,12)</f>
        <v>1951875</v>
      </c>
      <c r="L48" s="103">
        <f>VLOOKUP($A48,'OI(Value)'!$A$7:$O$306,8,0)</f>
        <v>981</v>
      </c>
      <c r="M48" s="103">
        <f>VLOOKUP($A48,'OI(Value)'!$A$7:$O$306,9,0)</f>
        <v>369</v>
      </c>
      <c r="N48" s="103">
        <f>VLOOKUP($A48,'OI(Value)'!$A$7:$O$306,11,0)</f>
        <v>723</v>
      </c>
      <c r="O48" s="103">
        <f>VLOOKUP($A48,'OI(Value)'!$A$7:$O$306,12,0)</f>
        <v>328</v>
      </c>
      <c r="P48" s="179">
        <f>VLOOKUP(A48,'OI(Value)'!A48:O249,8,0)</f>
        <v>981</v>
      </c>
      <c r="Q48" s="179">
        <f>VLOOKUP(A48,'OI(Value)'!A48:O249,9,0)</f>
        <v>369</v>
      </c>
      <c r="R48" s="179">
        <f>VLOOKUP(A48,'OI(Value)'!A48:O249,11,0)</f>
        <v>723</v>
      </c>
      <c r="S48" s="179">
        <f>VLOOKUP(A48,'OI(Value)'!A48:O249,11,0)</f>
        <v>723</v>
      </c>
    </row>
    <row r="49" spans="1:19" x14ac:dyDescent="0.25">
      <c r="A49" s="105" t="str">
        <f>'Data shares'!C44</f>
        <v>CIPLA</v>
      </c>
      <c r="B49" s="143">
        <f>VLOOKUP($A49,'Data shares'!$C:$FA,118)</f>
        <v>0.65</v>
      </c>
      <c r="C49" s="143">
        <f>VLOOKUP($A49,'Data shares'!$C:$FA,119)</f>
        <v>0.67</v>
      </c>
      <c r="D49" s="143">
        <f>VLOOKUP($A49,'Data shares'!$C:$FA,121)*100</f>
        <v>-2.9899999999999998</v>
      </c>
      <c r="E49" s="143">
        <f>VLOOKUP($A49,'Data shares'!$C:$FA,124)</f>
        <v>0.38</v>
      </c>
      <c r="F49" s="143">
        <f>VLOOKUP($A49,'Data shares'!$C:$FA,125)</f>
        <v>0.39</v>
      </c>
      <c r="G49" s="143">
        <f>VLOOKUP($A49,'Data shares'!$C:$FA,127)*100</f>
        <v>-2.56</v>
      </c>
      <c r="H49" s="103">
        <f>VLOOKUP($A49,'OI(Volume)'!$A$7:$O$427,8)</f>
        <v>6142875</v>
      </c>
      <c r="I49" s="103">
        <f>VLOOKUP($A49,'OI(Volume)'!$A$7:$O$427,9)</f>
        <v>144750</v>
      </c>
      <c r="J49" s="103">
        <f>VLOOKUP($A49,'OI(Volume)'!$A$7:$O$427,11)</f>
        <v>3974625</v>
      </c>
      <c r="K49" s="103">
        <f>VLOOKUP($A49,'OI(Volume)'!$A$7:$O$427,12)</f>
        <v>-16500</v>
      </c>
      <c r="L49" s="103">
        <f>VLOOKUP($A49,'OI(Value)'!$A$7:$O$306,8,0)</f>
        <v>921</v>
      </c>
      <c r="M49" s="103">
        <f>VLOOKUP($A49,'OI(Value)'!$A$7:$O$306,9,0)</f>
        <v>22</v>
      </c>
      <c r="N49" s="103">
        <f>VLOOKUP($A49,'OI(Value)'!$A$7:$O$306,11,0)</f>
        <v>596</v>
      </c>
      <c r="O49" s="103">
        <f>VLOOKUP($A49,'OI(Value)'!$A$7:$O$306,12,0)</f>
        <v>-2</v>
      </c>
      <c r="P49" s="179">
        <f>VLOOKUP(A49,'OI(Value)'!A49:O250,8,0)</f>
        <v>921</v>
      </c>
      <c r="Q49" s="179">
        <f>VLOOKUP(A49,'OI(Value)'!A49:O250,9,0)</f>
        <v>22</v>
      </c>
      <c r="R49" s="179">
        <f>VLOOKUP(A49,'OI(Value)'!A49:O250,11,0)</f>
        <v>596</v>
      </c>
      <c r="S49" s="179">
        <f>VLOOKUP(A49,'OI(Value)'!A49:O250,11,0)</f>
        <v>596</v>
      </c>
    </row>
    <row r="50" spans="1:19" x14ac:dyDescent="0.25">
      <c r="A50" s="105" t="str">
        <f>'Data shares'!C45</f>
        <v>COALINDIA</v>
      </c>
      <c r="B50" s="143">
        <f>VLOOKUP($A50,'Data shares'!$C:$FA,118)</f>
        <v>0.95</v>
      </c>
      <c r="C50" s="143">
        <f>VLOOKUP($A50,'Data shares'!$C:$FA,119)</f>
        <v>0.96</v>
      </c>
      <c r="D50" s="143">
        <f>VLOOKUP($A50,'Data shares'!$C:$FA,121)*100</f>
        <v>-1.04</v>
      </c>
      <c r="E50" s="143">
        <f>VLOOKUP($A50,'Data shares'!$C:$FA,124)</f>
        <v>0.57999999999999996</v>
      </c>
      <c r="F50" s="143">
        <f>VLOOKUP($A50,'Data shares'!$C:$FA,125)</f>
        <v>0.69</v>
      </c>
      <c r="G50" s="143">
        <f>VLOOKUP($A50,'Data shares'!$C:$FA,127)*100</f>
        <v>-15.939999999999998</v>
      </c>
      <c r="H50" s="103">
        <f>VLOOKUP($A50,'OI(Volume)'!$A$7:$O$427,8)</f>
        <v>19695150</v>
      </c>
      <c r="I50" s="103">
        <f>VLOOKUP($A50,'OI(Volume)'!$A$7:$O$427,9)</f>
        <v>707400</v>
      </c>
      <c r="J50" s="103">
        <f>VLOOKUP($A50,'OI(Volume)'!$A$7:$O$427,11)</f>
        <v>18767700</v>
      </c>
      <c r="K50" s="103">
        <f>VLOOKUP($A50,'OI(Volume)'!$A$7:$O$427,12)</f>
        <v>602100</v>
      </c>
      <c r="L50" s="103">
        <f>VLOOKUP($A50,'OI(Value)'!$A$7:$O$306,8,0)</f>
        <v>760</v>
      </c>
      <c r="M50" s="103">
        <f>VLOOKUP($A50,'OI(Value)'!$A$7:$O$306,9,0)</f>
        <v>27</v>
      </c>
      <c r="N50" s="103">
        <f>VLOOKUP($A50,'OI(Value)'!$A$7:$O$306,11,0)</f>
        <v>724</v>
      </c>
      <c r="O50" s="103">
        <f>VLOOKUP($A50,'OI(Value)'!$A$7:$O$306,12,0)</f>
        <v>23</v>
      </c>
      <c r="P50" s="179">
        <f>VLOOKUP(A50,'OI(Value)'!A50:O251,8,0)</f>
        <v>760</v>
      </c>
      <c r="Q50" s="179">
        <f>VLOOKUP(A50,'OI(Value)'!A50:O251,9,0)</f>
        <v>27</v>
      </c>
      <c r="R50" s="179">
        <f>VLOOKUP(A50,'OI(Value)'!A50:O251,11,0)</f>
        <v>724</v>
      </c>
      <c r="S50" s="179">
        <f>VLOOKUP(A50,'OI(Value)'!A50:O251,11,0)</f>
        <v>724</v>
      </c>
    </row>
    <row r="51" spans="1:19" x14ac:dyDescent="0.25">
      <c r="A51" s="105" t="str">
        <f>'Data shares'!C46</f>
        <v>COFORGE</v>
      </c>
      <c r="B51" s="143">
        <f>VLOOKUP($A51,'Data shares'!$C:$FA,118)</f>
        <v>0.46</v>
      </c>
      <c r="C51" s="143">
        <f>VLOOKUP($A51,'Data shares'!$C:$FA,119)</f>
        <v>0.44</v>
      </c>
      <c r="D51" s="143">
        <f>VLOOKUP($A51,'Data shares'!$C:$FA,121)*100</f>
        <v>4.55</v>
      </c>
      <c r="E51" s="143">
        <f>VLOOKUP($A51,'Data shares'!$C:$FA,124)</f>
        <v>0.41</v>
      </c>
      <c r="F51" s="143">
        <f>VLOOKUP($A51,'Data shares'!$C:$FA,125)</f>
        <v>0.34</v>
      </c>
      <c r="G51" s="143">
        <f>VLOOKUP($A51,'Data shares'!$C:$FA,127)*100</f>
        <v>20.59</v>
      </c>
      <c r="H51" s="103">
        <f>VLOOKUP($A51,'OI(Volume)'!$A$7:$O$427,8)</f>
        <v>7752375</v>
      </c>
      <c r="I51" s="103">
        <f>VLOOKUP($A51,'OI(Volume)'!$A$7:$O$427,9)</f>
        <v>-101625</v>
      </c>
      <c r="J51" s="103">
        <f>VLOOKUP($A51,'OI(Volume)'!$A$7:$O$427,11)</f>
        <v>3547500</v>
      </c>
      <c r="K51" s="103">
        <f>VLOOKUP($A51,'OI(Volume)'!$A$7:$O$427,12)</f>
        <v>58125</v>
      </c>
      <c r="L51" s="103">
        <f>VLOOKUP($A51,'OI(Value)'!$A$7:$O$306,8,0)</f>
        <v>1435</v>
      </c>
      <c r="M51" s="103">
        <f>VLOOKUP($A51,'OI(Value)'!$A$7:$O$306,9,0)</f>
        <v>-19</v>
      </c>
      <c r="N51" s="103">
        <f>VLOOKUP($A51,'OI(Value)'!$A$7:$O$306,11,0)</f>
        <v>657</v>
      </c>
      <c r="O51" s="103">
        <f>VLOOKUP($A51,'OI(Value)'!$A$7:$O$306,12,0)</f>
        <v>11</v>
      </c>
      <c r="P51" s="179">
        <f>VLOOKUP(A51,'OI(Value)'!A51:O252,8,0)</f>
        <v>1435</v>
      </c>
      <c r="Q51" s="179">
        <f>VLOOKUP(A51,'OI(Value)'!A51:O252,9,0)</f>
        <v>-19</v>
      </c>
      <c r="R51" s="179">
        <f>VLOOKUP(A51,'OI(Value)'!A51:O252,11,0)</f>
        <v>657</v>
      </c>
      <c r="S51" s="179">
        <f>VLOOKUP(A51,'OI(Value)'!A51:O252,11,0)</f>
        <v>657</v>
      </c>
    </row>
    <row r="52" spans="1:19" x14ac:dyDescent="0.25">
      <c r="A52" s="105" t="str">
        <f>'Data shares'!C47</f>
        <v>COLPAL</v>
      </c>
      <c r="B52" s="143">
        <f>VLOOKUP($A52,'Data shares'!$C:$FA,118)</f>
        <v>0.63</v>
      </c>
      <c r="C52" s="143">
        <f>VLOOKUP($A52,'Data shares'!$C:$FA,119)</f>
        <v>0.62</v>
      </c>
      <c r="D52" s="143">
        <f>VLOOKUP($A52,'Data shares'!$C:$FA,121)*100</f>
        <v>1.6099999999999999</v>
      </c>
      <c r="E52" s="143">
        <f>VLOOKUP($A52,'Data shares'!$C:$FA,124)</f>
        <v>0.76</v>
      </c>
      <c r="F52" s="143">
        <f>VLOOKUP($A52,'Data shares'!$C:$FA,125)</f>
        <v>0.2</v>
      </c>
      <c r="G52" s="143">
        <f>VLOOKUP($A52,'Data shares'!$C:$FA,127)*100</f>
        <v>280</v>
      </c>
      <c r="H52" s="103">
        <f>VLOOKUP($A52,'OI(Volume)'!$A$7:$O$427,8)</f>
        <v>3096000</v>
      </c>
      <c r="I52" s="103">
        <f>VLOOKUP($A52,'OI(Volume)'!$A$7:$O$427,9)</f>
        <v>620100</v>
      </c>
      <c r="J52" s="103">
        <f>VLOOKUP($A52,'OI(Volume)'!$A$7:$O$427,11)</f>
        <v>1939275</v>
      </c>
      <c r="K52" s="103">
        <f>VLOOKUP($A52,'OI(Volume)'!$A$7:$O$427,12)</f>
        <v>413550</v>
      </c>
      <c r="L52" s="103">
        <f>VLOOKUP($A52,'OI(Value)'!$A$7:$O$306,8,0)</f>
        <v>647</v>
      </c>
      <c r="M52" s="103">
        <f>VLOOKUP($A52,'OI(Value)'!$A$7:$O$306,9,0)</f>
        <v>130</v>
      </c>
      <c r="N52" s="103">
        <f>VLOOKUP($A52,'OI(Value)'!$A$7:$O$306,11,0)</f>
        <v>405</v>
      </c>
      <c r="O52" s="103">
        <f>VLOOKUP($A52,'OI(Value)'!$A$7:$O$306,12,0)</f>
        <v>86</v>
      </c>
      <c r="P52" s="179">
        <f>VLOOKUP(A52,'OI(Value)'!A52:O253,8,0)</f>
        <v>647</v>
      </c>
      <c r="Q52" s="179">
        <f>VLOOKUP(A52,'OI(Value)'!A52:O253,9,0)</f>
        <v>130</v>
      </c>
      <c r="R52" s="179">
        <f>VLOOKUP(A52,'OI(Value)'!A52:O253,11,0)</f>
        <v>405</v>
      </c>
      <c r="S52" s="179">
        <f>VLOOKUP(A52,'OI(Value)'!A52:O253,11,0)</f>
        <v>405</v>
      </c>
    </row>
    <row r="53" spans="1:19" x14ac:dyDescent="0.25">
      <c r="A53" s="105" t="str">
        <f>'Data shares'!C48</f>
        <v>CONCOR</v>
      </c>
      <c r="B53" s="143">
        <f>VLOOKUP($A53,'Data shares'!$C:$FA,118)</f>
        <v>0.73</v>
      </c>
      <c r="C53" s="143">
        <f>VLOOKUP($A53,'Data shares'!$C:$FA,119)</f>
        <v>0.74</v>
      </c>
      <c r="D53" s="143">
        <f>VLOOKUP($A53,'Data shares'!$C:$FA,121)*100</f>
        <v>-1.35</v>
      </c>
      <c r="E53" s="143">
        <f>VLOOKUP($A53,'Data shares'!$C:$FA,124)</f>
        <v>0.44</v>
      </c>
      <c r="F53" s="143">
        <f>VLOOKUP($A53,'Data shares'!$C:$FA,125)</f>
        <v>0.35</v>
      </c>
      <c r="G53" s="143">
        <f>VLOOKUP($A53,'Data shares'!$C:$FA,127)*100</f>
        <v>25.71</v>
      </c>
      <c r="H53" s="103">
        <f>VLOOKUP($A53,'OI(Volume)'!$A$7:$O$427,8)</f>
        <v>13928750</v>
      </c>
      <c r="I53" s="103">
        <f>VLOOKUP($A53,'OI(Volume)'!$A$7:$O$427,9)</f>
        <v>567500</v>
      </c>
      <c r="J53" s="103">
        <f>VLOOKUP($A53,'OI(Volume)'!$A$7:$O$427,11)</f>
        <v>10150000</v>
      </c>
      <c r="K53" s="103">
        <f>VLOOKUP($A53,'OI(Volume)'!$A$7:$O$427,12)</f>
        <v>285000</v>
      </c>
      <c r="L53" s="103">
        <f>VLOOKUP($A53,'OI(Value)'!$A$7:$O$306,8,0)</f>
        <v>692</v>
      </c>
      <c r="M53" s="103">
        <f>VLOOKUP($A53,'OI(Value)'!$A$7:$O$306,9,0)</f>
        <v>28</v>
      </c>
      <c r="N53" s="103">
        <f>VLOOKUP($A53,'OI(Value)'!$A$7:$O$306,11,0)</f>
        <v>504</v>
      </c>
      <c r="O53" s="103">
        <f>VLOOKUP($A53,'OI(Value)'!$A$7:$O$306,12,0)</f>
        <v>14</v>
      </c>
      <c r="P53" s="179">
        <f>VLOOKUP(A53,'OI(Value)'!A53:O254,8,0)</f>
        <v>692</v>
      </c>
      <c r="Q53" s="179">
        <f>VLOOKUP(A53,'OI(Value)'!A53:O254,9,0)</f>
        <v>28</v>
      </c>
      <c r="R53" s="179">
        <f>VLOOKUP(A53,'OI(Value)'!A53:O254,11,0)</f>
        <v>504</v>
      </c>
      <c r="S53" s="179">
        <f>VLOOKUP(A53,'OI(Value)'!A53:O254,11,0)</f>
        <v>504</v>
      </c>
    </row>
    <row r="54" spans="1:19" x14ac:dyDescent="0.25">
      <c r="A54" s="105" t="str">
        <f>'Data shares'!C49</f>
        <v>CROMPTON</v>
      </c>
      <c r="B54" s="143">
        <f>VLOOKUP($A54,'Data shares'!$C:$FA,118)</f>
        <v>0.49</v>
      </c>
      <c r="C54" s="143">
        <f>VLOOKUP($A54,'Data shares'!$C:$FA,119)</f>
        <v>0.53</v>
      </c>
      <c r="D54" s="143">
        <f>VLOOKUP($A54,'Data shares'!$C:$FA,121)*100</f>
        <v>-7.55</v>
      </c>
      <c r="E54" s="143">
        <f>VLOOKUP($A54,'Data shares'!$C:$FA,124)</f>
        <v>0.28999999999999998</v>
      </c>
      <c r="F54" s="143">
        <f>VLOOKUP($A54,'Data shares'!$C:$FA,125)</f>
        <v>0.3</v>
      </c>
      <c r="G54" s="143">
        <f>VLOOKUP($A54,'Data shares'!$C:$FA,127)*100</f>
        <v>-3.3300000000000005</v>
      </c>
      <c r="H54" s="103">
        <f>VLOOKUP($A54,'OI(Volume)'!$A$7:$O$427,8)</f>
        <v>24476400</v>
      </c>
      <c r="I54" s="103">
        <f>VLOOKUP($A54,'OI(Volume)'!$A$7:$O$427,9)</f>
        <v>1270800</v>
      </c>
      <c r="J54" s="103">
        <f>VLOOKUP($A54,'OI(Volume)'!$A$7:$O$427,11)</f>
        <v>11948400</v>
      </c>
      <c r="K54" s="103">
        <f>VLOOKUP($A54,'OI(Volume)'!$A$7:$O$427,12)</f>
        <v>-243000</v>
      </c>
      <c r="L54" s="103">
        <f>VLOOKUP($A54,'OI(Value)'!$A$7:$O$306,8,0)</f>
        <v>611</v>
      </c>
      <c r="M54" s="103">
        <f>VLOOKUP($A54,'OI(Value)'!$A$7:$O$306,9,0)</f>
        <v>32</v>
      </c>
      <c r="N54" s="103">
        <f>VLOOKUP($A54,'OI(Value)'!$A$7:$O$306,11,0)</f>
        <v>298</v>
      </c>
      <c r="O54" s="103">
        <f>VLOOKUP($A54,'OI(Value)'!$A$7:$O$306,12,0)</f>
        <v>-6</v>
      </c>
      <c r="P54" s="179">
        <f>VLOOKUP(A54,'OI(Value)'!A54:O255,8,0)</f>
        <v>611</v>
      </c>
      <c r="Q54" s="179">
        <f>VLOOKUP(A54,'OI(Value)'!A54:O255,9,0)</f>
        <v>32</v>
      </c>
      <c r="R54" s="179">
        <f>VLOOKUP(A54,'OI(Value)'!A54:O255,11,0)</f>
        <v>298</v>
      </c>
      <c r="S54" s="179">
        <f>VLOOKUP(A54,'OI(Value)'!A54:O255,11,0)</f>
        <v>298</v>
      </c>
    </row>
    <row r="55" spans="1:19" x14ac:dyDescent="0.25">
      <c r="A55" s="105" t="str">
        <f>'Data shares'!C50</f>
        <v>CUMMINSIND</v>
      </c>
      <c r="B55" s="143">
        <f>VLOOKUP($A55,'Data shares'!$C:$FA,118)</f>
        <v>0.75</v>
      </c>
      <c r="C55" s="143">
        <f>VLOOKUP($A55,'Data shares'!$C:$FA,119)</f>
        <v>0.81</v>
      </c>
      <c r="D55" s="143">
        <f>VLOOKUP($A55,'Data shares'!$C:$FA,121)*100</f>
        <v>-7.41</v>
      </c>
      <c r="E55" s="143">
        <f>VLOOKUP($A55,'Data shares'!$C:$FA,124)</f>
        <v>0.33</v>
      </c>
      <c r="F55" s="143">
        <f>VLOOKUP($A55,'Data shares'!$C:$FA,125)</f>
        <v>0.56000000000000005</v>
      </c>
      <c r="G55" s="143">
        <f>VLOOKUP($A55,'Data shares'!$C:$FA,127)*100</f>
        <v>-41.07</v>
      </c>
      <c r="H55" s="103">
        <f>VLOOKUP($A55,'OI(Volume)'!$A$7:$O$427,8)</f>
        <v>1072200</v>
      </c>
      <c r="I55" s="103">
        <f>VLOOKUP($A55,'OI(Volume)'!$A$7:$O$427,9)</f>
        <v>157200</v>
      </c>
      <c r="J55" s="103">
        <f>VLOOKUP($A55,'OI(Volume)'!$A$7:$O$427,11)</f>
        <v>799800</v>
      </c>
      <c r="K55" s="103">
        <f>VLOOKUP($A55,'OI(Volume)'!$A$7:$O$427,12)</f>
        <v>55200</v>
      </c>
      <c r="L55" s="103">
        <f>VLOOKUP($A55,'OI(Value)'!$A$7:$O$306,8,0)</f>
        <v>485</v>
      </c>
      <c r="M55" s="103">
        <f>VLOOKUP($A55,'OI(Value)'!$A$7:$O$306,9,0)</f>
        <v>71</v>
      </c>
      <c r="N55" s="103">
        <f>VLOOKUP($A55,'OI(Value)'!$A$7:$O$306,11,0)</f>
        <v>362</v>
      </c>
      <c r="O55" s="103">
        <f>VLOOKUP($A55,'OI(Value)'!$A$7:$O$306,12,0)</f>
        <v>25</v>
      </c>
      <c r="P55" s="179">
        <f>VLOOKUP(A55,'OI(Value)'!A55:O256,8,0)</f>
        <v>485</v>
      </c>
      <c r="Q55" s="179">
        <f>VLOOKUP(A55,'OI(Value)'!A55:O256,9,0)</f>
        <v>71</v>
      </c>
      <c r="R55" s="179">
        <f>VLOOKUP(A55,'OI(Value)'!A55:O256,11,0)</f>
        <v>362</v>
      </c>
      <c r="S55" s="179">
        <f>VLOOKUP(A55,'OI(Value)'!A55:O256,11,0)</f>
        <v>362</v>
      </c>
    </row>
    <row r="56" spans="1:19" x14ac:dyDescent="0.25">
      <c r="A56" s="105" t="str">
        <f>'Data shares'!C51</f>
        <v>CYIENT</v>
      </c>
      <c r="B56" s="143">
        <f>VLOOKUP($A56,'Data shares'!$C:$FA,118)</f>
        <v>0.68</v>
      </c>
      <c r="C56" s="143">
        <f>VLOOKUP($A56,'Data shares'!$C:$FA,119)</f>
        <v>0.66</v>
      </c>
      <c r="D56" s="143">
        <f>VLOOKUP($A56,'Data shares'!$C:$FA,121)*100</f>
        <v>3.0300000000000002</v>
      </c>
      <c r="E56" s="143">
        <f>VLOOKUP($A56,'Data shares'!$C:$FA,124)</f>
        <v>0.75</v>
      </c>
      <c r="F56" s="143">
        <f>VLOOKUP($A56,'Data shares'!$C:$FA,125)</f>
        <v>0.61</v>
      </c>
      <c r="G56" s="143">
        <f>VLOOKUP($A56,'Data shares'!$C:$FA,127)*100</f>
        <v>22.95</v>
      </c>
      <c r="H56" s="103">
        <f>VLOOKUP($A56,'OI(Volume)'!$A$7:$O$427,8)</f>
        <v>1475600</v>
      </c>
      <c r="I56" s="103">
        <f>VLOOKUP($A56,'OI(Volume)'!$A$7:$O$427,9)</f>
        <v>226100</v>
      </c>
      <c r="J56" s="103">
        <f>VLOOKUP($A56,'OI(Volume)'!$A$7:$O$427,11)</f>
        <v>1007250</v>
      </c>
      <c r="K56" s="103">
        <f>VLOOKUP($A56,'OI(Volume)'!$A$7:$O$427,12)</f>
        <v>184875</v>
      </c>
      <c r="L56" s="103">
        <f>VLOOKUP($A56,'OI(Value)'!$A$7:$O$306,8,0)</f>
        <v>169</v>
      </c>
      <c r="M56" s="103">
        <f>VLOOKUP($A56,'OI(Value)'!$A$7:$O$306,9,0)</f>
        <v>26</v>
      </c>
      <c r="N56" s="103">
        <f>VLOOKUP($A56,'OI(Value)'!$A$7:$O$306,11,0)</f>
        <v>115</v>
      </c>
      <c r="O56" s="103">
        <f>VLOOKUP($A56,'OI(Value)'!$A$7:$O$306,12,0)</f>
        <v>21</v>
      </c>
      <c r="P56" s="179">
        <f>VLOOKUP(A56,'OI(Value)'!A56:O257,8,0)</f>
        <v>169</v>
      </c>
      <c r="Q56" s="179">
        <f>VLOOKUP(A56,'OI(Value)'!A56:O257,9,0)</f>
        <v>26</v>
      </c>
      <c r="R56" s="179">
        <f>VLOOKUP(A56,'OI(Value)'!A56:O257,11,0)</f>
        <v>115</v>
      </c>
      <c r="S56" s="179">
        <f>VLOOKUP(A56,'OI(Value)'!A56:O257,11,0)</f>
        <v>115</v>
      </c>
    </row>
    <row r="57" spans="1:19" x14ac:dyDescent="0.25">
      <c r="A57" s="105" t="str">
        <f>'Data shares'!C52</f>
        <v>DABUR</v>
      </c>
      <c r="B57" s="143">
        <f>VLOOKUP($A57,'Data shares'!$C:$FA,118)</f>
        <v>0.54</v>
      </c>
      <c r="C57" s="143">
        <f>VLOOKUP($A57,'Data shares'!$C:$FA,119)</f>
        <v>0.53</v>
      </c>
      <c r="D57" s="143">
        <f>VLOOKUP($A57,'Data shares'!$C:$FA,121)*100</f>
        <v>1.8900000000000001</v>
      </c>
      <c r="E57" s="143">
        <f>VLOOKUP($A57,'Data shares'!$C:$FA,124)</f>
        <v>0.36</v>
      </c>
      <c r="F57" s="143">
        <f>VLOOKUP($A57,'Data shares'!$C:$FA,125)</f>
        <v>0.28999999999999998</v>
      </c>
      <c r="G57" s="143">
        <f>VLOOKUP($A57,'Data shares'!$C:$FA,127)*100</f>
        <v>24.14</v>
      </c>
      <c r="H57" s="103">
        <f>VLOOKUP($A57,'OI(Volume)'!$A$7:$O$427,8)</f>
        <v>15480000</v>
      </c>
      <c r="I57" s="103">
        <f>VLOOKUP($A57,'OI(Volume)'!$A$7:$O$427,9)</f>
        <v>647500</v>
      </c>
      <c r="J57" s="103">
        <f>VLOOKUP($A57,'OI(Volume)'!$A$7:$O$427,11)</f>
        <v>8366250</v>
      </c>
      <c r="K57" s="103">
        <f>VLOOKUP($A57,'OI(Volume)'!$A$7:$O$427,12)</f>
        <v>493750</v>
      </c>
      <c r="L57" s="103">
        <f>VLOOKUP($A57,'OI(Value)'!$A$7:$O$306,8,0)</f>
        <v>765</v>
      </c>
      <c r="M57" s="103">
        <f>VLOOKUP($A57,'OI(Value)'!$A$7:$O$306,9,0)</f>
        <v>32</v>
      </c>
      <c r="N57" s="103">
        <f>VLOOKUP($A57,'OI(Value)'!$A$7:$O$306,11,0)</f>
        <v>414</v>
      </c>
      <c r="O57" s="103">
        <f>VLOOKUP($A57,'OI(Value)'!$A$7:$O$306,12,0)</f>
        <v>24</v>
      </c>
      <c r="P57" s="179">
        <f>VLOOKUP(A57,'OI(Value)'!A57:O258,8,0)</f>
        <v>765</v>
      </c>
      <c r="Q57" s="179">
        <f>VLOOKUP(A57,'OI(Value)'!A57:O258,9,0)</f>
        <v>32</v>
      </c>
      <c r="R57" s="179">
        <f>VLOOKUP(A57,'OI(Value)'!A57:O258,11,0)</f>
        <v>414</v>
      </c>
      <c r="S57" s="179">
        <f>VLOOKUP(A57,'OI(Value)'!A57:O258,11,0)</f>
        <v>414</v>
      </c>
    </row>
    <row r="58" spans="1:19" x14ac:dyDescent="0.25">
      <c r="A58" s="105" t="str">
        <f>'Data shares'!C53</f>
        <v>DALBHARAT</v>
      </c>
      <c r="B58" s="143">
        <f>VLOOKUP($A58,'Data shares'!$C:$FA,118)</f>
        <v>0.76</v>
      </c>
      <c r="C58" s="143">
        <f>VLOOKUP($A58,'Data shares'!$C:$FA,119)</f>
        <v>0.78</v>
      </c>
      <c r="D58" s="143">
        <f>VLOOKUP($A58,'Data shares'!$C:$FA,121)*100</f>
        <v>-2.56</v>
      </c>
      <c r="E58" s="143">
        <f>VLOOKUP($A58,'Data shares'!$C:$FA,124)</f>
        <v>0.4</v>
      </c>
      <c r="F58" s="143">
        <f>VLOOKUP($A58,'Data shares'!$C:$FA,125)</f>
        <v>0.64</v>
      </c>
      <c r="G58" s="143">
        <f>VLOOKUP($A58,'Data shares'!$C:$FA,127)*100</f>
        <v>-37.5</v>
      </c>
      <c r="H58" s="103">
        <f>VLOOKUP($A58,'OI(Volume)'!$A$7:$O$427,8)</f>
        <v>1326325</v>
      </c>
      <c r="I58" s="103">
        <f>VLOOKUP($A58,'OI(Volume)'!$A$7:$O$427,9)</f>
        <v>39325</v>
      </c>
      <c r="J58" s="103">
        <f>VLOOKUP($A58,'OI(Volume)'!$A$7:$O$427,11)</f>
        <v>1003925</v>
      </c>
      <c r="K58" s="103">
        <f>VLOOKUP($A58,'OI(Volume)'!$A$7:$O$427,12)</f>
        <v>-1625</v>
      </c>
      <c r="L58" s="103">
        <f>VLOOKUP($A58,'OI(Value)'!$A$7:$O$306,8,0)</f>
        <v>276</v>
      </c>
      <c r="M58" s="103">
        <f>VLOOKUP($A58,'OI(Value)'!$A$7:$O$306,9,0)</f>
        <v>8</v>
      </c>
      <c r="N58" s="103">
        <f>VLOOKUP($A58,'OI(Value)'!$A$7:$O$306,11,0)</f>
        <v>209</v>
      </c>
      <c r="O58" s="103">
        <f>VLOOKUP($A58,'OI(Value)'!$A$7:$O$306,12,0)</f>
        <v>0</v>
      </c>
      <c r="P58" s="179">
        <f>VLOOKUP(A58,'OI(Value)'!A58:O259,8,0)</f>
        <v>276</v>
      </c>
      <c r="Q58" s="179">
        <f>VLOOKUP(A58,'OI(Value)'!A58:O259,9,0)</f>
        <v>8</v>
      </c>
      <c r="R58" s="179">
        <f>VLOOKUP(A58,'OI(Value)'!A58:O259,11,0)</f>
        <v>209</v>
      </c>
      <c r="S58" s="179">
        <f>VLOOKUP(A58,'OI(Value)'!A58:O259,11,0)</f>
        <v>209</v>
      </c>
    </row>
    <row r="59" spans="1:19" x14ac:dyDescent="0.25">
      <c r="A59" s="105" t="str">
        <f>'Data shares'!C54</f>
        <v>DELHIVERY</v>
      </c>
      <c r="B59" s="143">
        <f>VLOOKUP($A59,'Data shares'!$C:$FA,118)</f>
        <v>0.65</v>
      </c>
      <c r="C59" s="143">
        <f>VLOOKUP($A59,'Data shares'!$C:$FA,119)</f>
        <v>0.64</v>
      </c>
      <c r="D59" s="143">
        <f>VLOOKUP($A59,'Data shares'!$C:$FA,121)*100</f>
        <v>1.5599999999999998</v>
      </c>
      <c r="E59" s="143">
        <f>VLOOKUP($A59,'Data shares'!$C:$FA,124)</f>
        <v>0.5</v>
      </c>
      <c r="F59" s="143">
        <f>VLOOKUP($A59,'Data shares'!$C:$FA,125)</f>
        <v>0.48</v>
      </c>
      <c r="G59" s="143">
        <f>VLOOKUP($A59,'Data shares'!$C:$FA,127)*100</f>
        <v>4.17</v>
      </c>
      <c r="H59" s="103">
        <f>VLOOKUP($A59,'OI(Volume)'!$A$7:$O$427,8)</f>
        <v>13804975</v>
      </c>
      <c r="I59" s="103">
        <f>VLOOKUP($A59,'OI(Volume)'!$A$7:$O$427,9)</f>
        <v>228250</v>
      </c>
      <c r="J59" s="103">
        <f>VLOOKUP($A59,'OI(Volume)'!$A$7:$O$427,11)</f>
        <v>8966075</v>
      </c>
      <c r="K59" s="103">
        <f>VLOOKUP($A59,'OI(Volume)'!$A$7:$O$427,12)</f>
        <v>238625</v>
      </c>
      <c r="L59" s="103">
        <f>VLOOKUP($A59,'OI(Value)'!$A$7:$O$306,8,0)</f>
        <v>553</v>
      </c>
      <c r="M59" s="103">
        <f>VLOOKUP($A59,'OI(Value)'!$A$7:$O$306,9,0)</f>
        <v>9</v>
      </c>
      <c r="N59" s="103">
        <f>VLOOKUP($A59,'OI(Value)'!$A$7:$O$306,11,0)</f>
        <v>359</v>
      </c>
      <c r="O59" s="103">
        <f>VLOOKUP($A59,'OI(Value)'!$A$7:$O$306,12,0)</f>
        <v>10</v>
      </c>
      <c r="P59" s="179">
        <f>VLOOKUP(A59,'OI(Value)'!A59:O260,8,0)</f>
        <v>553</v>
      </c>
      <c r="Q59" s="179">
        <f>VLOOKUP(A59,'OI(Value)'!A59:O260,9,0)</f>
        <v>9</v>
      </c>
      <c r="R59" s="179">
        <f>VLOOKUP(A59,'OI(Value)'!A59:O260,11,0)</f>
        <v>359</v>
      </c>
      <c r="S59" s="179">
        <f>VLOOKUP(A59,'OI(Value)'!A59:O260,11,0)</f>
        <v>359</v>
      </c>
    </row>
    <row r="60" spans="1:19" x14ac:dyDescent="0.25">
      <c r="A60" s="105" t="str">
        <f>'Data shares'!C55</f>
        <v>DIVISLAB</v>
      </c>
      <c r="B60" s="143">
        <f>VLOOKUP($A60,'Data shares'!$C:$FA,118)</f>
        <v>0.7</v>
      </c>
      <c r="C60" s="143">
        <f>VLOOKUP($A60,'Data shares'!$C:$FA,119)</f>
        <v>0.73</v>
      </c>
      <c r="D60" s="143">
        <f>VLOOKUP($A60,'Data shares'!$C:$FA,121)*100</f>
        <v>-4.1099999999999994</v>
      </c>
      <c r="E60" s="143">
        <f>VLOOKUP($A60,'Data shares'!$C:$FA,124)</f>
        <v>0.45</v>
      </c>
      <c r="F60" s="143">
        <f>VLOOKUP($A60,'Data shares'!$C:$FA,125)</f>
        <v>0.5</v>
      </c>
      <c r="G60" s="143">
        <f>VLOOKUP($A60,'Data shares'!$C:$FA,127)*100</f>
        <v>-10</v>
      </c>
      <c r="H60" s="103">
        <f>VLOOKUP($A60,'OI(Volume)'!$A$7:$O$427,8)</f>
        <v>954400</v>
      </c>
      <c r="I60" s="103">
        <f>VLOOKUP($A60,'OI(Volume)'!$A$7:$O$427,9)</f>
        <v>36700</v>
      </c>
      <c r="J60" s="103">
        <f>VLOOKUP($A60,'OI(Volume)'!$A$7:$O$427,11)</f>
        <v>672100</v>
      </c>
      <c r="K60" s="103">
        <f>VLOOKUP($A60,'OI(Volume)'!$A$7:$O$427,12)</f>
        <v>4600</v>
      </c>
      <c r="L60" s="103">
        <f>VLOOKUP($A60,'OI(Value)'!$A$7:$O$306,8,0)</f>
        <v>601</v>
      </c>
      <c r="M60" s="103">
        <f>VLOOKUP($A60,'OI(Value)'!$A$7:$O$306,9,0)</f>
        <v>23</v>
      </c>
      <c r="N60" s="103">
        <f>VLOOKUP($A60,'OI(Value)'!$A$7:$O$306,11,0)</f>
        <v>423</v>
      </c>
      <c r="O60" s="103">
        <f>VLOOKUP($A60,'OI(Value)'!$A$7:$O$306,12,0)</f>
        <v>3</v>
      </c>
      <c r="P60" s="179">
        <f>VLOOKUP(A60,'OI(Value)'!A60:O261,8,0)</f>
        <v>601</v>
      </c>
      <c r="Q60" s="179">
        <f>VLOOKUP(A60,'OI(Value)'!A60:O261,9,0)</f>
        <v>23</v>
      </c>
      <c r="R60" s="179">
        <f>VLOOKUP(A60,'OI(Value)'!A60:O261,11,0)</f>
        <v>423</v>
      </c>
      <c r="S60" s="179">
        <f>VLOOKUP(A60,'OI(Value)'!A60:O261,11,0)</f>
        <v>423</v>
      </c>
    </row>
    <row r="61" spans="1:19" x14ac:dyDescent="0.25">
      <c r="A61" s="105" t="str">
        <f>'Data shares'!C56</f>
        <v>DIXON</v>
      </c>
      <c r="B61" s="143">
        <f>VLOOKUP($A61,'Data shares'!$C:$FA,118)</f>
        <v>0.52</v>
      </c>
      <c r="C61" s="143">
        <f>VLOOKUP($A61,'Data shares'!$C:$FA,119)</f>
        <v>0.56999999999999995</v>
      </c>
      <c r="D61" s="143">
        <f>VLOOKUP($A61,'Data shares'!$C:$FA,121)*100</f>
        <v>-8.77</v>
      </c>
      <c r="E61" s="143">
        <f>VLOOKUP($A61,'Data shares'!$C:$FA,124)</f>
        <v>1.0900000000000001</v>
      </c>
      <c r="F61" s="143">
        <f>VLOOKUP($A61,'Data shares'!$C:$FA,125)</f>
        <v>0.74</v>
      </c>
      <c r="G61" s="143">
        <f>VLOOKUP($A61,'Data shares'!$C:$FA,127)*100</f>
        <v>47.3</v>
      </c>
      <c r="H61" s="103">
        <f>VLOOKUP($A61,'OI(Volume)'!$A$7:$O$427,8)</f>
        <v>3613050</v>
      </c>
      <c r="I61" s="103">
        <f>VLOOKUP($A61,'OI(Volume)'!$A$7:$O$427,9)</f>
        <v>316300</v>
      </c>
      <c r="J61" s="103">
        <f>VLOOKUP($A61,'OI(Volume)'!$A$7:$O$427,11)</f>
        <v>1880350</v>
      </c>
      <c r="K61" s="103">
        <f>VLOOKUP($A61,'OI(Volume)'!$A$7:$O$427,12)</f>
        <v>2350</v>
      </c>
      <c r="L61" s="103">
        <f>VLOOKUP($A61,'OI(Value)'!$A$7:$O$306,8,0)</f>
        <v>4792</v>
      </c>
      <c r="M61" s="103">
        <f>VLOOKUP($A61,'OI(Value)'!$A$7:$O$306,9,0)</f>
        <v>420</v>
      </c>
      <c r="N61" s="103">
        <f>VLOOKUP($A61,'OI(Value)'!$A$7:$O$306,11,0)</f>
        <v>2494</v>
      </c>
      <c r="O61" s="103">
        <f>VLOOKUP($A61,'OI(Value)'!$A$7:$O$306,12,0)</f>
        <v>3</v>
      </c>
      <c r="P61" s="179">
        <f>VLOOKUP(A61,'OI(Value)'!A61:O262,8,0)</f>
        <v>4792</v>
      </c>
      <c r="Q61" s="179">
        <f>VLOOKUP(A61,'OI(Value)'!A61:O262,9,0)</f>
        <v>420</v>
      </c>
      <c r="R61" s="179">
        <f>VLOOKUP(A61,'OI(Value)'!A61:O262,11,0)</f>
        <v>2494</v>
      </c>
      <c r="S61" s="179">
        <f>VLOOKUP(A61,'OI(Value)'!A61:O262,11,0)</f>
        <v>2494</v>
      </c>
    </row>
    <row r="62" spans="1:19" x14ac:dyDescent="0.25">
      <c r="A62" s="105" t="str">
        <f>'Data shares'!C57</f>
        <v>DLF</v>
      </c>
      <c r="B62" s="143">
        <f>VLOOKUP($A62,'Data shares'!$C:$FA,118)</f>
        <v>0.62</v>
      </c>
      <c r="C62" s="143">
        <f>VLOOKUP($A62,'Data shares'!$C:$FA,119)</f>
        <v>0.62</v>
      </c>
      <c r="D62" s="143">
        <f>VLOOKUP($A62,'Data shares'!$C:$FA,121)*100</f>
        <v>0</v>
      </c>
      <c r="E62" s="143">
        <f>VLOOKUP($A62,'Data shares'!$C:$FA,124)</f>
        <v>0.39</v>
      </c>
      <c r="F62" s="143">
        <f>VLOOKUP($A62,'Data shares'!$C:$FA,125)</f>
        <v>0.28000000000000003</v>
      </c>
      <c r="G62" s="143">
        <f>VLOOKUP($A62,'Data shares'!$C:$FA,127)*100</f>
        <v>39.290000000000006</v>
      </c>
      <c r="H62" s="103">
        <f>VLOOKUP($A62,'OI(Volume)'!$A$7:$O$427,8)</f>
        <v>22903650</v>
      </c>
      <c r="I62" s="103">
        <f>VLOOKUP($A62,'OI(Volume)'!$A$7:$O$427,9)</f>
        <v>386925</v>
      </c>
      <c r="J62" s="103">
        <f>VLOOKUP($A62,'OI(Volume)'!$A$7:$O$427,11)</f>
        <v>14237850</v>
      </c>
      <c r="K62" s="103">
        <f>VLOOKUP($A62,'OI(Volume)'!$A$7:$O$427,12)</f>
        <v>171600</v>
      </c>
      <c r="L62" s="103">
        <f>VLOOKUP($A62,'OI(Value)'!$A$7:$O$306,8,0)</f>
        <v>1566</v>
      </c>
      <c r="M62" s="103">
        <f>VLOOKUP($A62,'OI(Value)'!$A$7:$O$306,9,0)</f>
        <v>26</v>
      </c>
      <c r="N62" s="103">
        <f>VLOOKUP($A62,'OI(Value)'!$A$7:$O$306,11,0)</f>
        <v>974</v>
      </c>
      <c r="O62" s="103">
        <f>VLOOKUP($A62,'OI(Value)'!$A$7:$O$306,12,0)</f>
        <v>12</v>
      </c>
      <c r="P62" s="179">
        <f>VLOOKUP(A62,'OI(Value)'!A62:O263,8,0)</f>
        <v>1566</v>
      </c>
      <c r="Q62" s="179">
        <f>VLOOKUP(A62,'OI(Value)'!A62:O263,9,0)</f>
        <v>26</v>
      </c>
      <c r="R62" s="179">
        <f>VLOOKUP(A62,'OI(Value)'!A62:O263,11,0)</f>
        <v>974</v>
      </c>
      <c r="S62" s="179">
        <f>VLOOKUP(A62,'OI(Value)'!A62:O263,11,0)</f>
        <v>974</v>
      </c>
    </row>
    <row r="63" spans="1:19" x14ac:dyDescent="0.25">
      <c r="A63" s="105" t="str">
        <f>'Data shares'!C58</f>
        <v>DMART</v>
      </c>
      <c r="B63" s="143">
        <f>VLOOKUP($A63,'Data shares'!$C:$FA,118)</f>
        <v>0.48</v>
      </c>
      <c r="C63" s="143">
        <f>VLOOKUP($A63,'Data shares'!$C:$FA,119)</f>
        <v>0.48</v>
      </c>
      <c r="D63" s="143">
        <f>VLOOKUP($A63,'Data shares'!$C:$FA,121)*100</f>
        <v>0</v>
      </c>
      <c r="E63" s="143">
        <f>VLOOKUP($A63,'Data shares'!$C:$FA,124)</f>
        <v>0.4</v>
      </c>
      <c r="F63" s="143">
        <f>VLOOKUP($A63,'Data shares'!$C:$FA,125)</f>
        <v>0.28999999999999998</v>
      </c>
      <c r="G63" s="143">
        <f>VLOOKUP($A63,'Data shares'!$C:$FA,127)*100</f>
        <v>37.93</v>
      </c>
      <c r="H63" s="103">
        <f>VLOOKUP($A63,'OI(Volume)'!$A$7:$O$427,8)</f>
        <v>2432400</v>
      </c>
      <c r="I63" s="103">
        <f>VLOOKUP($A63,'OI(Volume)'!$A$7:$O$427,9)</f>
        <v>-13500</v>
      </c>
      <c r="J63" s="103">
        <f>VLOOKUP($A63,'OI(Volume)'!$A$7:$O$427,11)</f>
        <v>1157850</v>
      </c>
      <c r="K63" s="103">
        <f>VLOOKUP($A63,'OI(Volume)'!$A$7:$O$427,12)</f>
        <v>-12150</v>
      </c>
      <c r="L63" s="103">
        <f>VLOOKUP($A63,'OI(Value)'!$A$7:$O$306,8,0)</f>
        <v>930</v>
      </c>
      <c r="M63" s="103">
        <f>VLOOKUP($A63,'OI(Value)'!$A$7:$O$306,9,0)</f>
        <v>-5</v>
      </c>
      <c r="N63" s="103">
        <f>VLOOKUP($A63,'OI(Value)'!$A$7:$O$306,11,0)</f>
        <v>443</v>
      </c>
      <c r="O63" s="103">
        <f>VLOOKUP($A63,'OI(Value)'!$A$7:$O$306,12,0)</f>
        <v>-5</v>
      </c>
      <c r="P63" s="179">
        <f>VLOOKUP(A63,'OI(Value)'!A63:O264,8,0)</f>
        <v>930</v>
      </c>
      <c r="Q63" s="179">
        <f>VLOOKUP(A63,'OI(Value)'!A63:O264,9,0)</f>
        <v>-5</v>
      </c>
      <c r="R63" s="179">
        <f>VLOOKUP(A63,'OI(Value)'!A63:O264,11,0)</f>
        <v>443</v>
      </c>
      <c r="S63" s="179">
        <f>VLOOKUP(A63,'OI(Value)'!A63:O264,11,0)</f>
        <v>443</v>
      </c>
    </row>
    <row r="64" spans="1:19" x14ac:dyDescent="0.25">
      <c r="A64" s="105" t="str">
        <f>'Data shares'!C59</f>
        <v>DRREDDY</v>
      </c>
      <c r="B64" s="143">
        <f>VLOOKUP($A64,'Data shares'!$C:$FA,118)</f>
        <v>0.49</v>
      </c>
      <c r="C64" s="143">
        <f>VLOOKUP($A64,'Data shares'!$C:$FA,119)</f>
        <v>0.5</v>
      </c>
      <c r="D64" s="143">
        <f>VLOOKUP($A64,'Data shares'!$C:$FA,121)*100</f>
        <v>-2</v>
      </c>
      <c r="E64" s="143">
        <f>VLOOKUP($A64,'Data shares'!$C:$FA,124)</f>
        <v>0.53</v>
      </c>
      <c r="F64" s="143">
        <f>VLOOKUP($A64,'Data shares'!$C:$FA,125)</f>
        <v>0.52</v>
      </c>
      <c r="G64" s="143">
        <f>VLOOKUP($A64,'Data shares'!$C:$FA,127)*100</f>
        <v>1.92</v>
      </c>
      <c r="H64" s="103">
        <f>VLOOKUP($A64,'OI(Volume)'!$A$7:$O$427,8)</f>
        <v>6792500</v>
      </c>
      <c r="I64" s="103">
        <f>VLOOKUP($A64,'OI(Volume)'!$A$7:$O$427,9)</f>
        <v>-116875</v>
      </c>
      <c r="J64" s="103">
        <f>VLOOKUP($A64,'OI(Volume)'!$A$7:$O$427,11)</f>
        <v>3322500</v>
      </c>
      <c r="K64" s="103">
        <f>VLOOKUP($A64,'OI(Volume)'!$A$7:$O$427,12)</f>
        <v>-128125</v>
      </c>
      <c r="L64" s="103">
        <f>VLOOKUP($A64,'OI(Value)'!$A$7:$O$306,8,0)</f>
        <v>865</v>
      </c>
      <c r="M64" s="103">
        <f>VLOOKUP($A64,'OI(Value)'!$A$7:$O$306,9,0)</f>
        <v>-15</v>
      </c>
      <c r="N64" s="103">
        <f>VLOOKUP($A64,'OI(Value)'!$A$7:$O$306,11,0)</f>
        <v>423</v>
      </c>
      <c r="O64" s="103">
        <f>VLOOKUP($A64,'OI(Value)'!$A$7:$O$306,12,0)</f>
        <v>-16</v>
      </c>
      <c r="P64" s="179">
        <f>VLOOKUP(A64,'OI(Value)'!A64:O265,8,0)</f>
        <v>865</v>
      </c>
      <c r="Q64" s="179">
        <f>VLOOKUP(A64,'OI(Value)'!A64:O265,9,0)</f>
        <v>-15</v>
      </c>
      <c r="R64" s="179">
        <f>VLOOKUP(A64,'OI(Value)'!A64:O265,11,0)</f>
        <v>423</v>
      </c>
      <c r="S64" s="179">
        <f>VLOOKUP(A64,'OI(Value)'!A64:O265,11,0)</f>
        <v>423</v>
      </c>
    </row>
    <row r="65" spans="1:19" x14ac:dyDescent="0.25">
      <c r="A65" s="105" t="str">
        <f>'Data shares'!C60</f>
        <v>EICHERMOT</v>
      </c>
      <c r="B65" s="143">
        <f>VLOOKUP($A65,'Data shares'!$C:$FA,118)</f>
        <v>0.74</v>
      </c>
      <c r="C65" s="143">
        <f>VLOOKUP($A65,'Data shares'!$C:$FA,119)</f>
        <v>0.69</v>
      </c>
      <c r="D65" s="143">
        <f>VLOOKUP($A65,'Data shares'!$C:$FA,121)*100</f>
        <v>7.2499999999999991</v>
      </c>
      <c r="E65" s="143">
        <f>VLOOKUP($A65,'Data shares'!$C:$FA,124)</f>
        <v>0.53</v>
      </c>
      <c r="F65" s="143">
        <f>VLOOKUP($A65,'Data shares'!$C:$FA,125)</f>
        <v>0.85</v>
      </c>
      <c r="G65" s="143">
        <f>VLOOKUP($A65,'Data shares'!$C:$FA,127)*100</f>
        <v>-37.65</v>
      </c>
      <c r="H65" s="103">
        <f>VLOOKUP($A65,'OI(Volume)'!$A$7:$O$427,8)</f>
        <v>2747750</v>
      </c>
      <c r="I65" s="103">
        <f>VLOOKUP($A65,'OI(Volume)'!$A$7:$O$427,9)</f>
        <v>-103050</v>
      </c>
      <c r="J65" s="103">
        <f>VLOOKUP($A65,'OI(Volume)'!$A$7:$O$427,11)</f>
        <v>2040575</v>
      </c>
      <c r="K65" s="103">
        <f>VLOOKUP($A65,'OI(Volume)'!$A$7:$O$427,12)</f>
        <v>70125</v>
      </c>
      <c r="L65" s="103">
        <f>VLOOKUP($A65,'OI(Value)'!$A$7:$O$306,8,0)</f>
        <v>1963</v>
      </c>
      <c r="M65" s="103">
        <f>VLOOKUP($A65,'OI(Value)'!$A$7:$O$306,9,0)</f>
        <v>-74</v>
      </c>
      <c r="N65" s="103">
        <f>VLOOKUP($A65,'OI(Value)'!$A$7:$O$306,11,0)</f>
        <v>1458</v>
      </c>
      <c r="O65" s="103">
        <f>VLOOKUP($A65,'OI(Value)'!$A$7:$O$306,12,0)</f>
        <v>50</v>
      </c>
      <c r="P65" s="179">
        <f>VLOOKUP(A65,'OI(Value)'!A65:O266,8,0)</f>
        <v>1963</v>
      </c>
      <c r="Q65" s="179">
        <f>VLOOKUP(A65,'OI(Value)'!A65:O266,9,0)</f>
        <v>-74</v>
      </c>
      <c r="R65" s="179">
        <f>VLOOKUP(A65,'OI(Value)'!A65:O266,11,0)</f>
        <v>1458</v>
      </c>
      <c r="S65" s="179">
        <f>VLOOKUP(A65,'OI(Value)'!A65:O266,11,0)</f>
        <v>1458</v>
      </c>
    </row>
    <row r="66" spans="1:19" x14ac:dyDescent="0.25">
      <c r="A66" s="105" t="str">
        <f>'Data shares'!C61</f>
        <v>ETERNAL</v>
      </c>
      <c r="B66" s="143">
        <f>VLOOKUP($A66,'Data shares'!$C:$FA,118)</f>
        <v>0.53</v>
      </c>
      <c r="C66" s="143">
        <f>VLOOKUP($A66,'Data shares'!$C:$FA,119)</f>
        <v>0.55000000000000004</v>
      </c>
      <c r="D66" s="143">
        <f>VLOOKUP($A66,'Data shares'!$C:$FA,121)*100</f>
        <v>-3.64</v>
      </c>
      <c r="E66" s="143">
        <f>VLOOKUP($A66,'Data shares'!$C:$FA,124)</f>
        <v>0.6</v>
      </c>
      <c r="F66" s="143">
        <f>VLOOKUP($A66,'Data shares'!$C:$FA,125)</f>
        <v>0.75</v>
      </c>
      <c r="G66" s="143">
        <f>VLOOKUP($A66,'Data shares'!$C:$FA,127)*100</f>
        <v>-20</v>
      </c>
      <c r="H66" s="103">
        <f>VLOOKUP($A66,'OI(Volume)'!$A$7:$O$427,8)</f>
        <v>97048500</v>
      </c>
      <c r="I66" s="103">
        <f>VLOOKUP($A66,'OI(Volume)'!$A$7:$O$427,9)</f>
        <v>3084600</v>
      </c>
      <c r="J66" s="103">
        <f>VLOOKUP($A66,'OI(Volume)'!$A$7:$O$427,11)</f>
        <v>51509425</v>
      </c>
      <c r="K66" s="103">
        <f>VLOOKUP($A66,'OI(Volume)'!$A$7:$O$427,12)</f>
        <v>-26675</v>
      </c>
      <c r="L66" s="103">
        <f>VLOOKUP($A66,'OI(Value)'!$A$7:$O$306,8,0)</f>
        <v>2766</v>
      </c>
      <c r="M66" s="103">
        <f>VLOOKUP($A66,'OI(Value)'!$A$7:$O$306,9,0)</f>
        <v>88</v>
      </c>
      <c r="N66" s="103">
        <f>VLOOKUP($A66,'OI(Value)'!$A$7:$O$306,11,0)</f>
        <v>1468</v>
      </c>
      <c r="O66" s="103">
        <f>VLOOKUP($A66,'OI(Value)'!$A$7:$O$306,12,0)</f>
        <v>-1</v>
      </c>
      <c r="P66" s="179">
        <f>VLOOKUP(A66,'OI(Value)'!A66:O267,8,0)</f>
        <v>2766</v>
      </c>
      <c r="Q66" s="179">
        <f>VLOOKUP(A66,'OI(Value)'!A66:O267,9,0)</f>
        <v>88</v>
      </c>
      <c r="R66" s="179">
        <f>VLOOKUP(A66,'OI(Value)'!A66:O267,11,0)</f>
        <v>1468</v>
      </c>
      <c r="S66" s="179">
        <f>VLOOKUP(A66,'OI(Value)'!A66:O267,11,0)</f>
        <v>1468</v>
      </c>
    </row>
    <row r="67" spans="1:19" x14ac:dyDescent="0.25">
      <c r="A67" s="105" t="str">
        <f>'Data shares'!C62</f>
        <v>EXIDEIND</v>
      </c>
      <c r="B67" s="143">
        <f>VLOOKUP($A67,'Data shares'!$C:$FA,118)</f>
        <v>0.71</v>
      </c>
      <c r="C67" s="143">
        <f>VLOOKUP($A67,'Data shares'!$C:$FA,119)</f>
        <v>0.71</v>
      </c>
      <c r="D67" s="143">
        <f>VLOOKUP($A67,'Data shares'!$C:$FA,121)*100</f>
        <v>0</v>
      </c>
      <c r="E67" s="143">
        <f>VLOOKUP($A67,'Data shares'!$C:$FA,124)</f>
        <v>0.41</v>
      </c>
      <c r="F67" s="143">
        <f>VLOOKUP($A67,'Data shares'!$C:$FA,125)</f>
        <v>0.4</v>
      </c>
      <c r="G67" s="143">
        <f>VLOOKUP($A67,'Data shares'!$C:$FA,127)*100</f>
        <v>2.5</v>
      </c>
      <c r="H67" s="103">
        <f>VLOOKUP($A67,'OI(Volume)'!$A$7:$O$427,8)</f>
        <v>11291400</v>
      </c>
      <c r="I67" s="103">
        <f>VLOOKUP($A67,'OI(Volume)'!$A$7:$O$427,9)</f>
        <v>554400</v>
      </c>
      <c r="J67" s="103">
        <f>VLOOKUP($A67,'OI(Volume)'!$A$7:$O$427,11)</f>
        <v>7963200</v>
      </c>
      <c r="K67" s="103">
        <f>VLOOKUP($A67,'OI(Volume)'!$A$7:$O$427,12)</f>
        <v>340200</v>
      </c>
      <c r="L67" s="103">
        <f>VLOOKUP($A67,'OI(Value)'!$A$7:$O$306,8,0)</f>
        <v>411</v>
      </c>
      <c r="M67" s="103">
        <f>VLOOKUP($A67,'OI(Value)'!$A$7:$O$306,9,0)</f>
        <v>20</v>
      </c>
      <c r="N67" s="103">
        <f>VLOOKUP($A67,'OI(Value)'!$A$7:$O$306,11,0)</f>
        <v>290</v>
      </c>
      <c r="O67" s="103">
        <f>VLOOKUP($A67,'OI(Value)'!$A$7:$O$306,12,0)</f>
        <v>12</v>
      </c>
      <c r="P67" s="179">
        <f>VLOOKUP(A67,'OI(Value)'!A67:O268,8,0)</f>
        <v>411</v>
      </c>
      <c r="Q67" s="179">
        <f>VLOOKUP(A67,'OI(Value)'!A67:O268,9,0)</f>
        <v>20</v>
      </c>
      <c r="R67" s="179">
        <f>VLOOKUP(A67,'OI(Value)'!A67:O268,11,0)</f>
        <v>290</v>
      </c>
      <c r="S67" s="179">
        <f>VLOOKUP(A67,'OI(Value)'!A67:O268,11,0)</f>
        <v>290</v>
      </c>
    </row>
    <row r="68" spans="1:19" x14ac:dyDescent="0.25">
      <c r="A68" s="105" t="str">
        <f>'Data shares'!C63</f>
        <v>FEDERALBNK</v>
      </c>
      <c r="B68" s="143">
        <f>VLOOKUP($A68,'Data shares'!$C:$FA,118)</f>
        <v>0.99</v>
      </c>
      <c r="C68" s="143">
        <f>VLOOKUP($A68,'Data shares'!$C:$FA,119)</f>
        <v>1</v>
      </c>
      <c r="D68" s="143">
        <f>VLOOKUP($A68,'Data shares'!$C:$FA,121)*100</f>
        <v>-1</v>
      </c>
      <c r="E68" s="143">
        <f>VLOOKUP($A68,'Data shares'!$C:$FA,124)</f>
        <v>0.59</v>
      </c>
      <c r="F68" s="143">
        <f>VLOOKUP($A68,'Data shares'!$C:$FA,125)</f>
        <v>0.55000000000000004</v>
      </c>
      <c r="G68" s="143">
        <f>VLOOKUP($A68,'Data shares'!$C:$FA,127)*100</f>
        <v>7.2700000000000005</v>
      </c>
      <c r="H68" s="103">
        <f>VLOOKUP($A68,'OI(Volume)'!$A$7:$O$427,8)</f>
        <v>44210000</v>
      </c>
      <c r="I68" s="103">
        <f>VLOOKUP($A68,'OI(Volume)'!$A$7:$O$427,9)</f>
        <v>1550000</v>
      </c>
      <c r="J68" s="103">
        <f>VLOOKUP($A68,'OI(Volume)'!$A$7:$O$427,11)</f>
        <v>43555000</v>
      </c>
      <c r="K68" s="103">
        <f>VLOOKUP($A68,'OI(Volume)'!$A$7:$O$427,12)</f>
        <v>960000</v>
      </c>
      <c r="L68" s="103">
        <f>VLOOKUP($A68,'OI(Value)'!$A$7:$O$306,8,0)</f>
        <v>1168</v>
      </c>
      <c r="M68" s="103">
        <f>VLOOKUP($A68,'OI(Value)'!$A$7:$O$306,9,0)</f>
        <v>41</v>
      </c>
      <c r="N68" s="103">
        <f>VLOOKUP($A68,'OI(Value)'!$A$7:$O$306,11,0)</f>
        <v>1151</v>
      </c>
      <c r="O68" s="103">
        <f>VLOOKUP($A68,'OI(Value)'!$A$7:$O$306,12,0)</f>
        <v>25</v>
      </c>
      <c r="P68" s="179">
        <f>VLOOKUP(A68,'OI(Value)'!A68:O269,8,0)</f>
        <v>1168</v>
      </c>
      <c r="Q68" s="179">
        <f>VLOOKUP(A68,'OI(Value)'!A68:O269,9,0)</f>
        <v>41</v>
      </c>
      <c r="R68" s="179">
        <f>VLOOKUP(A68,'OI(Value)'!A68:O269,11,0)</f>
        <v>1151</v>
      </c>
      <c r="S68" s="179">
        <f>VLOOKUP(A68,'OI(Value)'!A68:O269,11,0)</f>
        <v>1151</v>
      </c>
    </row>
    <row r="69" spans="1:19" x14ac:dyDescent="0.25">
      <c r="A69" s="105" t="str">
        <f>'Data shares'!C64</f>
        <v>FINNIFTY</v>
      </c>
      <c r="B69" s="143">
        <f>VLOOKUP($A69,'Data shares'!$C:$FA,118)</f>
        <v>0.56999999999999995</v>
      </c>
      <c r="C69" s="143">
        <f>VLOOKUP($A69,'Data shares'!$C:$FA,119)</f>
        <v>0.63</v>
      </c>
      <c r="D69" s="143">
        <f>VLOOKUP($A69,'Data shares'!$C:$FA,121)*100</f>
        <v>-9.5200000000000014</v>
      </c>
      <c r="E69" s="143">
        <f>VLOOKUP($A69,'Data shares'!$C:$FA,124)</f>
        <v>0.66</v>
      </c>
      <c r="F69" s="143">
        <f>VLOOKUP($A69,'Data shares'!$C:$FA,125)</f>
        <v>0.7</v>
      </c>
      <c r="G69" s="143">
        <f>VLOOKUP($A69,'Data shares'!$C:$FA,127)*100</f>
        <v>-5.71</v>
      </c>
      <c r="H69" s="103">
        <f>VLOOKUP($A69,'OI(Volume)'!$A$7:$O$427,8)</f>
        <v>946980</v>
      </c>
      <c r="I69" s="103">
        <f>VLOOKUP($A69,'OI(Volume)'!$A$7:$O$427,9)</f>
        <v>127660</v>
      </c>
      <c r="J69" s="103">
        <f>VLOOKUP($A69,'OI(Volume)'!$A$7:$O$427,11)</f>
        <v>540640</v>
      </c>
      <c r="K69" s="103">
        <f>VLOOKUP($A69,'OI(Volume)'!$A$7:$O$427,12)</f>
        <v>25880</v>
      </c>
      <c r="L69" s="103">
        <f>VLOOKUP($A69,'OI(Value)'!$A$7:$O$306,8,0)</f>
        <v>2592</v>
      </c>
      <c r="M69" s="103">
        <f>VLOOKUP($A69,'OI(Value)'!$A$7:$O$306,9,0)</f>
        <v>349</v>
      </c>
      <c r="N69" s="103">
        <f>VLOOKUP($A69,'OI(Value)'!$A$7:$O$306,11,0)</f>
        <v>1480</v>
      </c>
      <c r="O69" s="103">
        <f>VLOOKUP($A69,'OI(Value)'!$A$7:$O$306,12,0)</f>
        <v>71</v>
      </c>
      <c r="P69" s="179">
        <f>VLOOKUP(A69,'OI(Value)'!A69:O270,8,0)</f>
        <v>2592</v>
      </c>
      <c r="Q69" s="179">
        <f>VLOOKUP(A69,'OI(Value)'!A69:O270,9,0)</f>
        <v>349</v>
      </c>
      <c r="R69" s="179">
        <f>VLOOKUP(A69,'OI(Value)'!A69:O270,11,0)</f>
        <v>1480</v>
      </c>
      <c r="S69" s="179">
        <f>VLOOKUP(A69,'OI(Value)'!A69:O270,11,0)</f>
        <v>1480</v>
      </c>
    </row>
    <row r="70" spans="1:19" x14ac:dyDescent="0.25">
      <c r="A70" s="105" t="str">
        <f>'Data shares'!C65</f>
        <v>FORTIS</v>
      </c>
      <c r="B70" s="143">
        <f>VLOOKUP($A70,'Data shares'!$C:$FA,118)</f>
        <v>0.44</v>
      </c>
      <c r="C70" s="143">
        <f>VLOOKUP($A70,'Data shares'!$C:$FA,119)</f>
        <v>0.42</v>
      </c>
      <c r="D70" s="143">
        <f>VLOOKUP($A70,'Data shares'!$C:$FA,121)*100</f>
        <v>4.7600000000000007</v>
      </c>
      <c r="E70" s="143">
        <f>VLOOKUP($A70,'Data shares'!$C:$FA,124)</f>
        <v>0.4</v>
      </c>
      <c r="F70" s="143">
        <f>VLOOKUP($A70,'Data shares'!$C:$FA,125)</f>
        <v>0.25</v>
      </c>
      <c r="G70" s="143">
        <f>VLOOKUP($A70,'Data shares'!$C:$FA,127)*100</f>
        <v>60</v>
      </c>
      <c r="H70" s="103">
        <f>VLOOKUP($A70,'OI(Volume)'!$A$7:$O$427,8)</f>
        <v>6654925</v>
      </c>
      <c r="I70" s="103">
        <f>VLOOKUP($A70,'OI(Volume)'!$A$7:$O$427,9)</f>
        <v>-197625</v>
      </c>
      <c r="J70" s="103">
        <f>VLOOKUP($A70,'OI(Volume)'!$A$7:$O$427,11)</f>
        <v>2961275</v>
      </c>
      <c r="K70" s="103">
        <f>VLOOKUP($A70,'OI(Volume)'!$A$7:$O$427,12)</f>
        <v>69750</v>
      </c>
      <c r="L70" s="103">
        <f>VLOOKUP($A70,'OI(Value)'!$A$7:$O$306,8,0)</f>
        <v>580</v>
      </c>
      <c r="M70" s="103">
        <f>VLOOKUP($A70,'OI(Value)'!$A$7:$O$306,9,0)</f>
        <v>-17</v>
      </c>
      <c r="N70" s="103">
        <f>VLOOKUP($A70,'OI(Value)'!$A$7:$O$306,11,0)</f>
        <v>258</v>
      </c>
      <c r="O70" s="103">
        <f>VLOOKUP($A70,'OI(Value)'!$A$7:$O$306,12,0)</f>
        <v>6</v>
      </c>
      <c r="P70" s="179">
        <f>VLOOKUP(A70,'OI(Value)'!A70:O271,8,0)</f>
        <v>580</v>
      </c>
      <c r="Q70" s="179">
        <f>VLOOKUP(A70,'OI(Value)'!A70:O271,9,0)</f>
        <v>-17</v>
      </c>
      <c r="R70" s="179">
        <f>VLOOKUP(A70,'OI(Value)'!A70:O271,11,0)</f>
        <v>258</v>
      </c>
      <c r="S70" s="179">
        <f>VLOOKUP(A70,'OI(Value)'!A70:O271,11,0)</f>
        <v>258</v>
      </c>
    </row>
    <row r="71" spans="1:19" x14ac:dyDescent="0.25">
      <c r="A71" s="105" t="str">
        <f>'Data shares'!C66</f>
        <v>GAIL</v>
      </c>
      <c r="B71" s="143">
        <f>VLOOKUP($A71,'Data shares'!$C:$FA,118)</f>
        <v>0.66</v>
      </c>
      <c r="C71" s="143">
        <f>VLOOKUP($A71,'Data shares'!$C:$FA,119)</f>
        <v>0.65</v>
      </c>
      <c r="D71" s="143">
        <f>VLOOKUP($A71,'Data shares'!$C:$FA,121)*100</f>
        <v>1.54</v>
      </c>
      <c r="E71" s="143">
        <f>VLOOKUP($A71,'Data shares'!$C:$FA,124)</f>
        <v>0.39</v>
      </c>
      <c r="F71" s="143">
        <f>VLOOKUP($A71,'Data shares'!$C:$FA,125)</f>
        <v>0.59</v>
      </c>
      <c r="G71" s="143">
        <f>VLOOKUP($A71,'Data shares'!$C:$FA,127)*100</f>
        <v>-33.900000000000006</v>
      </c>
      <c r="H71" s="103">
        <f>VLOOKUP($A71,'OI(Volume)'!$A$7:$O$427,8)</f>
        <v>68389650</v>
      </c>
      <c r="I71" s="103">
        <f>VLOOKUP($A71,'OI(Volume)'!$A$7:$O$427,9)</f>
        <v>-1263150</v>
      </c>
      <c r="J71" s="103">
        <f>VLOOKUP($A71,'OI(Volume)'!$A$7:$O$427,11)</f>
        <v>45413550</v>
      </c>
      <c r="K71" s="103">
        <f>VLOOKUP($A71,'OI(Volume)'!$A$7:$O$427,12)</f>
        <v>37800</v>
      </c>
      <c r="L71" s="103">
        <f>VLOOKUP($A71,'OI(Value)'!$A$7:$O$306,8,0)</f>
        <v>1158</v>
      </c>
      <c r="M71" s="103">
        <f>VLOOKUP($A71,'OI(Value)'!$A$7:$O$306,9,0)</f>
        <v>-21</v>
      </c>
      <c r="N71" s="103">
        <f>VLOOKUP($A71,'OI(Value)'!$A$7:$O$306,11,0)</f>
        <v>769</v>
      </c>
      <c r="O71" s="103">
        <f>VLOOKUP($A71,'OI(Value)'!$A$7:$O$306,12,0)</f>
        <v>1</v>
      </c>
      <c r="P71" s="179">
        <f>VLOOKUP(A71,'OI(Value)'!A71:O272,8,0)</f>
        <v>1158</v>
      </c>
      <c r="Q71" s="179">
        <f>VLOOKUP(A71,'OI(Value)'!A71:O272,9,0)</f>
        <v>-21</v>
      </c>
      <c r="R71" s="179">
        <f>VLOOKUP(A71,'OI(Value)'!A71:O272,11,0)</f>
        <v>769</v>
      </c>
      <c r="S71" s="179">
        <f>VLOOKUP(A71,'OI(Value)'!A71:O272,11,0)</f>
        <v>769</v>
      </c>
    </row>
    <row r="72" spans="1:19" x14ac:dyDescent="0.25">
      <c r="A72" s="105" t="str">
        <f>'Data shares'!C67</f>
        <v>GLENMARK</v>
      </c>
      <c r="B72" s="143">
        <f>VLOOKUP($A72,'Data shares'!$C:$FA,118)</f>
        <v>0.72</v>
      </c>
      <c r="C72" s="143">
        <f>VLOOKUP($A72,'Data shares'!$C:$FA,119)</f>
        <v>0.73</v>
      </c>
      <c r="D72" s="143">
        <f>VLOOKUP($A72,'Data shares'!$C:$FA,121)*100</f>
        <v>-1.37</v>
      </c>
      <c r="E72" s="143">
        <f>VLOOKUP($A72,'Data shares'!$C:$FA,124)</f>
        <v>0.48</v>
      </c>
      <c r="F72" s="143">
        <f>VLOOKUP($A72,'Data shares'!$C:$FA,125)</f>
        <v>0.65</v>
      </c>
      <c r="G72" s="143">
        <f>VLOOKUP($A72,'Data shares'!$C:$FA,127)*100</f>
        <v>-26.150000000000002</v>
      </c>
      <c r="H72" s="103">
        <f>VLOOKUP($A72,'OI(Volume)'!$A$7:$O$427,8)</f>
        <v>4193250</v>
      </c>
      <c r="I72" s="103">
        <f>VLOOKUP($A72,'OI(Volume)'!$A$7:$O$427,9)</f>
        <v>10125</v>
      </c>
      <c r="J72" s="103">
        <f>VLOOKUP($A72,'OI(Volume)'!$A$7:$O$427,11)</f>
        <v>3005625</v>
      </c>
      <c r="K72" s="103">
        <f>VLOOKUP($A72,'OI(Volume)'!$A$7:$O$427,12)</f>
        <v>-67875</v>
      </c>
      <c r="L72" s="103">
        <f>VLOOKUP($A72,'OI(Value)'!$A$7:$O$306,8,0)</f>
        <v>818</v>
      </c>
      <c r="M72" s="103">
        <f>VLOOKUP($A72,'OI(Value)'!$A$7:$O$306,9,0)</f>
        <v>2</v>
      </c>
      <c r="N72" s="103">
        <f>VLOOKUP($A72,'OI(Value)'!$A$7:$O$306,11,0)</f>
        <v>587</v>
      </c>
      <c r="O72" s="103">
        <f>VLOOKUP($A72,'OI(Value)'!$A$7:$O$306,12,0)</f>
        <v>-13</v>
      </c>
      <c r="P72" s="179">
        <f>VLOOKUP(A72,'OI(Value)'!A72:O273,8,0)</f>
        <v>818</v>
      </c>
      <c r="Q72" s="179">
        <f>VLOOKUP(A72,'OI(Value)'!A72:O273,9,0)</f>
        <v>2</v>
      </c>
      <c r="R72" s="179">
        <f>VLOOKUP(A72,'OI(Value)'!A72:O273,11,0)</f>
        <v>587</v>
      </c>
      <c r="S72" s="179">
        <f>VLOOKUP(A72,'OI(Value)'!A72:O273,11,0)</f>
        <v>587</v>
      </c>
    </row>
    <row r="73" spans="1:19" x14ac:dyDescent="0.25">
      <c r="A73" s="105" t="str">
        <f>'Data shares'!C68</f>
        <v>GMRAIRPORT</v>
      </c>
      <c r="B73" s="143">
        <f>VLOOKUP($A73,'Data shares'!$C:$FA,118)</f>
        <v>0.54</v>
      </c>
      <c r="C73" s="143">
        <f>VLOOKUP($A73,'Data shares'!$C:$FA,119)</f>
        <v>0.56000000000000005</v>
      </c>
      <c r="D73" s="143">
        <f>VLOOKUP($A73,'Data shares'!$C:$FA,121)*100</f>
        <v>-3.5700000000000003</v>
      </c>
      <c r="E73" s="143">
        <f>VLOOKUP($A73,'Data shares'!$C:$FA,124)</f>
        <v>0.46</v>
      </c>
      <c r="F73" s="143">
        <f>VLOOKUP($A73,'Data shares'!$C:$FA,125)</f>
        <v>0.4</v>
      </c>
      <c r="G73" s="143">
        <f>VLOOKUP($A73,'Data shares'!$C:$FA,127)*100</f>
        <v>15</v>
      </c>
      <c r="H73" s="103">
        <f>VLOOKUP($A73,'OI(Volume)'!$A$7:$O$427,8)</f>
        <v>150053175</v>
      </c>
      <c r="I73" s="103">
        <f>VLOOKUP($A73,'OI(Volume)'!$A$7:$O$427,9)</f>
        <v>5314950</v>
      </c>
      <c r="J73" s="103">
        <f>VLOOKUP($A73,'OI(Volume)'!$A$7:$O$427,11)</f>
        <v>81719100</v>
      </c>
      <c r="K73" s="103">
        <f>VLOOKUP($A73,'OI(Volume)'!$A$7:$O$427,12)</f>
        <v>1255500</v>
      </c>
      <c r="L73" s="103">
        <f>VLOOKUP($A73,'OI(Value)'!$A$7:$O$306,8,0)</f>
        <v>1517</v>
      </c>
      <c r="M73" s="103">
        <f>VLOOKUP($A73,'OI(Value)'!$A$7:$O$306,9,0)</f>
        <v>54</v>
      </c>
      <c r="N73" s="103">
        <f>VLOOKUP($A73,'OI(Value)'!$A$7:$O$306,11,0)</f>
        <v>826</v>
      </c>
      <c r="O73" s="103">
        <f>VLOOKUP($A73,'OI(Value)'!$A$7:$O$306,12,0)</f>
        <v>13</v>
      </c>
      <c r="P73" s="179">
        <f>VLOOKUP(A73,'OI(Value)'!A73:O274,8,0)</f>
        <v>1517</v>
      </c>
      <c r="Q73" s="179">
        <f>VLOOKUP(A73,'OI(Value)'!A73:O274,9,0)</f>
        <v>54</v>
      </c>
      <c r="R73" s="179">
        <f>VLOOKUP(A73,'OI(Value)'!A73:O274,11,0)</f>
        <v>826</v>
      </c>
      <c r="S73" s="179">
        <f>VLOOKUP(A73,'OI(Value)'!A73:O274,11,0)</f>
        <v>826</v>
      </c>
    </row>
    <row r="74" spans="1:19" x14ac:dyDescent="0.25">
      <c r="A74" s="105" t="str">
        <f>'Data shares'!C69</f>
        <v>GODREJCP</v>
      </c>
      <c r="B74" s="143">
        <f>VLOOKUP($A74,'Data shares'!$C:$FA,118)</f>
        <v>0.64</v>
      </c>
      <c r="C74" s="143">
        <f>VLOOKUP($A74,'Data shares'!$C:$FA,119)</f>
        <v>0.68</v>
      </c>
      <c r="D74" s="143">
        <f>VLOOKUP($A74,'Data shares'!$C:$FA,121)*100</f>
        <v>-5.88</v>
      </c>
      <c r="E74" s="143">
        <f>VLOOKUP($A74,'Data shares'!$C:$FA,124)</f>
        <v>0.49</v>
      </c>
      <c r="F74" s="143">
        <f>VLOOKUP($A74,'Data shares'!$C:$FA,125)</f>
        <v>0.37</v>
      </c>
      <c r="G74" s="143">
        <f>VLOOKUP($A74,'Data shares'!$C:$FA,127)*100</f>
        <v>32.43</v>
      </c>
      <c r="H74" s="103">
        <f>VLOOKUP($A74,'OI(Volume)'!$A$7:$O$427,8)</f>
        <v>2993500</v>
      </c>
      <c r="I74" s="103">
        <f>VLOOKUP($A74,'OI(Volume)'!$A$7:$O$427,9)</f>
        <v>-32000</v>
      </c>
      <c r="J74" s="103">
        <f>VLOOKUP($A74,'OI(Volume)'!$A$7:$O$427,11)</f>
        <v>1930500</v>
      </c>
      <c r="K74" s="103">
        <f>VLOOKUP($A74,'OI(Volume)'!$A$7:$O$427,12)</f>
        <v>-113000</v>
      </c>
      <c r="L74" s="103">
        <f>VLOOKUP($A74,'OI(Value)'!$A$7:$O$306,8,0)</f>
        <v>353</v>
      </c>
      <c r="M74" s="103">
        <f>VLOOKUP($A74,'OI(Value)'!$A$7:$O$306,9,0)</f>
        <v>-4</v>
      </c>
      <c r="N74" s="103">
        <f>VLOOKUP($A74,'OI(Value)'!$A$7:$O$306,11,0)</f>
        <v>228</v>
      </c>
      <c r="O74" s="103">
        <f>VLOOKUP($A74,'OI(Value)'!$A$7:$O$306,12,0)</f>
        <v>-13</v>
      </c>
      <c r="P74" s="179">
        <f>VLOOKUP(A74,'OI(Value)'!A74:O275,8,0)</f>
        <v>353</v>
      </c>
      <c r="Q74" s="179">
        <f>VLOOKUP(A74,'OI(Value)'!A74:O275,9,0)</f>
        <v>-4</v>
      </c>
      <c r="R74" s="179">
        <f>VLOOKUP(A74,'OI(Value)'!A74:O275,11,0)</f>
        <v>228</v>
      </c>
      <c r="S74" s="179">
        <f>VLOOKUP(A74,'OI(Value)'!A74:O275,11,0)</f>
        <v>228</v>
      </c>
    </row>
    <row r="75" spans="1:19" x14ac:dyDescent="0.25">
      <c r="A75" s="105" t="str">
        <f>'Data shares'!C70</f>
        <v>GODREJPROP</v>
      </c>
      <c r="B75" s="143">
        <f>VLOOKUP($A75,'Data shares'!$C:$FA,118)</f>
        <v>0.6</v>
      </c>
      <c r="C75" s="143">
        <f>VLOOKUP($A75,'Data shares'!$C:$FA,119)</f>
        <v>0.61</v>
      </c>
      <c r="D75" s="143">
        <f>VLOOKUP($A75,'Data shares'!$C:$FA,121)*100</f>
        <v>-1.6400000000000001</v>
      </c>
      <c r="E75" s="143">
        <f>VLOOKUP($A75,'Data shares'!$C:$FA,124)</f>
        <v>0.61</v>
      </c>
      <c r="F75" s="143">
        <f>VLOOKUP($A75,'Data shares'!$C:$FA,125)</f>
        <v>0.53</v>
      </c>
      <c r="G75" s="143">
        <f>VLOOKUP($A75,'Data shares'!$C:$FA,127)*100</f>
        <v>15.09</v>
      </c>
      <c r="H75" s="103">
        <f>VLOOKUP($A75,'OI(Volume)'!$A$7:$O$427,8)</f>
        <v>3381950</v>
      </c>
      <c r="I75" s="103">
        <f>VLOOKUP($A75,'OI(Volume)'!$A$7:$O$427,9)</f>
        <v>53625</v>
      </c>
      <c r="J75" s="103">
        <f>VLOOKUP($A75,'OI(Volume)'!$A$7:$O$427,11)</f>
        <v>2022625</v>
      </c>
      <c r="K75" s="103">
        <f>VLOOKUP($A75,'OI(Volume)'!$A$7:$O$427,12)</f>
        <v>6050</v>
      </c>
      <c r="L75" s="103">
        <f>VLOOKUP($A75,'OI(Value)'!$A$7:$O$306,8,0)</f>
        <v>683</v>
      </c>
      <c r="M75" s="103">
        <f>VLOOKUP($A75,'OI(Value)'!$A$7:$O$306,9,0)</f>
        <v>11</v>
      </c>
      <c r="N75" s="103">
        <f>VLOOKUP($A75,'OI(Value)'!$A$7:$O$306,11,0)</f>
        <v>408</v>
      </c>
      <c r="O75" s="103">
        <f>VLOOKUP($A75,'OI(Value)'!$A$7:$O$306,12,0)</f>
        <v>1</v>
      </c>
      <c r="P75" s="179">
        <f>VLOOKUP(A75,'OI(Value)'!A75:O276,8,0)</f>
        <v>683</v>
      </c>
      <c r="Q75" s="179">
        <f>VLOOKUP(A75,'OI(Value)'!A75:O276,9,0)</f>
        <v>11</v>
      </c>
      <c r="R75" s="179">
        <f>VLOOKUP(A75,'OI(Value)'!A75:O276,11,0)</f>
        <v>408</v>
      </c>
      <c r="S75" s="179">
        <f>VLOOKUP(A75,'OI(Value)'!A75:O276,11,0)</f>
        <v>408</v>
      </c>
    </row>
    <row r="76" spans="1:19" x14ac:dyDescent="0.25">
      <c r="A76" s="105" t="str">
        <f>'Data shares'!C71</f>
        <v>GRASIM</v>
      </c>
      <c r="B76" s="143">
        <f>VLOOKUP($A76,'Data shares'!$C:$FA,118)</f>
        <v>1.0900000000000001</v>
      </c>
      <c r="C76" s="143">
        <f>VLOOKUP($A76,'Data shares'!$C:$FA,119)</f>
        <v>1.1000000000000001</v>
      </c>
      <c r="D76" s="143">
        <f>VLOOKUP($A76,'Data shares'!$C:$FA,121)*100</f>
        <v>-0.91</v>
      </c>
      <c r="E76" s="143">
        <f>VLOOKUP($A76,'Data shares'!$C:$FA,124)</f>
        <v>0.53</v>
      </c>
      <c r="F76" s="143">
        <f>VLOOKUP($A76,'Data shares'!$C:$FA,125)</f>
        <v>0.55000000000000004</v>
      </c>
      <c r="G76" s="143">
        <f>VLOOKUP($A76,'Data shares'!$C:$FA,127)*100</f>
        <v>-3.64</v>
      </c>
      <c r="H76" s="103">
        <f>VLOOKUP($A76,'OI(Volume)'!$A$7:$O$427,8)</f>
        <v>2191750</v>
      </c>
      <c r="I76" s="103">
        <f>VLOOKUP($A76,'OI(Volume)'!$A$7:$O$427,9)</f>
        <v>0</v>
      </c>
      <c r="J76" s="103">
        <f>VLOOKUP($A76,'OI(Volume)'!$A$7:$O$427,11)</f>
        <v>2393250</v>
      </c>
      <c r="K76" s="103">
        <f>VLOOKUP($A76,'OI(Volume)'!$A$7:$O$427,12)</f>
        <v>-7500</v>
      </c>
      <c r="L76" s="103">
        <f>VLOOKUP($A76,'OI(Value)'!$A$7:$O$306,8,0)</f>
        <v>617</v>
      </c>
      <c r="M76" s="103">
        <f>VLOOKUP($A76,'OI(Value)'!$A$7:$O$306,9,0)</f>
        <v>0</v>
      </c>
      <c r="N76" s="103">
        <f>VLOOKUP($A76,'OI(Value)'!$A$7:$O$306,11,0)</f>
        <v>673</v>
      </c>
      <c r="O76" s="103">
        <f>VLOOKUP($A76,'OI(Value)'!$A$7:$O$306,12,0)</f>
        <v>-2</v>
      </c>
      <c r="P76" s="179">
        <f>VLOOKUP(A76,'OI(Value)'!A76:O277,8,0)</f>
        <v>617</v>
      </c>
      <c r="Q76" s="179">
        <f>VLOOKUP(A76,'OI(Value)'!A76:O277,9,0)</f>
        <v>0</v>
      </c>
      <c r="R76" s="179">
        <f>VLOOKUP(A76,'OI(Value)'!A76:O277,11,0)</f>
        <v>673</v>
      </c>
      <c r="S76" s="179">
        <f>VLOOKUP(A76,'OI(Value)'!A76:O277,11,0)</f>
        <v>673</v>
      </c>
    </row>
    <row r="77" spans="1:19" x14ac:dyDescent="0.25">
      <c r="A77" s="105" t="str">
        <f>'Data shares'!C72</f>
        <v>HAL</v>
      </c>
      <c r="B77" s="143">
        <f>VLOOKUP($A77,'Data shares'!$C:$FA,118)</f>
        <v>0.49</v>
      </c>
      <c r="C77" s="143">
        <f>VLOOKUP($A77,'Data shares'!$C:$FA,119)</f>
        <v>0.5</v>
      </c>
      <c r="D77" s="143">
        <f>VLOOKUP($A77,'Data shares'!$C:$FA,121)*100</f>
        <v>-2</v>
      </c>
      <c r="E77" s="143">
        <f>VLOOKUP($A77,'Data shares'!$C:$FA,124)</f>
        <v>0.44</v>
      </c>
      <c r="F77" s="143">
        <f>VLOOKUP($A77,'Data shares'!$C:$FA,125)</f>
        <v>0.41</v>
      </c>
      <c r="G77" s="143">
        <f>VLOOKUP($A77,'Data shares'!$C:$FA,127)*100</f>
        <v>7.32</v>
      </c>
      <c r="H77" s="103">
        <f>VLOOKUP($A77,'OI(Volume)'!$A$7:$O$427,8)</f>
        <v>9140550</v>
      </c>
      <c r="I77" s="103">
        <f>VLOOKUP($A77,'OI(Volume)'!$A$7:$O$427,9)</f>
        <v>192900</v>
      </c>
      <c r="J77" s="103">
        <f>VLOOKUP($A77,'OI(Volume)'!$A$7:$O$427,11)</f>
        <v>4512000</v>
      </c>
      <c r="K77" s="103">
        <f>VLOOKUP($A77,'OI(Volume)'!$A$7:$O$427,12)</f>
        <v>71550</v>
      </c>
      <c r="L77" s="103">
        <f>VLOOKUP($A77,'OI(Value)'!$A$7:$O$306,8,0)</f>
        <v>3878</v>
      </c>
      <c r="M77" s="103">
        <f>VLOOKUP($A77,'OI(Value)'!$A$7:$O$306,9,0)</f>
        <v>82</v>
      </c>
      <c r="N77" s="103">
        <f>VLOOKUP($A77,'OI(Value)'!$A$7:$O$306,11,0)</f>
        <v>1914</v>
      </c>
      <c r="O77" s="103">
        <f>VLOOKUP($A77,'OI(Value)'!$A$7:$O$306,12,0)</f>
        <v>30</v>
      </c>
      <c r="P77" s="179">
        <f>VLOOKUP(A77,'OI(Value)'!A77:O278,8,0)</f>
        <v>3878</v>
      </c>
      <c r="Q77" s="179">
        <f>VLOOKUP(A77,'OI(Value)'!A77:O278,9,0)</f>
        <v>82</v>
      </c>
      <c r="R77" s="179">
        <f>VLOOKUP(A77,'OI(Value)'!A77:O278,11,0)</f>
        <v>1914</v>
      </c>
      <c r="S77" s="179">
        <f>VLOOKUP(A77,'OI(Value)'!A77:O278,11,0)</f>
        <v>1914</v>
      </c>
    </row>
    <row r="78" spans="1:19" x14ac:dyDescent="0.25">
      <c r="A78" s="105" t="str">
        <f>'Data shares'!C73</f>
        <v>HAVELLS</v>
      </c>
      <c r="B78" s="143">
        <f>VLOOKUP($A78,'Data shares'!$C:$FA,118)</f>
        <v>0.76</v>
      </c>
      <c r="C78" s="143">
        <f>VLOOKUP($A78,'Data shares'!$C:$FA,119)</f>
        <v>0.78</v>
      </c>
      <c r="D78" s="143">
        <f>VLOOKUP($A78,'Data shares'!$C:$FA,121)*100</f>
        <v>-2.56</v>
      </c>
      <c r="E78" s="143">
        <f>VLOOKUP($A78,'Data shares'!$C:$FA,124)</f>
        <v>0.74</v>
      </c>
      <c r="F78" s="143">
        <f>VLOOKUP($A78,'Data shares'!$C:$FA,125)</f>
        <v>0.34</v>
      </c>
      <c r="G78" s="143">
        <f>VLOOKUP($A78,'Data shares'!$C:$FA,127)*100</f>
        <v>117.65</v>
      </c>
      <c r="H78" s="103">
        <f>VLOOKUP($A78,'OI(Volume)'!$A$7:$O$427,8)</f>
        <v>2682000</v>
      </c>
      <c r="I78" s="103">
        <f>VLOOKUP($A78,'OI(Volume)'!$A$7:$O$427,9)</f>
        <v>165500</v>
      </c>
      <c r="J78" s="103">
        <f>VLOOKUP($A78,'OI(Volume)'!$A$7:$O$427,11)</f>
        <v>2041500</v>
      </c>
      <c r="K78" s="103">
        <f>VLOOKUP($A78,'OI(Volume)'!$A$7:$O$427,12)</f>
        <v>82000</v>
      </c>
      <c r="L78" s="103">
        <f>VLOOKUP($A78,'OI(Value)'!$A$7:$O$306,8,0)</f>
        <v>375</v>
      </c>
      <c r="M78" s="103">
        <f>VLOOKUP($A78,'OI(Value)'!$A$7:$O$306,9,0)</f>
        <v>23</v>
      </c>
      <c r="N78" s="103">
        <f>VLOOKUP($A78,'OI(Value)'!$A$7:$O$306,11,0)</f>
        <v>286</v>
      </c>
      <c r="O78" s="103">
        <f>VLOOKUP($A78,'OI(Value)'!$A$7:$O$306,12,0)</f>
        <v>11</v>
      </c>
      <c r="P78" s="179">
        <f>VLOOKUP(A78,'OI(Value)'!A78:O279,8,0)</f>
        <v>375</v>
      </c>
      <c r="Q78" s="179">
        <f>VLOOKUP(A78,'OI(Value)'!A78:O279,9,0)</f>
        <v>23</v>
      </c>
      <c r="R78" s="179">
        <f>VLOOKUP(A78,'OI(Value)'!A78:O279,11,0)</f>
        <v>286</v>
      </c>
      <c r="S78" s="179">
        <f>VLOOKUP(A78,'OI(Value)'!A78:O279,11,0)</f>
        <v>286</v>
      </c>
    </row>
    <row r="79" spans="1:19" x14ac:dyDescent="0.25">
      <c r="A79" s="105" t="str">
        <f>'Data shares'!C74</f>
        <v>HCLTECH</v>
      </c>
      <c r="B79" s="143">
        <f>VLOOKUP($A79,'Data shares'!$C:$FA,118)</f>
        <v>0.56999999999999995</v>
      </c>
      <c r="C79" s="143">
        <f>VLOOKUP($A79,'Data shares'!$C:$FA,119)</f>
        <v>0.59</v>
      </c>
      <c r="D79" s="143">
        <f>VLOOKUP($A79,'Data shares'!$C:$FA,121)*100</f>
        <v>-3.39</v>
      </c>
      <c r="E79" s="143">
        <f>VLOOKUP($A79,'Data shares'!$C:$FA,124)</f>
        <v>0.5</v>
      </c>
      <c r="F79" s="143">
        <f>VLOOKUP($A79,'Data shares'!$C:$FA,125)</f>
        <v>0.59</v>
      </c>
      <c r="G79" s="143">
        <f>VLOOKUP($A79,'Data shares'!$C:$FA,127)*100</f>
        <v>-15.25</v>
      </c>
      <c r="H79" s="103">
        <f>VLOOKUP($A79,'OI(Volume)'!$A$7:$O$427,8)</f>
        <v>7372750</v>
      </c>
      <c r="I79" s="103">
        <f>VLOOKUP($A79,'OI(Volume)'!$A$7:$O$427,9)</f>
        <v>85400</v>
      </c>
      <c r="J79" s="103">
        <f>VLOOKUP($A79,'OI(Volume)'!$A$7:$O$427,11)</f>
        <v>4213300</v>
      </c>
      <c r="K79" s="103">
        <f>VLOOKUP($A79,'OI(Volume)'!$A$7:$O$427,12)</f>
        <v>-53900</v>
      </c>
      <c r="L79" s="103">
        <f>VLOOKUP($A79,'OI(Value)'!$A$7:$O$306,8,0)</f>
        <v>1225</v>
      </c>
      <c r="M79" s="103">
        <f>VLOOKUP($A79,'OI(Value)'!$A$7:$O$306,9,0)</f>
        <v>14</v>
      </c>
      <c r="N79" s="103">
        <f>VLOOKUP($A79,'OI(Value)'!$A$7:$O$306,11,0)</f>
        <v>700</v>
      </c>
      <c r="O79" s="103">
        <f>VLOOKUP($A79,'OI(Value)'!$A$7:$O$306,12,0)</f>
        <v>-9</v>
      </c>
      <c r="P79" s="179">
        <f>VLOOKUP(A79,'OI(Value)'!A79:O280,8,0)</f>
        <v>1225</v>
      </c>
      <c r="Q79" s="179">
        <f>VLOOKUP(A79,'OI(Value)'!A79:O280,9,0)</f>
        <v>14</v>
      </c>
      <c r="R79" s="179">
        <f>VLOOKUP(A79,'OI(Value)'!A79:O280,11,0)</f>
        <v>700</v>
      </c>
      <c r="S79" s="179">
        <f>VLOOKUP(A79,'OI(Value)'!A79:O280,11,0)</f>
        <v>700</v>
      </c>
    </row>
    <row r="80" spans="1:19" x14ac:dyDescent="0.25">
      <c r="A80" s="105" t="str">
        <f>'Data shares'!C75</f>
        <v>HDFCAMC</v>
      </c>
      <c r="B80" s="143">
        <f>VLOOKUP($A80,'Data shares'!$C:$FA,118)</f>
        <v>0.78</v>
      </c>
      <c r="C80" s="143">
        <f>VLOOKUP($A80,'Data shares'!$C:$FA,119)</f>
        <v>0.73</v>
      </c>
      <c r="D80" s="143">
        <f>VLOOKUP($A80,'Data shares'!$C:$FA,121)*100</f>
        <v>6.8500000000000005</v>
      </c>
      <c r="E80" s="143">
        <f>VLOOKUP($A80,'Data shares'!$C:$FA,124)</f>
        <v>0.98</v>
      </c>
      <c r="F80" s="143">
        <f>VLOOKUP($A80,'Data shares'!$C:$FA,125)</f>
        <v>0.67</v>
      </c>
      <c r="G80" s="143">
        <f>VLOOKUP($A80,'Data shares'!$C:$FA,127)*100</f>
        <v>46.27</v>
      </c>
      <c r="H80" s="103">
        <f>VLOOKUP($A80,'OI(Volume)'!$A$7:$O$427,8)</f>
        <v>2235600</v>
      </c>
      <c r="I80" s="103">
        <f>VLOOKUP($A80,'OI(Volume)'!$A$7:$O$427,9)</f>
        <v>230400</v>
      </c>
      <c r="J80" s="103">
        <f>VLOOKUP($A80,'OI(Volume)'!$A$7:$O$427,11)</f>
        <v>1745400</v>
      </c>
      <c r="K80" s="103">
        <f>VLOOKUP($A80,'OI(Volume)'!$A$7:$O$427,12)</f>
        <v>290700</v>
      </c>
      <c r="L80" s="103">
        <f>VLOOKUP($A80,'OI(Value)'!$A$7:$O$306,8,0)</f>
        <v>570</v>
      </c>
      <c r="M80" s="103">
        <f>VLOOKUP($A80,'OI(Value)'!$A$7:$O$306,9,0)</f>
        <v>59</v>
      </c>
      <c r="N80" s="103">
        <f>VLOOKUP($A80,'OI(Value)'!$A$7:$O$306,11,0)</f>
        <v>445</v>
      </c>
      <c r="O80" s="103">
        <f>VLOOKUP($A80,'OI(Value)'!$A$7:$O$306,12,0)</f>
        <v>74</v>
      </c>
      <c r="P80" s="179">
        <f>VLOOKUP(A80,'OI(Value)'!A80:O281,8,0)</f>
        <v>570</v>
      </c>
      <c r="Q80" s="179">
        <f>VLOOKUP(A80,'OI(Value)'!A80:O281,9,0)</f>
        <v>59</v>
      </c>
      <c r="R80" s="179">
        <f>VLOOKUP(A80,'OI(Value)'!A80:O281,11,0)</f>
        <v>445</v>
      </c>
      <c r="S80" s="179">
        <f>VLOOKUP(A80,'OI(Value)'!A80:O281,11,0)</f>
        <v>445</v>
      </c>
    </row>
    <row r="81" spans="1:19" x14ac:dyDescent="0.25">
      <c r="A81" s="105" t="str">
        <f>'Data shares'!C76</f>
        <v>HDFCBANK</v>
      </c>
      <c r="B81" s="143">
        <f>VLOOKUP($A81,'Data shares'!$C:$FA,118)</f>
        <v>0.64</v>
      </c>
      <c r="C81" s="143">
        <f>VLOOKUP($A81,'Data shares'!$C:$FA,119)</f>
        <v>0.74</v>
      </c>
      <c r="D81" s="143">
        <f>VLOOKUP($A81,'Data shares'!$C:$FA,121)*100</f>
        <v>-13.51</v>
      </c>
      <c r="E81" s="143">
        <f>VLOOKUP($A81,'Data shares'!$C:$FA,124)</f>
        <v>0.62</v>
      </c>
      <c r="F81" s="143">
        <f>VLOOKUP($A81,'Data shares'!$C:$FA,125)</f>
        <v>0.78</v>
      </c>
      <c r="G81" s="143">
        <f>VLOOKUP($A81,'Data shares'!$C:$FA,127)*100</f>
        <v>-20.51</v>
      </c>
      <c r="H81" s="103">
        <f>VLOOKUP($A81,'OI(Volume)'!$A$7:$O$427,8)</f>
        <v>43398300</v>
      </c>
      <c r="I81" s="103">
        <f>VLOOKUP($A81,'OI(Volume)'!$A$7:$O$427,9)</f>
        <v>6564250</v>
      </c>
      <c r="J81" s="103">
        <f>VLOOKUP($A81,'OI(Volume)'!$A$7:$O$427,11)</f>
        <v>27794800</v>
      </c>
      <c r="K81" s="103">
        <f>VLOOKUP($A81,'OI(Volume)'!$A$7:$O$427,12)</f>
        <v>394350</v>
      </c>
      <c r="L81" s="103">
        <f>VLOOKUP($A81,'OI(Value)'!$A$7:$O$306,8,0)</f>
        <v>4286</v>
      </c>
      <c r="M81" s="103">
        <f>VLOOKUP($A81,'OI(Value)'!$A$7:$O$306,9,0)</f>
        <v>648</v>
      </c>
      <c r="N81" s="103">
        <f>VLOOKUP($A81,'OI(Value)'!$A$7:$O$306,11,0)</f>
        <v>2745</v>
      </c>
      <c r="O81" s="103">
        <f>VLOOKUP($A81,'OI(Value)'!$A$7:$O$306,12,0)</f>
        <v>39</v>
      </c>
      <c r="P81" s="179">
        <f>VLOOKUP(A81,'OI(Value)'!A81:O282,8,0)</f>
        <v>4286</v>
      </c>
      <c r="Q81" s="179">
        <f>VLOOKUP(A81,'OI(Value)'!A81:O282,9,0)</f>
        <v>648</v>
      </c>
      <c r="R81" s="179">
        <f>VLOOKUP(A81,'OI(Value)'!A81:O282,11,0)</f>
        <v>2745</v>
      </c>
      <c r="S81" s="179">
        <f>VLOOKUP(A81,'OI(Value)'!A81:O282,11,0)</f>
        <v>2745</v>
      </c>
    </row>
    <row r="82" spans="1:19" x14ac:dyDescent="0.25">
      <c r="A82" s="105" t="str">
        <f>'Data shares'!C77</f>
        <v>HDFCLIFE</v>
      </c>
      <c r="B82" s="143">
        <f>VLOOKUP($A82,'Data shares'!$C:$FA,118)</f>
        <v>0.43</v>
      </c>
      <c r="C82" s="143">
        <f>VLOOKUP($A82,'Data shares'!$C:$FA,119)</f>
        <v>0.41</v>
      </c>
      <c r="D82" s="143">
        <f>VLOOKUP($A82,'Data shares'!$C:$FA,121)*100</f>
        <v>4.88</v>
      </c>
      <c r="E82" s="143">
        <f>VLOOKUP($A82,'Data shares'!$C:$FA,124)</f>
        <v>0.32</v>
      </c>
      <c r="F82" s="143">
        <f>VLOOKUP($A82,'Data shares'!$C:$FA,125)</f>
        <v>0.28000000000000003</v>
      </c>
      <c r="G82" s="143">
        <f>VLOOKUP($A82,'Data shares'!$C:$FA,127)*100</f>
        <v>14.29</v>
      </c>
      <c r="H82" s="103">
        <f>VLOOKUP($A82,'OI(Volume)'!$A$7:$O$427,8)</f>
        <v>19741700</v>
      </c>
      <c r="I82" s="103">
        <f>VLOOKUP($A82,'OI(Volume)'!$A$7:$O$427,9)</f>
        <v>-1842500</v>
      </c>
      <c r="J82" s="103">
        <f>VLOOKUP($A82,'OI(Volume)'!$A$7:$O$427,11)</f>
        <v>8538200</v>
      </c>
      <c r="K82" s="103">
        <f>VLOOKUP($A82,'OI(Volume)'!$A$7:$O$427,12)</f>
        <v>-399300</v>
      </c>
      <c r="L82" s="103">
        <f>VLOOKUP($A82,'OI(Value)'!$A$7:$O$306,8,0)</f>
        <v>1490</v>
      </c>
      <c r="M82" s="103">
        <f>VLOOKUP($A82,'OI(Value)'!$A$7:$O$306,9,0)</f>
        <v>-139</v>
      </c>
      <c r="N82" s="103">
        <f>VLOOKUP($A82,'OI(Value)'!$A$7:$O$306,11,0)</f>
        <v>645</v>
      </c>
      <c r="O82" s="103">
        <f>VLOOKUP($A82,'OI(Value)'!$A$7:$O$306,12,0)</f>
        <v>-30</v>
      </c>
      <c r="P82" s="179">
        <f>VLOOKUP(A82,'OI(Value)'!A82:O283,8,0)</f>
        <v>1490</v>
      </c>
      <c r="Q82" s="179">
        <f>VLOOKUP(A82,'OI(Value)'!A82:O283,9,0)</f>
        <v>-139</v>
      </c>
      <c r="R82" s="179">
        <f>VLOOKUP(A82,'OI(Value)'!A82:O283,11,0)</f>
        <v>645</v>
      </c>
      <c r="S82" s="179">
        <f>VLOOKUP(A82,'OI(Value)'!A82:O283,11,0)</f>
        <v>645</v>
      </c>
    </row>
    <row r="83" spans="1:19" x14ac:dyDescent="0.25">
      <c r="A83" s="105" t="str">
        <f>'Data shares'!C78</f>
        <v>HEROMOTOCO</v>
      </c>
      <c r="B83" s="143">
        <f>VLOOKUP($A83,'Data shares'!$C:$FA,118)</f>
        <v>0.55000000000000004</v>
      </c>
      <c r="C83" s="143">
        <f>VLOOKUP($A83,'Data shares'!$C:$FA,119)</f>
        <v>0.7</v>
      </c>
      <c r="D83" s="143">
        <f>VLOOKUP($A83,'Data shares'!$C:$FA,121)*100</f>
        <v>-21.43</v>
      </c>
      <c r="E83" s="143">
        <f>VLOOKUP($A83,'Data shares'!$C:$FA,124)</f>
        <v>0.79</v>
      </c>
      <c r="F83" s="143">
        <f>VLOOKUP($A83,'Data shares'!$C:$FA,125)</f>
        <v>0.61</v>
      </c>
      <c r="G83" s="143">
        <f>VLOOKUP($A83,'Data shares'!$C:$FA,127)*100</f>
        <v>29.509999999999998</v>
      </c>
      <c r="H83" s="103">
        <f>VLOOKUP($A83,'OI(Volume)'!$A$7:$O$427,8)</f>
        <v>3677850</v>
      </c>
      <c r="I83" s="103">
        <f>VLOOKUP($A83,'OI(Volume)'!$A$7:$O$427,9)</f>
        <v>751050</v>
      </c>
      <c r="J83" s="103">
        <f>VLOOKUP($A83,'OI(Volume)'!$A$7:$O$427,11)</f>
        <v>2010150</v>
      </c>
      <c r="K83" s="103">
        <f>VLOOKUP($A83,'OI(Volume)'!$A$7:$O$427,12)</f>
        <v>-24300</v>
      </c>
      <c r="L83" s="103">
        <f>VLOOKUP($A83,'OI(Value)'!$A$7:$O$306,8,0)</f>
        <v>2143</v>
      </c>
      <c r="M83" s="103">
        <f>VLOOKUP($A83,'OI(Value)'!$A$7:$O$306,9,0)</f>
        <v>438</v>
      </c>
      <c r="N83" s="103">
        <f>VLOOKUP($A83,'OI(Value)'!$A$7:$O$306,11,0)</f>
        <v>1171</v>
      </c>
      <c r="O83" s="103">
        <f>VLOOKUP($A83,'OI(Value)'!$A$7:$O$306,12,0)</f>
        <v>-14</v>
      </c>
      <c r="P83" s="179">
        <f>VLOOKUP(A83,'OI(Value)'!A83:O284,8,0)</f>
        <v>2143</v>
      </c>
      <c r="Q83" s="179">
        <f>VLOOKUP(A83,'OI(Value)'!A83:O284,9,0)</f>
        <v>438</v>
      </c>
      <c r="R83" s="179">
        <f>VLOOKUP(A83,'OI(Value)'!A83:O284,11,0)</f>
        <v>1171</v>
      </c>
      <c r="S83" s="179">
        <f>VLOOKUP(A83,'OI(Value)'!A83:O284,11,0)</f>
        <v>1171</v>
      </c>
    </row>
    <row r="84" spans="1:19" x14ac:dyDescent="0.25">
      <c r="A84" s="105" t="str">
        <f>'Data shares'!C79</f>
        <v>HFCL</v>
      </c>
      <c r="B84" s="143">
        <f>VLOOKUP($A84,'Data shares'!$C:$FA,118)</f>
        <v>0.41</v>
      </c>
      <c r="C84" s="143">
        <f>VLOOKUP($A84,'Data shares'!$C:$FA,119)</f>
        <v>0.41</v>
      </c>
      <c r="D84" s="143">
        <f>VLOOKUP($A84,'Data shares'!$C:$FA,121)*100</f>
        <v>0</v>
      </c>
      <c r="E84" s="143">
        <f>VLOOKUP($A84,'Data shares'!$C:$FA,124)</f>
        <v>0.64</v>
      </c>
      <c r="F84" s="143">
        <f>VLOOKUP($A84,'Data shares'!$C:$FA,125)</f>
        <v>0.24</v>
      </c>
      <c r="G84" s="143">
        <f>VLOOKUP($A84,'Data shares'!$C:$FA,127)*100</f>
        <v>166.67000000000002</v>
      </c>
      <c r="H84" s="103">
        <f>VLOOKUP($A84,'OI(Volume)'!$A$7:$O$427,8)</f>
        <v>76548600</v>
      </c>
      <c r="I84" s="103">
        <f>VLOOKUP($A84,'OI(Volume)'!$A$7:$O$427,9)</f>
        <v>-864300</v>
      </c>
      <c r="J84" s="103">
        <f>VLOOKUP($A84,'OI(Volume)'!$A$7:$O$427,11)</f>
        <v>31759800</v>
      </c>
      <c r="K84" s="103">
        <f>VLOOKUP($A84,'OI(Volume)'!$A$7:$O$427,12)</f>
        <v>64500</v>
      </c>
      <c r="L84" s="103">
        <f>VLOOKUP($A84,'OI(Value)'!$A$7:$O$306,8,0)</f>
        <v>495</v>
      </c>
      <c r="M84" s="103">
        <f>VLOOKUP($A84,'OI(Value)'!$A$7:$O$306,9,0)</f>
        <v>-6</v>
      </c>
      <c r="N84" s="103">
        <f>VLOOKUP($A84,'OI(Value)'!$A$7:$O$306,11,0)</f>
        <v>205</v>
      </c>
      <c r="O84" s="103">
        <f>VLOOKUP($A84,'OI(Value)'!$A$7:$O$306,12,0)</f>
        <v>0</v>
      </c>
      <c r="P84" s="179">
        <f>VLOOKUP(A84,'OI(Value)'!A84:O285,8,0)</f>
        <v>495</v>
      </c>
      <c r="Q84" s="179">
        <f>VLOOKUP(A84,'OI(Value)'!A84:O285,9,0)</f>
        <v>-6</v>
      </c>
      <c r="R84" s="179">
        <f>VLOOKUP(A84,'OI(Value)'!A84:O285,11,0)</f>
        <v>205</v>
      </c>
      <c r="S84" s="179">
        <f>VLOOKUP(A84,'OI(Value)'!A84:O285,11,0)</f>
        <v>205</v>
      </c>
    </row>
    <row r="85" spans="1:19" x14ac:dyDescent="0.25">
      <c r="A85" s="105" t="str">
        <f>'Data shares'!C80</f>
        <v>HINDALCO</v>
      </c>
      <c r="B85" s="143">
        <f>VLOOKUP($A85,'Data shares'!$C:$FA,118)</f>
        <v>0.74</v>
      </c>
      <c r="C85" s="143">
        <f>VLOOKUP($A85,'Data shares'!$C:$FA,119)</f>
        <v>0.75</v>
      </c>
      <c r="D85" s="143">
        <f>VLOOKUP($A85,'Data shares'!$C:$FA,121)*100</f>
        <v>-1.3299999999999998</v>
      </c>
      <c r="E85" s="143">
        <f>VLOOKUP($A85,'Data shares'!$C:$FA,124)</f>
        <v>0.44</v>
      </c>
      <c r="F85" s="143">
        <f>VLOOKUP($A85,'Data shares'!$C:$FA,125)</f>
        <v>0.64</v>
      </c>
      <c r="G85" s="143">
        <f>VLOOKUP($A85,'Data shares'!$C:$FA,127)*100</f>
        <v>-31.25</v>
      </c>
      <c r="H85" s="103">
        <f>VLOOKUP($A85,'OI(Volume)'!$A$7:$O$427,8)</f>
        <v>15589700</v>
      </c>
      <c r="I85" s="103">
        <f>VLOOKUP($A85,'OI(Volume)'!$A$7:$O$427,9)</f>
        <v>219100</v>
      </c>
      <c r="J85" s="103">
        <f>VLOOKUP($A85,'OI(Volume)'!$A$7:$O$427,11)</f>
        <v>11472300</v>
      </c>
      <c r="K85" s="103">
        <f>VLOOKUP($A85,'OI(Volume)'!$A$7:$O$427,12)</f>
        <v>-60200</v>
      </c>
      <c r="L85" s="103">
        <f>VLOOKUP($A85,'OI(Value)'!$A$7:$O$306,8,0)</f>
        <v>1325</v>
      </c>
      <c r="M85" s="103">
        <f>VLOOKUP($A85,'OI(Value)'!$A$7:$O$306,9,0)</f>
        <v>19</v>
      </c>
      <c r="N85" s="103">
        <f>VLOOKUP($A85,'OI(Value)'!$A$7:$O$306,11,0)</f>
        <v>975</v>
      </c>
      <c r="O85" s="103">
        <f>VLOOKUP($A85,'OI(Value)'!$A$7:$O$306,12,0)</f>
        <v>-5</v>
      </c>
      <c r="P85" s="179">
        <f>VLOOKUP(A85,'OI(Value)'!A85:O286,8,0)</f>
        <v>1325</v>
      </c>
      <c r="Q85" s="179">
        <f>VLOOKUP(A85,'OI(Value)'!A85:O286,9,0)</f>
        <v>19</v>
      </c>
      <c r="R85" s="179">
        <f>VLOOKUP(A85,'OI(Value)'!A85:O286,11,0)</f>
        <v>975</v>
      </c>
      <c r="S85" s="179">
        <f>VLOOKUP(A85,'OI(Value)'!A85:O286,11,0)</f>
        <v>975</v>
      </c>
    </row>
    <row r="86" spans="1:19" x14ac:dyDescent="0.25">
      <c r="A86" s="105" t="str">
        <f>'Data shares'!C81</f>
        <v>HINDPETRO</v>
      </c>
      <c r="B86" s="143">
        <f>VLOOKUP($A86,'Data shares'!$C:$FA,118)</f>
        <v>0.57999999999999996</v>
      </c>
      <c r="C86" s="143">
        <f>VLOOKUP($A86,'Data shares'!$C:$FA,119)</f>
        <v>0.56999999999999995</v>
      </c>
      <c r="D86" s="143">
        <f>VLOOKUP($A86,'Data shares'!$C:$FA,121)*100</f>
        <v>1.7500000000000002</v>
      </c>
      <c r="E86" s="143">
        <f>VLOOKUP($A86,'Data shares'!$C:$FA,124)</f>
        <v>0.38</v>
      </c>
      <c r="F86" s="143">
        <f>VLOOKUP($A86,'Data shares'!$C:$FA,125)</f>
        <v>0.44</v>
      </c>
      <c r="G86" s="143">
        <f>VLOOKUP($A86,'Data shares'!$C:$FA,127)*100</f>
        <v>-13.639999999999999</v>
      </c>
      <c r="H86" s="103">
        <f>VLOOKUP($A86,'OI(Volume)'!$A$7:$O$427,8)</f>
        <v>15189525</v>
      </c>
      <c r="I86" s="103">
        <f>VLOOKUP($A86,'OI(Volume)'!$A$7:$O$427,9)</f>
        <v>338175</v>
      </c>
      <c r="J86" s="103">
        <f>VLOOKUP($A86,'OI(Volume)'!$A$7:$O$427,11)</f>
        <v>8737875</v>
      </c>
      <c r="K86" s="103">
        <f>VLOOKUP($A86,'OI(Volume)'!$A$7:$O$427,12)</f>
        <v>324000</v>
      </c>
      <c r="L86" s="103">
        <f>VLOOKUP($A86,'OI(Value)'!$A$7:$O$306,8,0)</f>
        <v>708</v>
      </c>
      <c r="M86" s="103">
        <f>VLOOKUP($A86,'OI(Value)'!$A$7:$O$306,9,0)</f>
        <v>16</v>
      </c>
      <c r="N86" s="103">
        <f>VLOOKUP($A86,'OI(Value)'!$A$7:$O$306,11,0)</f>
        <v>408</v>
      </c>
      <c r="O86" s="103">
        <f>VLOOKUP($A86,'OI(Value)'!$A$7:$O$306,12,0)</f>
        <v>15</v>
      </c>
      <c r="P86" s="179">
        <f>VLOOKUP(A86,'OI(Value)'!A86:O287,8,0)</f>
        <v>708</v>
      </c>
      <c r="Q86" s="179">
        <f>VLOOKUP(A86,'OI(Value)'!A86:O287,9,0)</f>
        <v>16</v>
      </c>
      <c r="R86" s="179">
        <f>VLOOKUP(A86,'OI(Value)'!A86:O287,11,0)</f>
        <v>408</v>
      </c>
      <c r="S86" s="179">
        <f>VLOOKUP(A86,'OI(Value)'!A86:O287,11,0)</f>
        <v>408</v>
      </c>
    </row>
    <row r="87" spans="1:19" x14ac:dyDescent="0.25">
      <c r="A87" s="105" t="str">
        <f>'Data shares'!C82</f>
        <v>HINDUNILVR</v>
      </c>
      <c r="B87" s="143">
        <f>VLOOKUP($A87,'Data shares'!$C:$FA,118)</f>
        <v>0.52</v>
      </c>
      <c r="C87" s="143">
        <f>VLOOKUP($A87,'Data shares'!$C:$FA,119)</f>
        <v>0.53</v>
      </c>
      <c r="D87" s="143">
        <f>VLOOKUP($A87,'Data shares'!$C:$FA,121)*100</f>
        <v>-1.8900000000000001</v>
      </c>
      <c r="E87" s="143">
        <f>VLOOKUP($A87,'Data shares'!$C:$FA,124)</f>
        <v>0.32</v>
      </c>
      <c r="F87" s="143">
        <f>VLOOKUP($A87,'Data shares'!$C:$FA,125)</f>
        <v>0.41</v>
      </c>
      <c r="G87" s="143">
        <f>VLOOKUP($A87,'Data shares'!$C:$FA,127)*100</f>
        <v>-21.95</v>
      </c>
      <c r="H87" s="103">
        <f>VLOOKUP($A87,'OI(Volume)'!$A$7:$O$427,8)</f>
        <v>6619500</v>
      </c>
      <c r="I87" s="103">
        <f>VLOOKUP($A87,'OI(Volume)'!$A$7:$O$427,9)</f>
        <v>269700</v>
      </c>
      <c r="J87" s="103">
        <f>VLOOKUP($A87,'OI(Volume)'!$A$7:$O$427,11)</f>
        <v>3423000</v>
      </c>
      <c r="K87" s="103">
        <f>VLOOKUP($A87,'OI(Volume)'!$A$7:$O$427,12)</f>
        <v>66300</v>
      </c>
      <c r="L87" s="103">
        <f>VLOOKUP($A87,'OI(Value)'!$A$7:$O$306,8,0)</f>
        <v>1506</v>
      </c>
      <c r="M87" s="103">
        <f>VLOOKUP($A87,'OI(Value)'!$A$7:$O$306,9,0)</f>
        <v>61</v>
      </c>
      <c r="N87" s="103">
        <f>VLOOKUP($A87,'OI(Value)'!$A$7:$O$306,11,0)</f>
        <v>779</v>
      </c>
      <c r="O87" s="103">
        <f>VLOOKUP($A87,'OI(Value)'!$A$7:$O$306,12,0)</f>
        <v>15</v>
      </c>
      <c r="P87" s="179">
        <f>VLOOKUP(A87,'OI(Value)'!A87:O288,8,0)</f>
        <v>1506</v>
      </c>
      <c r="Q87" s="179">
        <f>VLOOKUP(A87,'OI(Value)'!A87:O288,9,0)</f>
        <v>61</v>
      </c>
      <c r="R87" s="179">
        <f>VLOOKUP(A87,'OI(Value)'!A87:O288,11,0)</f>
        <v>779</v>
      </c>
      <c r="S87" s="179">
        <f>VLOOKUP(A87,'OI(Value)'!A87:O288,11,0)</f>
        <v>779</v>
      </c>
    </row>
    <row r="88" spans="1:19" x14ac:dyDescent="0.25">
      <c r="A88" s="105" t="str">
        <f>'Data shares'!C83</f>
        <v>HINDZINC</v>
      </c>
      <c r="B88" s="143">
        <f>VLOOKUP($A88,'Data shares'!$C:$FA,118)</f>
        <v>0.66</v>
      </c>
      <c r="C88" s="143">
        <f>VLOOKUP($A88,'Data shares'!$C:$FA,119)</f>
        <v>0.72</v>
      </c>
      <c r="D88" s="143">
        <f>VLOOKUP($A88,'Data shares'!$C:$FA,121)*100</f>
        <v>-8.33</v>
      </c>
      <c r="E88" s="143">
        <f>VLOOKUP($A88,'Data shares'!$C:$FA,124)</f>
        <v>0.41</v>
      </c>
      <c r="F88" s="143">
        <f>VLOOKUP($A88,'Data shares'!$C:$FA,125)</f>
        <v>0.48</v>
      </c>
      <c r="G88" s="143">
        <f>VLOOKUP($A88,'Data shares'!$C:$FA,127)*100</f>
        <v>-14.580000000000002</v>
      </c>
      <c r="H88" s="103">
        <f>VLOOKUP($A88,'OI(Volume)'!$A$7:$O$427,8)</f>
        <v>51931425</v>
      </c>
      <c r="I88" s="103">
        <f>VLOOKUP($A88,'OI(Volume)'!$A$7:$O$427,9)</f>
        <v>7463925</v>
      </c>
      <c r="J88" s="103">
        <f>VLOOKUP($A88,'OI(Volume)'!$A$7:$O$427,11)</f>
        <v>34507025</v>
      </c>
      <c r="K88" s="103">
        <f>VLOOKUP($A88,'OI(Volume)'!$A$7:$O$427,12)</f>
        <v>2285850</v>
      </c>
      <c r="L88" s="103">
        <f>VLOOKUP($A88,'OI(Value)'!$A$7:$O$306,8,0)</f>
        <v>3006</v>
      </c>
      <c r="M88" s="103">
        <f>VLOOKUP($A88,'OI(Value)'!$A$7:$O$306,9,0)</f>
        <v>432</v>
      </c>
      <c r="N88" s="103">
        <f>VLOOKUP($A88,'OI(Value)'!$A$7:$O$306,11,0)</f>
        <v>1998</v>
      </c>
      <c r="O88" s="103">
        <f>VLOOKUP($A88,'OI(Value)'!$A$7:$O$306,12,0)</f>
        <v>132</v>
      </c>
      <c r="P88" s="179">
        <f>VLOOKUP(A88,'OI(Value)'!A88:O289,8,0)</f>
        <v>3006</v>
      </c>
      <c r="Q88" s="179">
        <f>VLOOKUP(A88,'OI(Value)'!A88:O289,9,0)</f>
        <v>432</v>
      </c>
      <c r="R88" s="179">
        <f>VLOOKUP(A88,'OI(Value)'!A88:O289,11,0)</f>
        <v>1998</v>
      </c>
      <c r="S88" s="179">
        <f>VLOOKUP(A88,'OI(Value)'!A88:O289,11,0)</f>
        <v>1998</v>
      </c>
    </row>
    <row r="89" spans="1:19" x14ac:dyDescent="0.25">
      <c r="A89" s="105" t="str">
        <f>'Data shares'!C84</f>
        <v>HUDCO</v>
      </c>
      <c r="B89" s="143">
        <f>VLOOKUP($A89,'Data shares'!$C:$FA,118)</f>
        <v>0.44</v>
      </c>
      <c r="C89" s="143">
        <f>VLOOKUP($A89,'Data shares'!$C:$FA,119)</f>
        <v>0.45</v>
      </c>
      <c r="D89" s="143">
        <f>VLOOKUP($A89,'Data shares'!$C:$FA,121)*100</f>
        <v>-2.2200000000000002</v>
      </c>
      <c r="E89" s="143">
        <f>VLOOKUP($A89,'Data shares'!$C:$FA,124)</f>
        <v>0.48</v>
      </c>
      <c r="F89" s="143">
        <f>VLOOKUP($A89,'Data shares'!$C:$FA,125)</f>
        <v>0.47</v>
      </c>
      <c r="G89" s="143">
        <f>VLOOKUP($A89,'Data shares'!$C:$FA,127)*100</f>
        <v>2.13</v>
      </c>
      <c r="H89" s="103">
        <f>VLOOKUP($A89,'OI(Volume)'!$A$7:$O$427,8)</f>
        <v>41647200</v>
      </c>
      <c r="I89" s="103">
        <f>VLOOKUP($A89,'OI(Volume)'!$A$7:$O$427,9)</f>
        <v>860250</v>
      </c>
      <c r="J89" s="103">
        <f>VLOOKUP($A89,'OI(Volume)'!$A$7:$O$427,11)</f>
        <v>18245625</v>
      </c>
      <c r="K89" s="103">
        <f>VLOOKUP($A89,'OI(Volume)'!$A$7:$O$427,12)</f>
        <v>-133200</v>
      </c>
      <c r="L89" s="103">
        <f>VLOOKUP($A89,'OI(Value)'!$A$7:$O$306,8,0)</f>
        <v>866</v>
      </c>
      <c r="M89" s="103">
        <f>VLOOKUP($A89,'OI(Value)'!$A$7:$O$306,9,0)</f>
        <v>18</v>
      </c>
      <c r="N89" s="103">
        <f>VLOOKUP($A89,'OI(Value)'!$A$7:$O$306,11,0)</f>
        <v>379</v>
      </c>
      <c r="O89" s="103">
        <f>VLOOKUP($A89,'OI(Value)'!$A$7:$O$306,12,0)</f>
        <v>-3</v>
      </c>
      <c r="P89" s="179">
        <f>VLOOKUP(A89,'OI(Value)'!A89:O290,8,0)</f>
        <v>866</v>
      </c>
      <c r="Q89" s="179">
        <f>VLOOKUP(A89,'OI(Value)'!A89:O290,9,0)</f>
        <v>18</v>
      </c>
      <c r="R89" s="179">
        <f>VLOOKUP(A89,'OI(Value)'!A89:O290,11,0)</f>
        <v>379</v>
      </c>
      <c r="S89" s="179">
        <f>VLOOKUP(A89,'OI(Value)'!A89:O290,11,0)</f>
        <v>379</v>
      </c>
    </row>
    <row r="90" spans="1:19" x14ac:dyDescent="0.25">
      <c r="A90" s="105" t="str">
        <f>'Data shares'!C85</f>
        <v>ICICIBANK</v>
      </c>
      <c r="B90" s="143">
        <f>VLOOKUP($A90,'Data shares'!$C:$FA,118)</f>
        <v>0.6</v>
      </c>
      <c r="C90" s="143">
        <f>VLOOKUP($A90,'Data shares'!$C:$FA,119)</f>
        <v>0.65</v>
      </c>
      <c r="D90" s="143">
        <f>VLOOKUP($A90,'Data shares'!$C:$FA,121)*100</f>
        <v>-7.6899999999999995</v>
      </c>
      <c r="E90" s="143">
        <f>VLOOKUP($A90,'Data shares'!$C:$FA,124)</f>
        <v>0.76</v>
      </c>
      <c r="F90" s="143">
        <f>VLOOKUP($A90,'Data shares'!$C:$FA,125)</f>
        <v>0.69</v>
      </c>
      <c r="G90" s="143">
        <f>VLOOKUP($A90,'Data shares'!$C:$FA,127)*100</f>
        <v>10.14</v>
      </c>
      <c r="H90" s="103">
        <f>VLOOKUP($A90,'OI(Volume)'!$A$7:$O$427,8)</f>
        <v>41790700</v>
      </c>
      <c r="I90" s="103">
        <f>VLOOKUP($A90,'OI(Volume)'!$A$7:$O$427,9)</f>
        <v>4960900</v>
      </c>
      <c r="J90" s="103">
        <f>VLOOKUP($A90,'OI(Volume)'!$A$7:$O$427,11)</f>
        <v>24943100</v>
      </c>
      <c r="K90" s="103">
        <f>VLOOKUP($A90,'OI(Volume)'!$A$7:$O$427,12)</f>
        <v>1166900</v>
      </c>
      <c r="L90" s="103">
        <f>VLOOKUP($A90,'OI(Value)'!$A$7:$O$306,8,0)</f>
        <v>5669</v>
      </c>
      <c r="M90" s="103">
        <f>VLOOKUP($A90,'OI(Value)'!$A$7:$O$306,9,0)</f>
        <v>673</v>
      </c>
      <c r="N90" s="103">
        <f>VLOOKUP($A90,'OI(Value)'!$A$7:$O$306,11,0)</f>
        <v>3384</v>
      </c>
      <c r="O90" s="103">
        <f>VLOOKUP($A90,'OI(Value)'!$A$7:$O$306,12,0)</f>
        <v>158</v>
      </c>
      <c r="P90" s="179">
        <f>VLOOKUP(A90,'OI(Value)'!A90:O291,8,0)</f>
        <v>5669</v>
      </c>
      <c r="Q90" s="179">
        <f>VLOOKUP(A90,'OI(Value)'!A90:O291,9,0)</f>
        <v>673</v>
      </c>
      <c r="R90" s="179">
        <f>VLOOKUP(A90,'OI(Value)'!A90:O291,11,0)</f>
        <v>3384</v>
      </c>
      <c r="S90" s="179">
        <f>VLOOKUP(A90,'OI(Value)'!A90:O291,11,0)</f>
        <v>3384</v>
      </c>
    </row>
    <row r="91" spans="1:19" x14ac:dyDescent="0.25">
      <c r="A91" s="105" t="str">
        <f>'Data shares'!C86</f>
        <v>ICICIGI</v>
      </c>
      <c r="B91" s="143">
        <f>VLOOKUP($A91,'Data shares'!$C:$FA,118)</f>
        <v>0.52</v>
      </c>
      <c r="C91" s="143">
        <f>VLOOKUP($A91,'Data shares'!$C:$FA,119)</f>
        <v>0.56999999999999995</v>
      </c>
      <c r="D91" s="143">
        <f>VLOOKUP($A91,'Data shares'!$C:$FA,121)*100</f>
        <v>-8.77</v>
      </c>
      <c r="E91" s="143">
        <f>VLOOKUP($A91,'Data shares'!$C:$FA,124)</f>
        <v>0.32</v>
      </c>
      <c r="F91" s="143">
        <f>VLOOKUP($A91,'Data shares'!$C:$FA,125)</f>
        <v>0.47</v>
      </c>
      <c r="G91" s="143">
        <f>VLOOKUP($A91,'Data shares'!$C:$FA,127)*100</f>
        <v>-31.91</v>
      </c>
      <c r="H91" s="103">
        <f>VLOOKUP($A91,'OI(Volume)'!$A$7:$O$427,8)</f>
        <v>1993550</v>
      </c>
      <c r="I91" s="103">
        <f>VLOOKUP($A91,'OI(Volume)'!$A$7:$O$427,9)</f>
        <v>177450</v>
      </c>
      <c r="J91" s="103">
        <f>VLOOKUP($A91,'OI(Volume)'!$A$7:$O$427,11)</f>
        <v>1041300</v>
      </c>
      <c r="K91" s="103">
        <f>VLOOKUP($A91,'OI(Volume)'!$A$7:$O$427,12)</f>
        <v>12675</v>
      </c>
      <c r="L91" s="103">
        <f>VLOOKUP($A91,'OI(Value)'!$A$7:$O$306,8,0)</f>
        <v>388</v>
      </c>
      <c r="M91" s="103">
        <f>VLOOKUP($A91,'OI(Value)'!$A$7:$O$306,9,0)</f>
        <v>35</v>
      </c>
      <c r="N91" s="103">
        <f>VLOOKUP($A91,'OI(Value)'!$A$7:$O$306,11,0)</f>
        <v>203</v>
      </c>
      <c r="O91" s="103">
        <f>VLOOKUP($A91,'OI(Value)'!$A$7:$O$306,12,0)</f>
        <v>2</v>
      </c>
      <c r="P91" s="179">
        <f>VLOOKUP(A91,'OI(Value)'!A91:O292,8,0)</f>
        <v>388</v>
      </c>
      <c r="Q91" s="179">
        <f>VLOOKUP(A91,'OI(Value)'!A91:O292,9,0)</f>
        <v>35</v>
      </c>
      <c r="R91" s="179">
        <f>VLOOKUP(A91,'OI(Value)'!A91:O292,11,0)</f>
        <v>203</v>
      </c>
      <c r="S91" s="179">
        <f>VLOOKUP(A91,'OI(Value)'!A91:O292,11,0)</f>
        <v>203</v>
      </c>
    </row>
    <row r="92" spans="1:19" x14ac:dyDescent="0.25">
      <c r="A92" s="105" t="str">
        <f>'Data shares'!C87</f>
        <v>ICICIPRULI</v>
      </c>
      <c r="B92" s="143">
        <f>VLOOKUP($A92,'Data shares'!$C:$FA,118)</f>
        <v>0.46</v>
      </c>
      <c r="C92" s="143">
        <f>VLOOKUP($A92,'Data shares'!$C:$FA,119)</f>
        <v>0.49</v>
      </c>
      <c r="D92" s="143">
        <f>VLOOKUP($A92,'Data shares'!$C:$FA,121)*100</f>
        <v>-6.12</v>
      </c>
      <c r="E92" s="143">
        <f>VLOOKUP($A92,'Data shares'!$C:$FA,124)</f>
        <v>0.39</v>
      </c>
      <c r="F92" s="143">
        <f>VLOOKUP($A92,'Data shares'!$C:$FA,125)</f>
        <v>0.25</v>
      </c>
      <c r="G92" s="143">
        <f>VLOOKUP($A92,'Data shares'!$C:$FA,127)*100</f>
        <v>56.000000000000007</v>
      </c>
      <c r="H92" s="103">
        <f>VLOOKUP($A92,'OI(Volume)'!$A$7:$O$427,8)</f>
        <v>4688825</v>
      </c>
      <c r="I92" s="103">
        <f>VLOOKUP($A92,'OI(Volume)'!$A$7:$O$427,9)</f>
        <v>98050</v>
      </c>
      <c r="J92" s="103">
        <f>VLOOKUP($A92,'OI(Volume)'!$A$7:$O$427,11)</f>
        <v>2137675</v>
      </c>
      <c r="K92" s="103">
        <f>VLOOKUP($A92,'OI(Volume)'!$A$7:$O$427,12)</f>
        <v>-111925</v>
      </c>
      <c r="L92" s="103">
        <f>VLOOKUP($A92,'OI(Value)'!$A$7:$O$306,8,0)</f>
        <v>296</v>
      </c>
      <c r="M92" s="103">
        <f>VLOOKUP($A92,'OI(Value)'!$A$7:$O$306,9,0)</f>
        <v>6</v>
      </c>
      <c r="N92" s="103">
        <f>VLOOKUP($A92,'OI(Value)'!$A$7:$O$306,11,0)</f>
        <v>135</v>
      </c>
      <c r="O92" s="103">
        <f>VLOOKUP($A92,'OI(Value)'!$A$7:$O$306,12,0)</f>
        <v>-7</v>
      </c>
      <c r="P92" s="179">
        <f>VLOOKUP(A92,'OI(Value)'!A92:O293,8,0)</f>
        <v>296</v>
      </c>
      <c r="Q92" s="179">
        <f>VLOOKUP(A92,'OI(Value)'!A92:O293,9,0)</f>
        <v>6</v>
      </c>
      <c r="R92" s="179">
        <f>VLOOKUP(A92,'OI(Value)'!A92:O293,11,0)</f>
        <v>135</v>
      </c>
      <c r="S92" s="179">
        <f>VLOOKUP(A92,'OI(Value)'!A92:O293,11,0)</f>
        <v>135</v>
      </c>
    </row>
    <row r="93" spans="1:19" x14ac:dyDescent="0.25">
      <c r="A93" s="105" t="str">
        <f>'Data shares'!C88</f>
        <v>IDEA</v>
      </c>
      <c r="B93" s="143">
        <f>VLOOKUP($A93,'Data shares'!$C:$FA,118)</f>
        <v>0.56999999999999995</v>
      </c>
      <c r="C93" s="143">
        <f>VLOOKUP($A93,'Data shares'!$C:$FA,119)</f>
        <v>0.56000000000000005</v>
      </c>
      <c r="D93" s="143">
        <f>VLOOKUP($A93,'Data shares'!$C:$FA,121)*100</f>
        <v>1.79</v>
      </c>
      <c r="E93" s="143">
        <f>VLOOKUP($A93,'Data shares'!$C:$FA,124)</f>
        <v>0.26</v>
      </c>
      <c r="F93" s="143">
        <f>VLOOKUP($A93,'Data shares'!$C:$FA,125)</f>
        <v>0.4</v>
      </c>
      <c r="G93" s="143">
        <f>VLOOKUP($A93,'Data shares'!$C:$FA,127)*100</f>
        <v>-35</v>
      </c>
      <c r="H93" s="103">
        <f>VLOOKUP($A93,'OI(Volume)'!$A$7:$O$427,8)</f>
        <v>2342807550</v>
      </c>
      <c r="I93" s="103">
        <f>VLOOKUP($A93,'OI(Volume)'!$A$7:$O$427,9)</f>
        <v>-83482800</v>
      </c>
      <c r="J93" s="103">
        <f>VLOOKUP($A93,'OI(Volume)'!$A$7:$O$427,11)</f>
        <v>1346731950</v>
      </c>
      <c r="K93" s="103">
        <f>VLOOKUP($A93,'OI(Volume)'!$A$7:$O$427,12)</f>
        <v>-7076025</v>
      </c>
      <c r="L93" s="103">
        <f>VLOOKUP($A93,'OI(Value)'!$A$7:$O$306,8,0)</f>
        <v>2617</v>
      </c>
      <c r="M93" s="103">
        <f>VLOOKUP($A93,'OI(Value)'!$A$7:$O$306,9,0)</f>
        <v>-93</v>
      </c>
      <c r="N93" s="103">
        <f>VLOOKUP($A93,'OI(Value)'!$A$7:$O$306,11,0)</f>
        <v>1504</v>
      </c>
      <c r="O93" s="103">
        <f>VLOOKUP($A93,'OI(Value)'!$A$7:$O$306,12,0)</f>
        <v>-8</v>
      </c>
      <c r="P93" s="179">
        <f>VLOOKUP(A93,'OI(Value)'!A93:O294,8,0)</f>
        <v>2617</v>
      </c>
      <c r="Q93" s="179">
        <f>VLOOKUP(A93,'OI(Value)'!A93:O294,9,0)</f>
        <v>-93</v>
      </c>
      <c r="R93" s="179">
        <f>VLOOKUP(A93,'OI(Value)'!A93:O294,11,0)</f>
        <v>1504</v>
      </c>
      <c r="S93" s="179">
        <f>VLOOKUP(A93,'OI(Value)'!A93:O294,11,0)</f>
        <v>1504</v>
      </c>
    </row>
    <row r="94" spans="1:19" x14ac:dyDescent="0.25">
      <c r="A94" s="105" t="str">
        <f>'Data shares'!C89</f>
        <v>IDFCFIRSTB</v>
      </c>
      <c r="B94" s="143">
        <f>VLOOKUP($A94,'Data shares'!$C:$FA,118)</f>
        <v>0.72</v>
      </c>
      <c r="C94" s="143">
        <f>VLOOKUP($A94,'Data shares'!$C:$FA,119)</f>
        <v>0.72</v>
      </c>
      <c r="D94" s="143">
        <f>VLOOKUP($A94,'Data shares'!$C:$FA,121)*100</f>
        <v>0</v>
      </c>
      <c r="E94" s="143">
        <f>VLOOKUP($A94,'Data shares'!$C:$FA,124)</f>
        <v>0.49</v>
      </c>
      <c r="F94" s="143">
        <f>VLOOKUP($A94,'Data shares'!$C:$FA,125)</f>
        <v>0.52</v>
      </c>
      <c r="G94" s="143">
        <f>VLOOKUP($A94,'Data shares'!$C:$FA,127)*100</f>
        <v>-5.7700000000000005</v>
      </c>
      <c r="H94" s="103">
        <f>VLOOKUP($A94,'OI(Volume)'!$A$7:$O$427,8)</f>
        <v>132613950</v>
      </c>
      <c r="I94" s="103">
        <f>VLOOKUP($A94,'OI(Volume)'!$A$7:$O$427,9)</f>
        <v>1057350</v>
      </c>
      <c r="J94" s="103">
        <f>VLOOKUP($A94,'OI(Volume)'!$A$7:$O$427,11)</f>
        <v>95708725</v>
      </c>
      <c r="K94" s="103">
        <f>VLOOKUP($A94,'OI(Volume)'!$A$7:$O$427,12)</f>
        <v>686350</v>
      </c>
      <c r="L94" s="103">
        <f>VLOOKUP($A94,'OI(Value)'!$A$7:$O$306,8,0)</f>
        <v>1114</v>
      </c>
      <c r="M94" s="103">
        <f>VLOOKUP($A94,'OI(Value)'!$A$7:$O$306,9,0)</f>
        <v>9</v>
      </c>
      <c r="N94" s="103">
        <f>VLOOKUP($A94,'OI(Value)'!$A$7:$O$306,11,0)</f>
        <v>804</v>
      </c>
      <c r="O94" s="103">
        <f>VLOOKUP($A94,'OI(Value)'!$A$7:$O$306,12,0)</f>
        <v>6</v>
      </c>
      <c r="P94" s="179">
        <f>VLOOKUP(A94,'OI(Value)'!A94:O295,8,0)</f>
        <v>1114</v>
      </c>
      <c r="Q94" s="179">
        <f>VLOOKUP(A94,'OI(Value)'!A94:O295,9,0)</f>
        <v>9</v>
      </c>
      <c r="R94" s="179">
        <f>VLOOKUP(A94,'OI(Value)'!A94:O295,11,0)</f>
        <v>804</v>
      </c>
      <c r="S94" s="179">
        <f>VLOOKUP(A94,'OI(Value)'!A94:O295,11,0)</f>
        <v>804</v>
      </c>
    </row>
    <row r="95" spans="1:19" x14ac:dyDescent="0.25">
      <c r="A95" s="105" t="str">
        <f>'Data shares'!C90</f>
        <v>IEX</v>
      </c>
      <c r="B95" s="143">
        <f>VLOOKUP($A95,'Data shares'!$C:$FA,118)</f>
        <v>0.73</v>
      </c>
      <c r="C95" s="143">
        <f>VLOOKUP($A95,'Data shares'!$C:$FA,119)</f>
        <v>0.72</v>
      </c>
      <c r="D95" s="143">
        <f>VLOOKUP($A95,'Data shares'!$C:$FA,121)*100</f>
        <v>1.39</v>
      </c>
      <c r="E95" s="143">
        <f>VLOOKUP($A95,'Data shares'!$C:$FA,124)</f>
        <v>0.31</v>
      </c>
      <c r="F95" s="143">
        <f>VLOOKUP($A95,'Data shares'!$C:$FA,125)</f>
        <v>0.31</v>
      </c>
      <c r="G95" s="143">
        <f>VLOOKUP($A95,'Data shares'!$C:$FA,127)*100</f>
        <v>0</v>
      </c>
      <c r="H95" s="103">
        <f>VLOOKUP($A95,'OI(Volume)'!$A$7:$O$427,8)</f>
        <v>46747500</v>
      </c>
      <c r="I95" s="103">
        <f>VLOOKUP($A95,'OI(Volume)'!$A$7:$O$427,9)</f>
        <v>-165000</v>
      </c>
      <c r="J95" s="103">
        <f>VLOOKUP($A95,'OI(Volume)'!$A$7:$O$427,11)</f>
        <v>33918750</v>
      </c>
      <c r="K95" s="103">
        <f>VLOOKUP($A95,'OI(Volume)'!$A$7:$O$427,12)</f>
        <v>127500</v>
      </c>
      <c r="L95" s="103">
        <f>VLOOKUP($A95,'OI(Value)'!$A$7:$O$306,8,0)</f>
        <v>656</v>
      </c>
      <c r="M95" s="103">
        <f>VLOOKUP($A95,'OI(Value)'!$A$7:$O$306,9,0)</f>
        <v>-2</v>
      </c>
      <c r="N95" s="103">
        <f>VLOOKUP($A95,'OI(Value)'!$A$7:$O$306,11,0)</f>
        <v>476</v>
      </c>
      <c r="O95" s="103">
        <f>VLOOKUP($A95,'OI(Value)'!$A$7:$O$306,12,0)</f>
        <v>2</v>
      </c>
      <c r="P95" s="179">
        <f>VLOOKUP(A95,'OI(Value)'!A95:O296,8,0)</f>
        <v>656</v>
      </c>
      <c r="Q95" s="179">
        <f>VLOOKUP(A95,'OI(Value)'!A95:O296,9,0)</f>
        <v>-2</v>
      </c>
      <c r="R95" s="179">
        <f>VLOOKUP(A95,'OI(Value)'!A95:O296,11,0)</f>
        <v>476</v>
      </c>
      <c r="S95" s="179">
        <f>VLOOKUP(A95,'OI(Value)'!A95:O296,11,0)</f>
        <v>476</v>
      </c>
    </row>
    <row r="96" spans="1:19" x14ac:dyDescent="0.25">
      <c r="A96" s="105" t="str">
        <f>'Data shares'!C91</f>
        <v>IIFL</v>
      </c>
      <c r="B96" s="143">
        <f>VLOOKUP($A96,'Data shares'!$C:$FA,118)</f>
        <v>0.6</v>
      </c>
      <c r="C96" s="143">
        <f>VLOOKUP($A96,'Data shares'!$C:$FA,119)</f>
        <v>0.6</v>
      </c>
      <c r="D96" s="143">
        <f>VLOOKUP($A96,'Data shares'!$C:$FA,121)*100</f>
        <v>0</v>
      </c>
      <c r="E96" s="143">
        <f>VLOOKUP($A96,'Data shares'!$C:$FA,124)</f>
        <v>0.22</v>
      </c>
      <c r="F96" s="143">
        <f>VLOOKUP($A96,'Data shares'!$C:$FA,125)</f>
        <v>0.21</v>
      </c>
      <c r="G96" s="143">
        <f>VLOOKUP($A96,'Data shares'!$C:$FA,127)*100</f>
        <v>4.7600000000000007</v>
      </c>
      <c r="H96" s="103">
        <f>VLOOKUP($A96,'OI(Volume)'!$A$7:$O$427,8)</f>
        <v>7599900</v>
      </c>
      <c r="I96" s="103">
        <f>VLOOKUP($A96,'OI(Volume)'!$A$7:$O$427,9)</f>
        <v>283800</v>
      </c>
      <c r="J96" s="103">
        <f>VLOOKUP($A96,'OI(Volume)'!$A$7:$O$427,11)</f>
        <v>4582050</v>
      </c>
      <c r="K96" s="103">
        <f>VLOOKUP($A96,'OI(Volume)'!$A$7:$O$427,12)</f>
        <v>169950</v>
      </c>
      <c r="L96" s="103">
        <f>VLOOKUP($A96,'OI(Value)'!$A$7:$O$306,8,0)</f>
        <v>428</v>
      </c>
      <c r="M96" s="103">
        <f>VLOOKUP($A96,'OI(Value)'!$A$7:$O$306,9,0)</f>
        <v>16</v>
      </c>
      <c r="N96" s="103">
        <f>VLOOKUP($A96,'OI(Value)'!$A$7:$O$306,11,0)</f>
        <v>258</v>
      </c>
      <c r="O96" s="103">
        <f>VLOOKUP($A96,'OI(Value)'!$A$7:$O$306,12,0)</f>
        <v>10</v>
      </c>
      <c r="P96" s="179">
        <f>VLOOKUP(A96,'OI(Value)'!A96:O297,8,0)</f>
        <v>428</v>
      </c>
      <c r="Q96" s="179">
        <f>VLOOKUP(A96,'OI(Value)'!A96:O297,9,0)</f>
        <v>16</v>
      </c>
      <c r="R96" s="179">
        <f>VLOOKUP(A96,'OI(Value)'!A96:O297,11,0)</f>
        <v>258</v>
      </c>
      <c r="S96" s="179">
        <f>VLOOKUP(A96,'OI(Value)'!A96:O297,11,0)</f>
        <v>258</v>
      </c>
    </row>
    <row r="97" spans="1:19" x14ac:dyDescent="0.25">
      <c r="A97" s="105" t="str">
        <f>'Data shares'!C92</f>
        <v>INDHOTEL</v>
      </c>
      <c r="B97" s="143">
        <f>VLOOKUP($A97,'Data shares'!$C:$FA,118)</f>
        <v>0.6</v>
      </c>
      <c r="C97" s="143">
        <f>VLOOKUP($A97,'Data shares'!$C:$FA,119)</f>
        <v>0.65</v>
      </c>
      <c r="D97" s="143">
        <f>VLOOKUP($A97,'Data shares'!$C:$FA,121)*100</f>
        <v>-7.6899999999999995</v>
      </c>
      <c r="E97" s="143">
        <f>VLOOKUP($A97,'Data shares'!$C:$FA,124)</f>
        <v>0.41</v>
      </c>
      <c r="F97" s="143">
        <f>VLOOKUP($A97,'Data shares'!$C:$FA,125)</f>
        <v>0.38</v>
      </c>
      <c r="G97" s="143">
        <f>VLOOKUP($A97,'Data shares'!$C:$FA,127)*100</f>
        <v>7.89</v>
      </c>
      <c r="H97" s="103">
        <f>VLOOKUP($A97,'OI(Volume)'!$A$7:$O$427,8)</f>
        <v>10998000</v>
      </c>
      <c r="I97" s="103">
        <f>VLOOKUP($A97,'OI(Volume)'!$A$7:$O$427,9)</f>
        <v>1397000</v>
      </c>
      <c r="J97" s="103">
        <f>VLOOKUP($A97,'OI(Volume)'!$A$7:$O$427,11)</f>
        <v>6565000</v>
      </c>
      <c r="K97" s="103">
        <f>VLOOKUP($A97,'OI(Volume)'!$A$7:$O$427,12)</f>
        <v>329000</v>
      </c>
      <c r="L97" s="103">
        <f>VLOOKUP($A97,'OI(Value)'!$A$7:$O$306,8,0)</f>
        <v>787</v>
      </c>
      <c r="M97" s="103">
        <f>VLOOKUP($A97,'OI(Value)'!$A$7:$O$306,9,0)</f>
        <v>100</v>
      </c>
      <c r="N97" s="103">
        <f>VLOOKUP($A97,'OI(Value)'!$A$7:$O$306,11,0)</f>
        <v>470</v>
      </c>
      <c r="O97" s="103">
        <f>VLOOKUP($A97,'OI(Value)'!$A$7:$O$306,12,0)</f>
        <v>24</v>
      </c>
      <c r="P97" s="179">
        <f>VLOOKUP(A97,'OI(Value)'!A97:O298,8,0)</f>
        <v>787</v>
      </c>
      <c r="Q97" s="179">
        <f>VLOOKUP(A97,'OI(Value)'!A97:O298,9,0)</f>
        <v>100</v>
      </c>
      <c r="R97" s="179">
        <f>VLOOKUP(A97,'OI(Value)'!A97:O298,11,0)</f>
        <v>470</v>
      </c>
      <c r="S97" s="179">
        <f>VLOOKUP(A97,'OI(Value)'!A97:O298,11,0)</f>
        <v>470</v>
      </c>
    </row>
    <row r="98" spans="1:19" x14ac:dyDescent="0.25">
      <c r="A98" s="105" t="str">
        <f>'Data shares'!C93</f>
        <v>INDIANB</v>
      </c>
      <c r="B98" s="143">
        <f>VLOOKUP($A98,'Data shares'!$C:$FA,118)</f>
        <v>0.41</v>
      </c>
      <c r="C98" s="143">
        <f>VLOOKUP($A98,'Data shares'!$C:$FA,119)</f>
        <v>0.41</v>
      </c>
      <c r="D98" s="143">
        <f>VLOOKUP($A98,'Data shares'!$C:$FA,121)*100</f>
        <v>0</v>
      </c>
      <c r="E98" s="143">
        <f>VLOOKUP($A98,'Data shares'!$C:$FA,124)</f>
        <v>0.36</v>
      </c>
      <c r="F98" s="143">
        <f>VLOOKUP($A98,'Data shares'!$C:$FA,125)</f>
        <v>0.32</v>
      </c>
      <c r="G98" s="143">
        <f>VLOOKUP($A98,'Data shares'!$C:$FA,127)*100</f>
        <v>12.5</v>
      </c>
      <c r="H98" s="103">
        <f>VLOOKUP($A98,'OI(Volume)'!$A$7:$O$427,8)</f>
        <v>12542000</v>
      </c>
      <c r="I98" s="103">
        <f>VLOOKUP($A98,'OI(Volume)'!$A$7:$O$427,9)</f>
        <v>236000</v>
      </c>
      <c r="J98" s="103">
        <f>VLOOKUP($A98,'OI(Volume)'!$A$7:$O$427,11)</f>
        <v>5081000</v>
      </c>
      <c r="K98" s="103">
        <f>VLOOKUP($A98,'OI(Volume)'!$A$7:$O$427,12)</f>
        <v>25000</v>
      </c>
      <c r="L98" s="103">
        <f>VLOOKUP($A98,'OI(Value)'!$A$7:$O$306,8,0)</f>
        <v>974</v>
      </c>
      <c r="M98" s="103">
        <f>VLOOKUP($A98,'OI(Value)'!$A$7:$O$306,9,0)</f>
        <v>18</v>
      </c>
      <c r="N98" s="103">
        <f>VLOOKUP($A98,'OI(Value)'!$A$7:$O$306,11,0)</f>
        <v>394</v>
      </c>
      <c r="O98" s="103">
        <f>VLOOKUP($A98,'OI(Value)'!$A$7:$O$306,12,0)</f>
        <v>2</v>
      </c>
      <c r="P98" s="179">
        <f>VLOOKUP(A98,'OI(Value)'!A98:O299,8,0)</f>
        <v>974</v>
      </c>
      <c r="Q98" s="179">
        <f>VLOOKUP(A98,'OI(Value)'!A98:O299,9,0)</f>
        <v>18</v>
      </c>
      <c r="R98" s="179">
        <f>VLOOKUP(A98,'OI(Value)'!A98:O299,11,0)</f>
        <v>394</v>
      </c>
      <c r="S98" s="179">
        <f>VLOOKUP(A98,'OI(Value)'!A98:O299,11,0)</f>
        <v>394</v>
      </c>
    </row>
    <row r="99" spans="1:19" x14ac:dyDescent="0.25">
      <c r="A99" s="105" t="str">
        <f>'Data shares'!C94</f>
        <v>INDIAVIX</v>
      </c>
      <c r="B99" s="143">
        <f>VLOOKUP($A99,'Data shares'!$C:$FA,118)</f>
        <v>0</v>
      </c>
      <c r="C99" s="143">
        <f>VLOOKUP($A99,'Data shares'!$C:$FA,119)</f>
        <v>0</v>
      </c>
      <c r="D99" s="143">
        <f>VLOOKUP($A99,'Data shares'!$C:$FA,121)*100</f>
        <v>0</v>
      </c>
      <c r="E99" s="143">
        <f>VLOOKUP($A99,'Data shares'!$C:$FA,124)</f>
        <v>0</v>
      </c>
      <c r="F99" s="143">
        <f>VLOOKUP($A99,'Data shares'!$C:$FA,125)</f>
        <v>0</v>
      </c>
      <c r="G99" s="143">
        <f>VLOOKUP($A99,'Data shares'!$C:$FA,127)*100</f>
        <v>0</v>
      </c>
      <c r="H99" s="103">
        <f>VLOOKUP($A99,'OI(Volume)'!$A$7:$O$427,8)</f>
        <v>0</v>
      </c>
      <c r="I99" s="103">
        <f>VLOOKUP($A99,'OI(Volume)'!$A$7:$O$427,9)</f>
        <v>0</v>
      </c>
      <c r="J99" s="103">
        <f>VLOOKUP($A99,'OI(Volume)'!$A$7:$O$427,11)</f>
        <v>0</v>
      </c>
      <c r="K99" s="103">
        <f>VLOOKUP($A99,'OI(Volume)'!$A$7:$O$427,12)</f>
        <v>0</v>
      </c>
      <c r="L99" s="103">
        <f>VLOOKUP($A99,'OI(Value)'!$A$7:$O$306,8,0)</f>
        <v>0</v>
      </c>
      <c r="M99" s="103">
        <f>VLOOKUP($A99,'OI(Value)'!$A$7:$O$306,9,0)</f>
        <v>0</v>
      </c>
      <c r="N99" s="103">
        <f>VLOOKUP($A99,'OI(Value)'!$A$7:$O$306,11,0)</f>
        <v>0</v>
      </c>
      <c r="O99" s="103">
        <f>VLOOKUP($A99,'OI(Value)'!$A$7:$O$306,12,0)</f>
        <v>0</v>
      </c>
      <c r="P99" s="179">
        <f>VLOOKUP(A99,'OI(Value)'!A99:O300,8,0)</f>
        <v>0</v>
      </c>
      <c r="Q99" s="179">
        <f>VLOOKUP(A99,'OI(Value)'!A99:O300,9,0)</f>
        <v>0</v>
      </c>
      <c r="R99" s="179">
        <f>VLOOKUP(A99,'OI(Value)'!A99:O300,11,0)</f>
        <v>0</v>
      </c>
      <c r="S99" s="179">
        <f>VLOOKUP(A99,'OI(Value)'!A99:O300,11,0)</f>
        <v>0</v>
      </c>
    </row>
    <row r="100" spans="1:19" x14ac:dyDescent="0.25">
      <c r="A100" s="105" t="str">
        <f>'Data shares'!C95</f>
        <v>INDIGO</v>
      </c>
      <c r="B100" s="143">
        <f>VLOOKUP($A100,'Data shares'!$C:$FA,118)</f>
        <v>0.48</v>
      </c>
      <c r="C100" s="143">
        <f>VLOOKUP($A100,'Data shares'!$C:$FA,119)</f>
        <v>0.49</v>
      </c>
      <c r="D100" s="143">
        <f>VLOOKUP($A100,'Data shares'!$C:$FA,121)*100</f>
        <v>-2.04</v>
      </c>
      <c r="E100" s="143">
        <f>VLOOKUP($A100,'Data shares'!$C:$FA,124)</f>
        <v>0.51</v>
      </c>
      <c r="F100" s="143">
        <f>VLOOKUP($A100,'Data shares'!$C:$FA,125)</f>
        <v>0.49</v>
      </c>
      <c r="G100" s="143">
        <f>VLOOKUP($A100,'Data shares'!$C:$FA,127)*100</f>
        <v>4.08</v>
      </c>
      <c r="H100" s="103">
        <f>VLOOKUP($A100,'OI(Volume)'!$A$7:$O$427,8)</f>
        <v>17122350</v>
      </c>
      <c r="I100" s="103">
        <f>VLOOKUP($A100,'OI(Volume)'!$A$7:$O$427,9)</f>
        <v>-456000</v>
      </c>
      <c r="J100" s="103">
        <f>VLOOKUP($A100,'OI(Volume)'!$A$7:$O$427,11)</f>
        <v>8243550</v>
      </c>
      <c r="K100" s="103">
        <f>VLOOKUP($A100,'OI(Volume)'!$A$7:$O$427,12)</f>
        <v>-286800</v>
      </c>
      <c r="L100" s="103">
        <f>VLOOKUP($A100,'OI(Value)'!$A$7:$O$306,8,0)</f>
        <v>8534</v>
      </c>
      <c r="M100" s="103">
        <f>VLOOKUP($A100,'OI(Value)'!$A$7:$O$306,9,0)</f>
        <v>-227</v>
      </c>
      <c r="N100" s="103">
        <f>VLOOKUP($A100,'OI(Value)'!$A$7:$O$306,11,0)</f>
        <v>4109</v>
      </c>
      <c r="O100" s="103">
        <f>VLOOKUP($A100,'OI(Value)'!$A$7:$O$306,12,0)</f>
        <v>-143</v>
      </c>
      <c r="P100" s="179">
        <f>VLOOKUP(A100,'OI(Value)'!A100:O301,8,0)</f>
        <v>8534</v>
      </c>
      <c r="Q100" s="179">
        <f>VLOOKUP(A100,'OI(Value)'!A100:O301,9,0)</f>
        <v>-227</v>
      </c>
      <c r="R100" s="179">
        <f>VLOOKUP(A100,'OI(Value)'!A100:O301,11,0)</f>
        <v>4109</v>
      </c>
      <c r="S100" s="179">
        <f>VLOOKUP(A100,'OI(Value)'!A100:O301,11,0)</f>
        <v>4109</v>
      </c>
    </row>
    <row r="101" spans="1:19" x14ac:dyDescent="0.25">
      <c r="A101" s="105" t="str">
        <f>'Data shares'!C96</f>
        <v>INDUSINDBK</v>
      </c>
      <c r="B101" s="143">
        <f>VLOOKUP($A101,'Data shares'!$C:$FA,118)</f>
        <v>0.7</v>
      </c>
      <c r="C101" s="143">
        <f>VLOOKUP($A101,'Data shares'!$C:$FA,119)</f>
        <v>0.69</v>
      </c>
      <c r="D101" s="143">
        <f>VLOOKUP($A101,'Data shares'!$C:$FA,121)*100</f>
        <v>1.4500000000000002</v>
      </c>
      <c r="E101" s="143">
        <f>VLOOKUP($A101,'Data shares'!$C:$FA,124)</f>
        <v>0.88</v>
      </c>
      <c r="F101" s="143">
        <f>VLOOKUP($A101,'Data shares'!$C:$FA,125)</f>
        <v>0.4</v>
      </c>
      <c r="G101" s="143">
        <f>VLOOKUP($A101,'Data shares'!$C:$FA,127)*100</f>
        <v>120</v>
      </c>
      <c r="H101" s="103">
        <f>VLOOKUP($A101,'OI(Volume)'!$A$7:$O$427,8)</f>
        <v>14210000</v>
      </c>
      <c r="I101" s="103">
        <f>VLOOKUP($A101,'OI(Volume)'!$A$7:$O$427,9)</f>
        <v>455700</v>
      </c>
      <c r="J101" s="103">
        <f>VLOOKUP($A101,'OI(Volume)'!$A$7:$O$427,11)</f>
        <v>9935100</v>
      </c>
      <c r="K101" s="103">
        <f>VLOOKUP($A101,'OI(Volume)'!$A$7:$O$427,12)</f>
        <v>375900</v>
      </c>
      <c r="L101" s="103">
        <f>VLOOKUP($A101,'OI(Value)'!$A$7:$O$306,8,0)</f>
        <v>1186</v>
      </c>
      <c r="M101" s="103">
        <f>VLOOKUP($A101,'OI(Value)'!$A$7:$O$306,9,0)</f>
        <v>38</v>
      </c>
      <c r="N101" s="103">
        <f>VLOOKUP($A101,'OI(Value)'!$A$7:$O$306,11,0)</f>
        <v>829</v>
      </c>
      <c r="O101" s="103">
        <f>VLOOKUP($A101,'OI(Value)'!$A$7:$O$306,12,0)</f>
        <v>31</v>
      </c>
      <c r="P101" s="179">
        <f>VLOOKUP(A101,'OI(Value)'!A101:O302,8,0)</f>
        <v>1186</v>
      </c>
      <c r="Q101" s="179">
        <f>VLOOKUP(A101,'OI(Value)'!A101:O302,9,0)</f>
        <v>38</v>
      </c>
      <c r="R101" s="179">
        <f>VLOOKUP(A101,'OI(Value)'!A101:O302,11,0)</f>
        <v>829</v>
      </c>
      <c r="S101" s="179">
        <f>VLOOKUP(A101,'OI(Value)'!A101:O302,11,0)</f>
        <v>829</v>
      </c>
    </row>
    <row r="102" spans="1:19" x14ac:dyDescent="0.25">
      <c r="A102" s="105" t="str">
        <f>'Data shares'!C97</f>
        <v>INDUSTOWER</v>
      </c>
      <c r="B102" s="143">
        <f>VLOOKUP($A102,'Data shares'!$C:$FA,118)</f>
        <v>0.59</v>
      </c>
      <c r="C102" s="143">
        <f>VLOOKUP($A102,'Data shares'!$C:$FA,119)</f>
        <v>0.57999999999999996</v>
      </c>
      <c r="D102" s="143">
        <f>VLOOKUP($A102,'Data shares'!$C:$FA,121)*100</f>
        <v>1.72</v>
      </c>
      <c r="E102" s="143">
        <f>VLOOKUP($A102,'Data shares'!$C:$FA,124)</f>
        <v>0.25</v>
      </c>
      <c r="F102" s="143">
        <f>VLOOKUP($A102,'Data shares'!$C:$FA,125)</f>
        <v>0.37</v>
      </c>
      <c r="G102" s="143">
        <f>VLOOKUP($A102,'Data shares'!$C:$FA,127)*100</f>
        <v>-32.43</v>
      </c>
      <c r="H102" s="103">
        <f>VLOOKUP($A102,'OI(Volume)'!$A$7:$O$427,8)</f>
        <v>26888900</v>
      </c>
      <c r="I102" s="103">
        <f>VLOOKUP($A102,'OI(Volume)'!$A$7:$O$427,9)</f>
        <v>-243100</v>
      </c>
      <c r="J102" s="103">
        <f>VLOOKUP($A102,'OI(Volume)'!$A$7:$O$427,11)</f>
        <v>15793000</v>
      </c>
      <c r="K102" s="103">
        <f>VLOOKUP($A102,'OI(Volume)'!$A$7:$O$427,12)</f>
        <v>153000</v>
      </c>
      <c r="L102" s="103">
        <f>VLOOKUP($A102,'OI(Value)'!$A$7:$O$306,8,0)</f>
        <v>1099</v>
      </c>
      <c r="M102" s="103">
        <f>VLOOKUP($A102,'OI(Value)'!$A$7:$O$306,9,0)</f>
        <v>-10</v>
      </c>
      <c r="N102" s="103">
        <f>VLOOKUP($A102,'OI(Value)'!$A$7:$O$306,11,0)</f>
        <v>645</v>
      </c>
      <c r="O102" s="103">
        <f>VLOOKUP($A102,'OI(Value)'!$A$7:$O$306,12,0)</f>
        <v>6</v>
      </c>
      <c r="P102" s="179">
        <f>VLOOKUP(A102,'OI(Value)'!A102:O303,8,0)</f>
        <v>1099</v>
      </c>
      <c r="Q102" s="179">
        <f>VLOOKUP(A102,'OI(Value)'!A102:O303,9,0)</f>
        <v>-10</v>
      </c>
      <c r="R102" s="179">
        <f>VLOOKUP(A102,'OI(Value)'!A102:O303,11,0)</f>
        <v>645</v>
      </c>
      <c r="S102" s="179">
        <f>VLOOKUP(A102,'OI(Value)'!A102:O303,11,0)</f>
        <v>645</v>
      </c>
    </row>
    <row r="103" spans="1:19" x14ac:dyDescent="0.25">
      <c r="A103" s="105" t="str">
        <f>'Data shares'!C98</f>
        <v>INFY</v>
      </c>
      <c r="B103" s="143">
        <f>VLOOKUP($A103,'Data shares'!$C:$FA,118)</f>
        <v>0.65</v>
      </c>
      <c r="C103" s="143">
        <f>VLOOKUP($A103,'Data shares'!$C:$FA,119)</f>
        <v>0.64</v>
      </c>
      <c r="D103" s="143">
        <f>VLOOKUP($A103,'Data shares'!$C:$FA,121)*100</f>
        <v>1.5599999999999998</v>
      </c>
      <c r="E103" s="143">
        <f>VLOOKUP($A103,'Data shares'!$C:$FA,124)</f>
        <v>0.54</v>
      </c>
      <c r="F103" s="143">
        <f>VLOOKUP($A103,'Data shares'!$C:$FA,125)</f>
        <v>0.62</v>
      </c>
      <c r="G103" s="143">
        <f>VLOOKUP($A103,'Data shares'!$C:$FA,127)*100</f>
        <v>-12.9</v>
      </c>
      <c r="H103" s="103">
        <f>VLOOKUP($A103,'OI(Volume)'!$A$7:$O$427,8)</f>
        <v>27824000</v>
      </c>
      <c r="I103" s="103">
        <f>VLOOKUP($A103,'OI(Volume)'!$A$7:$O$427,9)</f>
        <v>885600</v>
      </c>
      <c r="J103" s="103">
        <f>VLOOKUP($A103,'OI(Volume)'!$A$7:$O$427,11)</f>
        <v>17991600</v>
      </c>
      <c r="K103" s="103">
        <f>VLOOKUP($A103,'OI(Volume)'!$A$7:$O$427,12)</f>
        <v>720800</v>
      </c>
      <c r="L103" s="103">
        <f>VLOOKUP($A103,'OI(Value)'!$A$7:$O$306,8,0)</f>
        <v>4468</v>
      </c>
      <c r="M103" s="103">
        <f>VLOOKUP($A103,'OI(Value)'!$A$7:$O$306,9,0)</f>
        <v>142</v>
      </c>
      <c r="N103" s="103">
        <f>VLOOKUP($A103,'OI(Value)'!$A$7:$O$306,11,0)</f>
        <v>2889</v>
      </c>
      <c r="O103" s="103">
        <f>VLOOKUP($A103,'OI(Value)'!$A$7:$O$306,12,0)</f>
        <v>116</v>
      </c>
      <c r="P103" s="179">
        <f>VLOOKUP(A103,'OI(Value)'!A103:O304,8,0)</f>
        <v>4468</v>
      </c>
      <c r="Q103" s="179">
        <f>VLOOKUP(A103,'OI(Value)'!A103:O304,9,0)</f>
        <v>142</v>
      </c>
      <c r="R103" s="179">
        <f>VLOOKUP(A103,'OI(Value)'!A103:O304,11,0)</f>
        <v>2889</v>
      </c>
      <c r="S103" s="179">
        <f>VLOOKUP(A103,'OI(Value)'!A103:O304,11,0)</f>
        <v>2889</v>
      </c>
    </row>
    <row r="104" spans="1:19" x14ac:dyDescent="0.25">
      <c r="A104" s="105" t="str">
        <f>'Data shares'!C99</f>
        <v>INOXWIND</v>
      </c>
      <c r="B104" s="143">
        <f>VLOOKUP($A104,'Data shares'!$C:$FA,118)</f>
        <v>0.49</v>
      </c>
      <c r="C104" s="143">
        <f>VLOOKUP($A104,'Data shares'!$C:$FA,119)</f>
        <v>0.5</v>
      </c>
      <c r="D104" s="143">
        <f>VLOOKUP($A104,'Data shares'!$C:$FA,121)*100</f>
        <v>-2</v>
      </c>
      <c r="E104" s="143">
        <f>VLOOKUP($A104,'Data shares'!$C:$FA,124)</f>
        <v>0.6</v>
      </c>
      <c r="F104" s="143">
        <f>VLOOKUP($A104,'Data shares'!$C:$FA,125)</f>
        <v>0.5</v>
      </c>
      <c r="G104" s="143">
        <f>VLOOKUP($A104,'Data shares'!$C:$FA,127)*100</f>
        <v>20</v>
      </c>
      <c r="H104" s="103">
        <f>VLOOKUP($A104,'OI(Volume)'!$A$7:$O$427,8)</f>
        <v>46514642</v>
      </c>
      <c r="I104" s="103">
        <f>VLOOKUP($A104,'OI(Volume)'!$A$7:$O$427,9)</f>
        <v>-128940</v>
      </c>
      <c r="J104" s="103">
        <f>VLOOKUP($A104,'OI(Volume)'!$A$7:$O$427,11)</f>
        <v>22714230</v>
      </c>
      <c r="K104" s="103">
        <f>VLOOKUP($A104,'OI(Volume)'!$A$7:$O$427,12)</f>
        <v>-695057</v>
      </c>
      <c r="L104" s="103">
        <f>VLOOKUP($A104,'OI(Value)'!$A$7:$O$306,8,0)</f>
        <v>588</v>
      </c>
      <c r="M104" s="103">
        <f>VLOOKUP($A104,'OI(Value)'!$A$7:$O$306,9,0)</f>
        <v>-2</v>
      </c>
      <c r="N104" s="103">
        <f>VLOOKUP($A104,'OI(Value)'!$A$7:$O$306,11,0)</f>
        <v>287</v>
      </c>
      <c r="O104" s="103">
        <f>VLOOKUP($A104,'OI(Value)'!$A$7:$O$306,12,0)</f>
        <v>-9</v>
      </c>
      <c r="P104" s="179">
        <f>VLOOKUP(A104,'OI(Value)'!A104:O305,8,0)</f>
        <v>588</v>
      </c>
      <c r="Q104" s="179">
        <f>VLOOKUP(A104,'OI(Value)'!A104:O305,9,0)</f>
        <v>-2</v>
      </c>
      <c r="R104" s="179">
        <f>VLOOKUP(A104,'OI(Value)'!A104:O305,11,0)</f>
        <v>287</v>
      </c>
      <c r="S104" s="179">
        <f>VLOOKUP(A104,'OI(Value)'!A104:O305,11,0)</f>
        <v>287</v>
      </c>
    </row>
    <row r="105" spans="1:19" x14ac:dyDescent="0.25">
      <c r="A105" s="105" t="str">
        <f>'Data shares'!C100</f>
        <v>IOC</v>
      </c>
      <c r="B105" s="143">
        <f>VLOOKUP($A105,'Data shares'!$C:$FA,118)</f>
        <v>0.66</v>
      </c>
      <c r="C105" s="143">
        <f>VLOOKUP($A105,'Data shares'!$C:$FA,119)</f>
        <v>0.57999999999999996</v>
      </c>
      <c r="D105" s="143">
        <f>VLOOKUP($A105,'Data shares'!$C:$FA,121)*100</f>
        <v>13.79</v>
      </c>
      <c r="E105" s="143">
        <f>VLOOKUP($A105,'Data shares'!$C:$FA,124)</f>
        <v>0.57999999999999996</v>
      </c>
      <c r="F105" s="143">
        <f>VLOOKUP($A105,'Data shares'!$C:$FA,125)</f>
        <v>0.49</v>
      </c>
      <c r="G105" s="143">
        <f>VLOOKUP($A105,'Data shares'!$C:$FA,127)*100</f>
        <v>18.37</v>
      </c>
      <c r="H105" s="103">
        <f>VLOOKUP($A105,'OI(Volume)'!$A$7:$O$427,8)</f>
        <v>63194625</v>
      </c>
      <c r="I105" s="103">
        <f>VLOOKUP($A105,'OI(Volume)'!$A$7:$O$427,9)</f>
        <v>-2457000</v>
      </c>
      <c r="J105" s="103">
        <f>VLOOKUP($A105,'OI(Volume)'!$A$7:$O$427,11)</f>
        <v>41788500</v>
      </c>
      <c r="K105" s="103">
        <f>VLOOKUP($A105,'OI(Volume)'!$A$7:$O$427,12)</f>
        <v>3607500</v>
      </c>
      <c r="L105" s="103">
        <f>VLOOKUP($A105,'OI(Value)'!$A$7:$O$306,8,0)</f>
        <v>1066</v>
      </c>
      <c r="M105" s="103">
        <f>VLOOKUP($A105,'OI(Value)'!$A$7:$O$306,9,0)</f>
        <v>-41</v>
      </c>
      <c r="N105" s="103">
        <f>VLOOKUP($A105,'OI(Value)'!$A$7:$O$306,11,0)</f>
        <v>705</v>
      </c>
      <c r="O105" s="103">
        <f>VLOOKUP($A105,'OI(Value)'!$A$7:$O$306,12,0)</f>
        <v>61</v>
      </c>
      <c r="P105" s="179">
        <f>VLOOKUP(A105,'OI(Value)'!A105:O306,8,0)</f>
        <v>1066</v>
      </c>
      <c r="Q105" s="179">
        <f>VLOOKUP(A105,'OI(Value)'!A105:O306,9,0)</f>
        <v>-41</v>
      </c>
      <c r="R105" s="179">
        <f>VLOOKUP(A105,'OI(Value)'!A105:O306,11,0)</f>
        <v>705</v>
      </c>
      <c r="S105" s="179">
        <f>VLOOKUP(A105,'OI(Value)'!A105:O306,11,0)</f>
        <v>705</v>
      </c>
    </row>
    <row r="106" spans="1:19" x14ac:dyDescent="0.25">
      <c r="A106" s="105" t="str">
        <f>'Data shares'!C101</f>
        <v>IRCTC</v>
      </c>
      <c r="B106" s="143">
        <f>VLOOKUP($A106,'Data shares'!$C:$FA,118)</f>
        <v>0.7</v>
      </c>
      <c r="C106" s="143">
        <f>VLOOKUP($A106,'Data shares'!$C:$FA,119)</f>
        <v>0.67</v>
      </c>
      <c r="D106" s="143">
        <f>VLOOKUP($A106,'Data shares'!$C:$FA,121)*100</f>
        <v>4.4799999999999995</v>
      </c>
      <c r="E106" s="143">
        <f>VLOOKUP($A106,'Data shares'!$C:$FA,124)</f>
        <v>0.63</v>
      </c>
      <c r="F106" s="143">
        <f>VLOOKUP($A106,'Data shares'!$C:$FA,125)</f>
        <v>0.38</v>
      </c>
      <c r="G106" s="143">
        <f>VLOOKUP($A106,'Data shares'!$C:$FA,127)*100</f>
        <v>65.790000000000006</v>
      </c>
      <c r="H106" s="103">
        <f>VLOOKUP($A106,'OI(Volume)'!$A$7:$O$427,8)</f>
        <v>10379250</v>
      </c>
      <c r="I106" s="103">
        <f>VLOOKUP($A106,'OI(Volume)'!$A$7:$O$427,9)</f>
        <v>70875</v>
      </c>
      <c r="J106" s="103">
        <f>VLOOKUP($A106,'OI(Volume)'!$A$7:$O$427,11)</f>
        <v>7305375</v>
      </c>
      <c r="K106" s="103">
        <f>VLOOKUP($A106,'OI(Volume)'!$A$7:$O$427,12)</f>
        <v>351750</v>
      </c>
      <c r="L106" s="103">
        <f>VLOOKUP($A106,'OI(Value)'!$A$7:$O$306,8,0)</f>
        <v>693</v>
      </c>
      <c r="M106" s="103">
        <f>VLOOKUP($A106,'OI(Value)'!$A$7:$O$306,9,0)</f>
        <v>5</v>
      </c>
      <c r="N106" s="103">
        <f>VLOOKUP($A106,'OI(Value)'!$A$7:$O$306,11,0)</f>
        <v>487</v>
      </c>
      <c r="O106" s="103">
        <f>VLOOKUP($A106,'OI(Value)'!$A$7:$O$306,12,0)</f>
        <v>23</v>
      </c>
      <c r="P106" s="179">
        <f>VLOOKUP(A106,'OI(Value)'!A106:O307,8,0)</f>
        <v>693</v>
      </c>
      <c r="Q106" s="179">
        <f>VLOOKUP(A106,'OI(Value)'!A106:O307,9,0)</f>
        <v>5</v>
      </c>
      <c r="R106" s="179">
        <f>VLOOKUP(A106,'OI(Value)'!A106:O307,11,0)</f>
        <v>487</v>
      </c>
      <c r="S106" s="179">
        <f>VLOOKUP(A106,'OI(Value)'!A106:O307,11,0)</f>
        <v>487</v>
      </c>
    </row>
    <row r="107" spans="1:19" x14ac:dyDescent="0.25">
      <c r="A107" s="105" t="str">
        <f>'Data shares'!C102</f>
        <v>IREDA</v>
      </c>
      <c r="B107" s="143">
        <f>VLOOKUP($A107,'Data shares'!$C:$FA,118)</f>
        <v>0.5</v>
      </c>
      <c r="C107" s="143">
        <f>VLOOKUP($A107,'Data shares'!$C:$FA,119)</f>
        <v>0.49</v>
      </c>
      <c r="D107" s="143">
        <f>VLOOKUP($A107,'Data shares'!$C:$FA,121)*100</f>
        <v>2.04</v>
      </c>
      <c r="E107" s="143">
        <f>VLOOKUP($A107,'Data shares'!$C:$FA,124)</f>
        <v>0.32</v>
      </c>
      <c r="F107" s="143">
        <f>VLOOKUP($A107,'Data shares'!$C:$FA,125)</f>
        <v>0.25</v>
      </c>
      <c r="G107" s="143">
        <f>VLOOKUP($A107,'Data shares'!$C:$FA,127)*100</f>
        <v>28.000000000000004</v>
      </c>
      <c r="H107" s="103">
        <f>VLOOKUP($A107,'OI(Volume)'!$A$7:$O$427,8)</f>
        <v>38522700</v>
      </c>
      <c r="I107" s="103">
        <f>VLOOKUP($A107,'OI(Volume)'!$A$7:$O$427,9)</f>
        <v>679650</v>
      </c>
      <c r="J107" s="103">
        <f>VLOOKUP($A107,'OI(Volume)'!$A$7:$O$427,11)</f>
        <v>19275150</v>
      </c>
      <c r="K107" s="103">
        <f>VLOOKUP($A107,'OI(Volume)'!$A$7:$O$427,12)</f>
        <v>803850</v>
      </c>
      <c r="L107" s="103">
        <f>VLOOKUP($A107,'OI(Value)'!$A$7:$O$306,8,0)</f>
        <v>505</v>
      </c>
      <c r="M107" s="103">
        <f>VLOOKUP($A107,'OI(Value)'!$A$7:$O$306,9,0)</f>
        <v>9</v>
      </c>
      <c r="N107" s="103">
        <f>VLOOKUP($A107,'OI(Value)'!$A$7:$O$306,11,0)</f>
        <v>253</v>
      </c>
      <c r="O107" s="103">
        <f>VLOOKUP($A107,'OI(Value)'!$A$7:$O$306,12,0)</f>
        <v>11</v>
      </c>
      <c r="P107" s="179">
        <f>VLOOKUP(A107,'OI(Value)'!A107:O308,8,0)</f>
        <v>505</v>
      </c>
      <c r="Q107" s="179">
        <f>VLOOKUP(A107,'OI(Value)'!A107:O308,9,0)</f>
        <v>9</v>
      </c>
      <c r="R107" s="179">
        <f>VLOOKUP(A107,'OI(Value)'!A107:O308,11,0)</f>
        <v>253</v>
      </c>
      <c r="S107" s="179">
        <f>VLOOKUP(A107,'OI(Value)'!A107:O308,11,0)</f>
        <v>253</v>
      </c>
    </row>
    <row r="108" spans="1:19" x14ac:dyDescent="0.25">
      <c r="A108" s="105" t="str">
        <f>'Data shares'!C103</f>
        <v>IRFC</v>
      </c>
      <c r="B108" s="143">
        <f>VLOOKUP($A108,'Data shares'!$C:$FA,118)</f>
        <v>0.48</v>
      </c>
      <c r="C108" s="143">
        <f>VLOOKUP($A108,'Data shares'!$C:$FA,119)</f>
        <v>0.47</v>
      </c>
      <c r="D108" s="143">
        <f>VLOOKUP($A108,'Data shares'!$C:$FA,121)*100</f>
        <v>2.13</v>
      </c>
      <c r="E108" s="143">
        <f>VLOOKUP($A108,'Data shares'!$C:$FA,124)</f>
        <v>0.42</v>
      </c>
      <c r="F108" s="143">
        <f>VLOOKUP($A108,'Data shares'!$C:$FA,125)</f>
        <v>0.46</v>
      </c>
      <c r="G108" s="143">
        <f>VLOOKUP($A108,'Data shares'!$C:$FA,127)*100</f>
        <v>-8.6999999999999993</v>
      </c>
      <c r="H108" s="103">
        <f>VLOOKUP($A108,'OI(Volume)'!$A$7:$O$427,8)</f>
        <v>43996000</v>
      </c>
      <c r="I108" s="103">
        <f>VLOOKUP($A108,'OI(Volume)'!$A$7:$O$427,9)</f>
        <v>263500</v>
      </c>
      <c r="J108" s="103">
        <f>VLOOKUP($A108,'OI(Volume)'!$A$7:$O$427,11)</f>
        <v>20965250</v>
      </c>
      <c r="K108" s="103">
        <f>VLOOKUP($A108,'OI(Volume)'!$A$7:$O$427,12)</f>
        <v>501500</v>
      </c>
      <c r="L108" s="103">
        <f>VLOOKUP($A108,'OI(Value)'!$A$7:$O$306,8,0)</f>
        <v>489</v>
      </c>
      <c r="M108" s="103">
        <f>VLOOKUP($A108,'OI(Value)'!$A$7:$O$306,9,0)</f>
        <v>3</v>
      </c>
      <c r="N108" s="103">
        <f>VLOOKUP($A108,'OI(Value)'!$A$7:$O$306,11,0)</f>
        <v>233</v>
      </c>
      <c r="O108" s="103">
        <f>VLOOKUP($A108,'OI(Value)'!$A$7:$O$306,12,0)</f>
        <v>6</v>
      </c>
      <c r="P108" s="179">
        <f>VLOOKUP(A108,'OI(Value)'!A108:O309,8,0)</f>
        <v>489</v>
      </c>
      <c r="Q108" s="179">
        <f>VLOOKUP(A108,'OI(Value)'!A108:O309,9,0)</f>
        <v>3</v>
      </c>
      <c r="R108" s="179">
        <f>VLOOKUP(A108,'OI(Value)'!A108:O309,11,0)</f>
        <v>233</v>
      </c>
      <c r="S108" s="179">
        <f>VLOOKUP(A108,'OI(Value)'!A108:O309,11,0)</f>
        <v>233</v>
      </c>
    </row>
    <row r="109" spans="1:19" x14ac:dyDescent="0.25">
      <c r="A109" s="105" t="str">
        <f>'Data shares'!C104</f>
        <v>ITC</v>
      </c>
      <c r="B109" s="143">
        <f>VLOOKUP($A109,'Data shares'!$C:$FA,118)</f>
        <v>0.62</v>
      </c>
      <c r="C109" s="143">
        <f>VLOOKUP($A109,'Data shares'!$C:$FA,119)</f>
        <v>0.64</v>
      </c>
      <c r="D109" s="143">
        <f>VLOOKUP($A109,'Data shares'!$C:$FA,121)*100</f>
        <v>-3.1300000000000003</v>
      </c>
      <c r="E109" s="143">
        <f>VLOOKUP($A109,'Data shares'!$C:$FA,124)</f>
        <v>0.48</v>
      </c>
      <c r="F109" s="143">
        <f>VLOOKUP($A109,'Data shares'!$C:$FA,125)</f>
        <v>0.61</v>
      </c>
      <c r="G109" s="143">
        <f>VLOOKUP($A109,'Data shares'!$C:$FA,127)*100</f>
        <v>-21.310000000000002</v>
      </c>
      <c r="H109" s="103">
        <f>VLOOKUP($A109,'OI(Volume)'!$A$7:$O$427,8)</f>
        <v>63188800</v>
      </c>
      <c r="I109" s="103">
        <f>VLOOKUP($A109,'OI(Volume)'!$A$7:$O$427,9)</f>
        <v>2556800</v>
      </c>
      <c r="J109" s="103">
        <f>VLOOKUP($A109,'OI(Volume)'!$A$7:$O$427,11)</f>
        <v>39073600</v>
      </c>
      <c r="K109" s="103">
        <f>VLOOKUP($A109,'OI(Volume)'!$A$7:$O$427,12)</f>
        <v>353600</v>
      </c>
      <c r="L109" s="103">
        <f>VLOOKUP($A109,'OI(Value)'!$A$7:$O$306,8,0)</f>
        <v>2534</v>
      </c>
      <c r="M109" s="103">
        <f>VLOOKUP($A109,'OI(Value)'!$A$7:$O$306,9,0)</f>
        <v>103</v>
      </c>
      <c r="N109" s="103">
        <f>VLOOKUP($A109,'OI(Value)'!$A$7:$O$306,11,0)</f>
        <v>1567</v>
      </c>
      <c r="O109" s="103">
        <f>VLOOKUP($A109,'OI(Value)'!$A$7:$O$306,12,0)</f>
        <v>14</v>
      </c>
      <c r="P109" s="179">
        <f>VLOOKUP(A109,'OI(Value)'!A109:O310,8,0)</f>
        <v>2534</v>
      </c>
      <c r="Q109" s="179">
        <f>VLOOKUP(A109,'OI(Value)'!A109:O310,9,0)</f>
        <v>103</v>
      </c>
      <c r="R109" s="179">
        <f>VLOOKUP(A109,'OI(Value)'!A109:O310,11,0)</f>
        <v>1567</v>
      </c>
      <c r="S109" s="179">
        <f>VLOOKUP(A109,'OI(Value)'!A109:O310,11,0)</f>
        <v>1567</v>
      </c>
    </row>
    <row r="110" spans="1:19" x14ac:dyDescent="0.25">
      <c r="A110" s="105" t="str">
        <f>'Data shares'!C105</f>
        <v>JINDALSTEL</v>
      </c>
      <c r="B110" s="143">
        <f>VLOOKUP($A110,'Data shares'!$C:$FA,118)</f>
        <v>0.6</v>
      </c>
      <c r="C110" s="143">
        <f>VLOOKUP($A110,'Data shares'!$C:$FA,119)</f>
        <v>0.62</v>
      </c>
      <c r="D110" s="143">
        <f>VLOOKUP($A110,'Data shares'!$C:$FA,121)*100</f>
        <v>-3.2300000000000004</v>
      </c>
      <c r="E110" s="143">
        <f>VLOOKUP($A110,'Data shares'!$C:$FA,124)</f>
        <v>0.55000000000000004</v>
      </c>
      <c r="F110" s="143">
        <f>VLOOKUP($A110,'Data shares'!$C:$FA,125)</f>
        <v>0.83</v>
      </c>
      <c r="G110" s="143">
        <f>VLOOKUP($A110,'Data shares'!$C:$FA,127)*100</f>
        <v>-33.729999999999997</v>
      </c>
      <c r="H110" s="103">
        <f>VLOOKUP($A110,'OI(Volume)'!$A$7:$O$427,8)</f>
        <v>5899375</v>
      </c>
      <c r="I110" s="103">
        <f>VLOOKUP($A110,'OI(Volume)'!$A$7:$O$427,9)</f>
        <v>193125</v>
      </c>
      <c r="J110" s="103">
        <f>VLOOKUP($A110,'OI(Volume)'!$A$7:$O$427,11)</f>
        <v>3523125</v>
      </c>
      <c r="K110" s="103">
        <f>VLOOKUP($A110,'OI(Volume)'!$A$7:$O$427,12)</f>
        <v>8750</v>
      </c>
      <c r="L110" s="103">
        <f>VLOOKUP($A110,'OI(Value)'!$A$7:$O$306,8,0)</f>
        <v>592</v>
      </c>
      <c r="M110" s="103">
        <f>VLOOKUP($A110,'OI(Value)'!$A$7:$O$306,9,0)</f>
        <v>19</v>
      </c>
      <c r="N110" s="103">
        <f>VLOOKUP($A110,'OI(Value)'!$A$7:$O$306,11,0)</f>
        <v>354</v>
      </c>
      <c r="O110" s="103">
        <f>VLOOKUP($A110,'OI(Value)'!$A$7:$O$306,12,0)</f>
        <v>1</v>
      </c>
      <c r="P110" s="179">
        <f>VLOOKUP(A110,'OI(Value)'!A110:O311,8,0)</f>
        <v>592</v>
      </c>
      <c r="Q110" s="179">
        <f>VLOOKUP(A110,'OI(Value)'!A110:O311,9,0)</f>
        <v>19</v>
      </c>
      <c r="R110" s="179">
        <f>VLOOKUP(A110,'OI(Value)'!A110:O311,11,0)</f>
        <v>354</v>
      </c>
      <c r="S110" s="179">
        <f>VLOOKUP(A110,'OI(Value)'!A110:O311,11,0)</f>
        <v>354</v>
      </c>
    </row>
    <row r="111" spans="1:19" x14ac:dyDescent="0.25">
      <c r="A111" s="105" t="str">
        <f>'Data shares'!C106</f>
        <v>JIOFIN</v>
      </c>
      <c r="B111" s="143">
        <f>VLOOKUP($A111,'Data shares'!$C:$FA,118)</f>
        <v>0.68</v>
      </c>
      <c r="C111" s="143">
        <f>VLOOKUP($A111,'Data shares'!$C:$FA,119)</f>
        <v>0.7</v>
      </c>
      <c r="D111" s="143">
        <f>VLOOKUP($A111,'Data shares'!$C:$FA,121)*100</f>
        <v>-2.86</v>
      </c>
      <c r="E111" s="143">
        <f>VLOOKUP($A111,'Data shares'!$C:$FA,124)</f>
        <v>0.36</v>
      </c>
      <c r="F111" s="143">
        <f>VLOOKUP($A111,'Data shares'!$C:$FA,125)</f>
        <v>0.42</v>
      </c>
      <c r="G111" s="143">
        <f>VLOOKUP($A111,'Data shares'!$C:$FA,127)*100</f>
        <v>-14.29</v>
      </c>
      <c r="H111" s="103">
        <f>VLOOKUP($A111,'OI(Volume)'!$A$7:$O$427,8)</f>
        <v>68631750</v>
      </c>
      <c r="I111" s="103">
        <f>VLOOKUP($A111,'OI(Volume)'!$A$7:$O$427,9)</f>
        <v>2093850</v>
      </c>
      <c r="J111" s="103">
        <f>VLOOKUP($A111,'OI(Volume)'!$A$7:$O$427,11)</f>
        <v>46675700</v>
      </c>
      <c r="K111" s="103">
        <f>VLOOKUP($A111,'OI(Volume)'!$A$7:$O$427,12)</f>
        <v>7050</v>
      </c>
      <c r="L111" s="103">
        <f>VLOOKUP($A111,'OI(Value)'!$A$7:$O$306,8,0)</f>
        <v>2016</v>
      </c>
      <c r="M111" s="103">
        <f>VLOOKUP($A111,'OI(Value)'!$A$7:$O$306,9,0)</f>
        <v>61</v>
      </c>
      <c r="N111" s="103">
        <f>VLOOKUP($A111,'OI(Value)'!$A$7:$O$306,11,0)</f>
        <v>1371</v>
      </c>
      <c r="O111" s="103">
        <f>VLOOKUP($A111,'OI(Value)'!$A$7:$O$306,12,0)</f>
        <v>0</v>
      </c>
      <c r="P111" s="179">
        <f>VLOOKUP(A111,'OI(Value)'!A111:O312,8,0)</f>
        <v>2016</v>
      </c>
      <c r="Q111" s="179">
        <f>VLOOKUP(A111,'OI(Value)'!A111:O312,9,0)</f>
        <v>61</v>
      </c>
      <c r="R111" s="179">
        <f>VLOOKUP(A111,'OI(Value)'!A111:O312,11,0)</f>
        <v>1371</v>
      </c>
      <c r="S111" s="179">
        <f>VLOOKUP(A111,'OI(Value)'!A111:O312,11,0)</f>
        <v>1371</v>
      </c>
    </row>
    <row r="112" spans="1:19" x14ac:dyDescent="0.25">
      <c r="A112" s="105" t="str">
        <f>'Data shares'!C107</f>
        <v>JSWENERGY</v>
      </c>
      <c r="B112" s="143">
        <f>VLOOKUP($A112,'Data shares'!$C:$FA,118)</f>
        <v>0.68</v>
      </c>
      <c r="C112" s="143">
        <f>VLOOKUP($A112,'Data shares'!$C:$FA,119)</f>
        <v>0.68</v>
      </c>
      <c r="D112" s="143">
        <f>VLOOKUP($A112,'Data shares'!$C:$FA,121)*100</f>
        <v>0</v>
      </c>
      <c r="E112" s="143">
        <f>VLOOKUP($A112,'Data shares'!$C:$FA,124)</f>
        <v>0.6</v>
      </c>
      <c r="F112" s="143">
        <f>VLOOKUP($A112,'Data shares'!$C:$FA,125)</f>
        <v>0.76</v>
      </c>
      <c r="G112" s="143">
        <f>VLOOKUP($A112,'Data shares'!$C:$FA,127)*100</f>
        <v>-21.05</v>
      </c>
      <c r="H112" s="103">
        <f>VLOOKUP($A112,'OI(Volume)'!$A$7:$O$427,8)</f>
        <v>15713000</v>
      </c>
      <c r="I112" s="103">
        <f>VLOOKUP($A112,'OI(Volume)'!$A$7:$O$427,9)</f>
        <v>-24000</v>
      </c>
      <c r="J112" s="103">
        <f>VLOOKUP($A112,'OI(Volume)'!$A$7:$O$427,11)</f>
        <v>10722000</v>
      </c>
      <c r="K112" s="103">
        <f>VLOOKUP($A112,'OI(Volume)'!$A$7:$O$427,12)</f>
        <v>-19000</v>
      </c>
      <c r="L112" s="103">
        <f>VLOOKUP($A112,'OI(Value)'!$A$7:$O$306,8,0)</f>
        <v>748</v>
      </c>
      <c r="M112" s="103">
        <f>VLOOKUP($A112,'OI(Value)'!$A$7:$O$306,9,0)</f>
        <v>-1</v>
      </c>
      <c r="N112" s="103">
        <f>VLOOKUP($A112,'OI(Value)'!$A$7:$O$306,11,0)</f>
        <v>510</v>
      </c>
      <c r="O112" s="103">
        <f>VLOOKUP($A112,'OI(Value)'!$A$7:$O$306,12,0)</f>
        <v>-1</v>
      </c>
      <c r="P112" s="179">
        <f>VLOOKUP(A112,'OI(Value)'!A112:O313,8,0)</f>
        <v>748</v>
      </c>
      <c r="Q112" s="179">
        <f>VLOOKUP(A112,'OI(Value)'!A112:O313,9,0)</f>
        <v>-1</v>
      </c>
      <c r="R112" s="179">
        <f>VLOOKUP(A112,'OI(Value)'!A112:O313,11,0)</f>
        <v>510</v>
      </c>
      <c r="S112" s="179">
        <f>VLOOKUP(A112,'OI(Value)'!A112:O313,11,0)</f>
        <v>510</v>
      </c>
    </row>
    <row r="113" spans="1:19" x14ac:dyDescent="0.25">
      <c r="A113" s="105" t="str">
        <f>'Data shares'!C108</f>
        <v>JSWSTEEL</v>
      </c>
      <c r="B113" s="143">
        <f>VLOOKUP($A113,'Data shares'!$C:$FA,118)</f>
        <v>0.51</v>
      </c>
      <c r="C113" s="143">
        <f>VLOOKUP($A113,'Data shares'!$C:$FA,119)</f>
        <v>0.53</v>
      </c>
      <c r="D113" s="143">
        <f>VLOOKUP($A113,'Data shares'!$C:$FA,121)*100</f>
        <v>-3.7699999999999996</v>
      </c>
      <c r="E113" s="143">
        <f>VLOOKUP($A113,'Data shares'!$C:$FA,124)</f>
        <v>0.37</v>
      </c>
      <c r="F113" s="143">
        <f>VLOOKUP($A113,'Data shares'!$C:$FA,125)</f>
        <v>0.54</v>
      </c>
      <c r="G113" s="143">
        <f>VLOOKUP($A113,'Data shares'!$C:$FA,127)*100</f>
        <v>-31.480000000000004</v>
      </c>
      <c r="H113" s="103">
        <f>VLOOKUP($A113,'OI(Volume)'!$A$7:$O$427,8)</f>
        <v>20433600</v>
      </c>
      <c r="I113" s="103">
        <f>VLOOKUP($A113,'OI(Volume)'!$A$7:$O$427,9)</f>
        <v>494100</v>
      </c>
      <c r="J113" s="103">
        <f>VLOOKUP($A113,'OI(Volume)'!$A$7:$O$427,11)</f>
        <v>10351800</v>
      </c>
      <c r="K113" s="103">
        <f>VLOOKUP($A113,'OI(Volume)'!$A$7:$O$427,12)</f>
        <v>-208575</v>
      </c>
      <c r="L113" s="103">
        <f>VLOOKUP($A113,'OI(Value)'!$A$7:$O$306,8,0)</f>
        <v>2213</v>
      </c>
      <c r="M113" s="103">
        <f>VLOOKUP($A113,'OI(Value)'!$A$7:$O$306,9,0)</f>
        <v>54</v>
      </c>
      <c r="N113" s="103">
        <f>VLOOKUP($A113,'OI(Value)'!$A$7:$O$306,11,0)</f>
        <v>1121</v>
      </c>
      <c r="O113" s="103">
        <f>VLOOKUP($A113,'OI(Value)'!$A$7:$O$306,12,0)</f>
        <v>-23</v>
      </c>
      <c r="P113" s="179">
        <f>VLOOKUP(A113,'OI(Value)'!A113:O314,8,0)</f>
        <v>2213</v>
      </c>
      <c r="Q113" s="179">
        <f>VLOOKUP(A113,'OI(Value)'!A113:O314,9,0)</f>
        <v>54</v>
      </c>
      <c r="R113" s="179">
        <f>VLOOKUP(A113,'OI(Value)'!A113:O314,11,0)</f>
        <v>1121</v>
      </c>
      <c r="S113" s="179">
        <f>VLOOKUP(A113,'OI(Value)'!A113:O314,11,0)</f>
        <v>1121</v>
      </c>
    </row>
    <row r="114" spans="1:19" x14ac:dyDescent="0.25">
      <c r="A114" s="105" t="str">
        <f>'Data shares'!C109</f>
        <v>JUBLFOOD</v>
      </c>
      <c r="B114" s="143">
        <f>VLOOKUP($A114,'Data shares'!$C:$FA,118)</f>
        <v>0.56000000000000005</v>
      </c>
      <c r="C114" s="143">
        <f>VLOOKUP($A114,'Data shares'!$C:$FA,119)</f>
        <v>0.61</v>
      </c>
      <c r="D114" s="143">
        <f>VLOOKUP($A114,'Data shares'!$C:$FA,121)*100</f>
        <v>-8.2000000000000011</v>
      </c>
      <c r="E114" s="143">
        <f>VLOOKUP($A114,'Data shares'!$C:$FA,124)</f>
        <v>0.63</v>
      </c>
      <c r="F114" s="143">
        <f>VLOOKUP($A114,'Data shares'!$C:$FA,125)</f>
        <v>0.66</v>
      </c>
      <c r="G114" s="143">
        <f>VLOOKUP($A114,'Data shares'!$C:$FA,127)*100</f>
        <v>-4.55</v>
      </c>
      <c r="H114" s="103">
        <f>VLOOKUP($A114,'OI(Volume)'!$A$7:$O$427,8)</f>
        <v>14525000</v>
      </c>
      <c r="I114" s="103">
        <f>VLOOKUP($A114,'OI(Volume)'!$A$7:$O$427,9)</f>
        <v>1630000</v>
      </c>
      <c r="J114" s="103">
        <f>VLOOKUP($A114,'OI(Volume)'!$A$7:$O$427,11)</f>
        <v>8148750</v>
      </c>
      <c r="K114" s="103">
        <f>VLOOKUP($A114,'OI(Volume)'!$A$7:$O$427,12)</f>
        <v>333750</v>
      </c>
      <c r="L114" s="103">
        <f>VLOOKUP($A114,'OI(Value)'!$A$7:$O$306,8,0)</f>
        <v>806</v>
      </c>
      <c r="M114" s="103">
        <f>VLOOKUP($A114,'OI(Value)'!$A$7:$O$306,9,0)</f>
        <v>90</v>
      </c>
      <c r="N114" s="103">
        <f>VLOOKUP($A114,'OI(Value)'!$A$7:$O$306,11,0)</f>
        <v>452</v>
      </c>
      <c r="O114" s="103">
        <f>VLOOKUP($A114,'OI(Value)'!$A$7:$O$306,12,0)</f>
        <v>19</v>
      </c>
      <c r="P114" s="179">
        <f>VLOOKUP(A114,'OI(Value)'!A114:O315,8,0)</f>
        <v>806</v>
      </c>
      <c r="Q114" s="179">
        <f>VLOOKUP(A114,'OI(Value)'!A114:O315,9,0)</f>
        <v>90</v>
      </c>
      <c r="R114" s="179">
        <f>VLOOKUP(A114,'OI(Value)'!A114:O315,11,0)</f>
        <v>452</v>
      </c>
      <c r="S114" s="179">
        <f>VLOOKUP(A114,'OI(Value)'!A114:O315,11,0)</f>
        <v>452</v>
      </c>
    </row>
    <row r="115" spans="1:19" x14ac:dyDescent="0.25">
      <c r="A115" s="105" t="str">
        <f>'Data shares'!C110</f>
        <v>KALYANKJIL</v>
      </c>
      <c r="B115" s="143">
        <f>VLOOKUP($A115,'Data shares'!$C:$FA,118)</f>
        <v>0.55000000000000004</v>
      </c>
      <c r="C115" s="143">
        <f>VLOOKUP($A115,'Data shares'!$C:$FA,119)</f>
        <v>0.59</v>
      </c>
      <c r="D115" s="143">
        <f>VLOOKUP($A115,'Data shares'!$C:$FA,121)*100</f>
        <v>-6.78</v>
      </c>
      <c r="E115" s="143">
        <f>VLOOKUP($A115,'Data shares'!$C:$FA,124)</f>
        <v>0.55000000000000004</v>
      </c>
      <c r="F115" s="143">
        <f>VLOOKUP($A115,'Data shares'!$C:$FA,125)</f>
        <v>0.31</v>
      </c>
      <c r="G115" s="143">
        <f>VLOOKUP($A115,'Data shares'!$C:$FA,127)*100</f>
        <v>77.42</v>
      </c>
      <c r="H115" s="103">
        <f>VLOOKUP($A115,'OI(Volume)'!$A$7:$O$427,8)</f>
        <v>11475050</v>
      </c>
      <c r="I115" s="103">
        <f>VLOOKUP($A115,'OI(Volume)'!$A$7:$O$427,9)</f>
        <v>521700</v>
      </c>
      <c r="J115" s="103">
        <f>VLOOKUP($A115,'OI(Volume)'!$A$7:$O$427,11)</f>
        <v>6319150</v>
      </c>
      <c r="K115" s="103">
        <f>VLOOKUP($A115,'OI(Volume)'!$A$7:$O$427,12)</f>
        <v>-106925</v>
      </c>
      <c r="L115" s="103">
        <f>VLOOKUP($A115,'OI(Value)'!$A$7:$O$306,8,0)</f>
        <v>545</v>
      </c>
      <c r="M115" s="103">
        <f>VLOOKUP($A115,'OI(Value)'!$A$7:$O$306,9,0)</f>
        <v>25</v>
      </c>
      <c r="N115" s="103">
        <f>VLOOKUP($A115,'OI(Value)'!$A$7:$O$306,11,0)</f>
        <v>300</v>
      </c>
      <c r="O115" s="103">
        <f>VLOOKUP($A115,'OI(Value)'!$A$7:$O$306,12,0)</f>
        <v>-5</v>
      </c>
      <c r="P115" s="179">
        <f>VLOOKUP(A115,'OI(Value)'!A115:O316,8,0)</f>
        <v>545</v>
      </c>
      <c r="Q115" s="179">
        <f>VLOOKUP(A115,'OI(Value)'!A115:O316,9,0)</f>
        <v>25</v>
      </c>
      <c r="R115" s="179">
        <f>VLOOKUP(A115,'OI(Value)'!A115:O316,11,0)</f>
        <v>300</v>
      </c>
      <c r="S115" s="179">
        <f>VLOOKUP(A115,'OI(Value)'!A115:O316,11,0)</f>
        <v>300</v>
      </c>
    </row>
    <row r="116" spans="1:19" x14ac:dyDescent="0.25">
      <c r="A116" s="105" t="str">
        <f>'Data shares'!C111</f>
        <v>KAYNES</v>
      </c>
      <c r="B116" s="143">
        <f>VLOOKUP($A116,'Data shares'!$C:$FA,118)</f>
        <v>0.4</v>
      </c>
      <c r="C116" s="143">
        <f>VLOOKUP($A116,'Data shares'!$C:$FA,119)</f>
        <v>0.4</v>
      </c>
      <c r="D116" s="143">
        <f>VLOOKUP($A116,'Data shares'!$C:$FA,121)*100</f>
        <v>0</v>
      </c>
      <c r="E116" s="143">
        <f>VLOOKUP($A116,'Data shares'!$C:$FA,124)</f>
        <v>0.5</v>
      </c>
      <c r="F116" s="143">
        <f>VLOOKUP($A116,'Data shares'!$C:$FA,125)</f>
        <v>0.48</v>
      </c>
      <c r="G116" s="143">
        <f>VLOOKUP($A116,'Data shares'!$C:$FA,127)*100</f>
        <v>4.17</v>
      </c>
      <c r="H116" s="103">
        <f>VLOOKUP($A116,'OI(Volume)'!$A$7:$O$427,8)</f>
        <v>8352600</v>
      </c>
      <c r="I116" s="103">
        <f>VLOOKUP($A116,'OI(Volume)'!$A$7:$O$427,9)</f>
        <v>136200</v>
      </c>
      <c r="J116" s="103">
        <f>VLOOKUP($A116,'OI(Volume)'!$A$7:$O$427,11)</f>
        <v>3332900</v>
      </c>
      <c r="K116" s="103">
        <f>VLOOKUP($A116,'OI(Volume)'!$A$7:$O$427,12)</f>
        <v>44500</v>
      </c>
      <c r="L116" s="103">
        <f>VLOOKUP($A116,'OI(Value)'!$A$7:$O$306,8,0)</f>
        <v>3423</v>
      </c>
      <c r="M116" s="103">
        <f>VLOOKUP($A116,'OI(Value)'!$A$7:$O$306,9,0)</f>
        <v>56</v>
      </c>
      <c r="N116" s="103">
        <f>VLOOKUP($A116,'OI(Value)'!$A$7:$O$306,11,0)</f>
        <v>1366</v>
      </c>
      <c r="O116" s="103">
        <f>VLOOKUP($A116,'OI(Value)'!$A$7:$O$306,12,0)</f>
        <v>18</v>
      </c>
      <c r="P116" s="179">
        <f>VLOOKUP(A116,'OI(Value)'!A116:O317,8,0)</f>
        <v>3423</v>
      </c>
      <c r="Q116" s="179">
        <f>VLOOKUP(A116,'OI(Value)'!A116:O317,9,0)</f>
        <v>56</v>
      </c>
      <c r="R116" s="179">
        <f>VLOOKUP(A116,'OI(Value)'!A116:O317,11,0)</f>
        <v>1366</v>
      </c>
      <c r="S116" s="179">
        <f>VLOOKUP(A116,'OI(Value)'!A116:O317,11,0)</f>
        <v>1366</v>
      </c>
    </row>
    <row r="117" spans="1:19" x14ac:dyDescent="0.25">
      <c r="A117" s="105" t="str">
        <f>'Data shares'!C112</f>
        <v>KEI</v>
      </c>
      <c r="B117" s="143">
        <f>VLOOKUP($A117,'Data shares'!$C:$FA,118)</f>
        <v>0.67</v>
      </c>
      <c r="C117" s="143">
        <f>VLOOKUP($A117,'Data shares'!$C:$FA,119)</f>
        <v>0.62</v>
      </c>
      <c r="D117" s="143">
        <f>VLOOKUP($A117,'Data shares'!$C:$FA,121)*100</f>
        <v>8.06</v>
      </c>
      <c r="E117" s="143">
        <f>VLOOKUP($A117,'Data shares'!$C:$FA,124)</f>
        <v>1.67</v>
      </c>
      <c r="F117" s="143">
        <f>VLOOKUP($A117,'Data shares'!$C:$FA,125)</f>
        <v>0.66</v>
      </c>
      <c r="G117" s="143">
        <f>VLOOKUP($A117,'Data shares'!$C:$FA,127)*100</f>
        <v>153.03</v>
      </c>
      <c r="H117" s="103">
        <f>VLOOKUP($A117,'OI(Volume)'!$A$7:$O$427,8)</f>
        <v>684425</v>
      </c>
      <c r="I117" s="103">
        <f>VLOOKUP($A117,'OI(Volume)'!$A$7:$O$427,9)</f>
        <v>58275</v>
      </c>
      <c r="J117" s="103">
        <f>VLOOKUP($A117,'OI(Volume)'!$A$7:$O$427,11)</f>
        <v>460250</v>
      </c>
      <c r="K117" s="103">
        <f>VLOOKUP($A117,'OI(Volume)'!$A$7:$O$427,12)</f>
        <v>74900</v>
      </c>
      <c r="L117" s="103">
        <f>VLOOKUP($A117,'OI(Value)'!$A$7:$O$306,8,0)</f>
        <v>282</v>
      </c>
      <c r="M117" s="103">
        <f>VLOOKUP($A117,'OI(Value)'!$A$7:$O$306,9,0)</f>
        <v>24</v>
      </c>
      <c r="N117" s="103">
        <f>VLOOKUP($A117,'OI(Value)'!$A$7:$O$306,11,0)</f>
        <v>190</v>
      </c>
      <c r="O117" s="103">
        <f>VLOOKUP($A117,'OI(Value)'!$A$7:$O$306,12,0)</f>
        <v>31</v>
      </c>
      <c r="P117" s="179">
        <f>VLOOKUP(A117,'OI(Value)'!A117:O318,8,0)</f>
        <v>282</v>
      </c>
      <c r="Q117" s="179">
        <f>VLOOKUP(A117,'OI(Value)'!A117:O318,9,0)</f>
        <v>24</v>
      </c>
      <c r="R117" s="179">
        <f>VLOOKUP(A117,'OI(Value)'!A117:O318,11,0)</f>
        <v>190</v>
      </c>
      <c r="S117" s="179">
        <f>VLOOKUP(A117,'OI(Value)'!A117:O318,11,0)</f>
        <v>190</v>
      </c>
    </row>
    <row r="118" spans="1:19" x14ac:dyDescent="0.25">
      <c r="A118" s="105" t="str">
        <f>'Data shares'!C113</f>
        <v>KFINTECH</v>
      </c>
      <c r="B118" s="143">
        <f>VLOOKUP($A118,'Data shares'!$C:$FA,118)</f>
        <v>0.64</v>
      </c>
      <c r="C118" s="143">
        <f>VLOOKUP($A118,'Data shares'!$C:$FA,119)</f>
        <v>0.63</v>
      </c>
      <c r="D118" s="143">
        <f>VLOOKUP($A118,'Data shares'!$C:$FA,121)*100</f>
        <v>1.59</v>
      </c>
      <c r="E118" s="143">
        <f>VLOOKUP($A118,'Data shares'!$C:$FA,124)</f>
        <v>0.47</v>
      </c>
      <c r="F118" s="143">
        <f>VLOOKUP($A118,'Data shares'!$C:$FA,125)</f>
        <v>0.48</v>
      </c>
      <c r="G118" s="143">
        <f>VLOOKUP($A118,'Data shares'!$C:$FA,127)*100</f>
        <v>-2.08</v>
      </c>
      <c r="H118" s="103">
        <f>VLOOKUP($A118,'OI(Volume)'!$A$7:$O$427,8)</f>
        <v>2996150</v>
      </c>
      <c r="I118" s="103">
        <f>VLOOKUP($A118,'OI(Volume)'!$A$7:$O$427,9)</f>
        <v>-62450</v>
      </c>
      <c r="J118" s="103">
        <f>VLOOKUP($A118,'OI(Volume)'!$A$7:$O$427,11)</f>
        <v>1918700</v>
      </c>
      <c r="K118" s="103">
        <f>VLOOKUP($A118,'OI(Volume)'!$A$7:$O$427,12)</f>
        <v>-23200</v>
      </c>
      <c r="L118" s="103">
        <f>VLOOKUP($A118,'OI(Value)'!$A$7:$O$306,8,0)</f>
        <v>309</v>
      </c>
      <c r="M118" s="103">
        <f>VLOOKUP($A118,'OI(Value)'!$A$7:$O$306,9,0)</f>
        <v>-6</v>
      </c>
      <c r="N118" s="103">
        <f>VLOOKUP($A118,'OI(Value)'!$A$7:$O$306,11,0)</f>
        <v>198</v>
      </c>
      <c r="O118" s="103">
        <f>VLOOKUP($A118,'OI(Value)'!$A$7:$O$306,12,0)</f>
        <v>-2</v>
      </c>
      <c r="P118" s="179">
        <f>VLOOKUP(A118,'OI(Value)'!A118:O319,8,0)</f>
        <v>309</v>
      </c>
      <c r="Q118" s="179">
        <f>VLOOKUP(A118,'OI(Value)'!A118:O319,9,0)</f>
        <v>-6</v>
      </c>
      <c r="R118" s="179">
        <f>VLOOKUP(A118,'OI(Value)'!A118:O319,11,0)</f>
        <v>198</v>
      </c>
      <c r="S118" s="179">
        <f>VLOOKUP(A118,'OI(Value)'!A118:O319,11,0)</f>
        <v>198</v>
      </c>
    </row>
    <row r="119" spans="1:19" x14ac:dyDescent="0.25">
      <c r="A119" s="105" t="str">
        <f>'Data shares'!C114</f>
        <v>KOTAKBANK</v>
      </c>
      <c r="B119" s="143">
        <f>VLOOKUP($A119,'Data shares'!$C:$FA,118)</f>
        <v>0.85</v>
      </c>
      <c r="C119" s="143">
        <f>VLOOKUP($A119,'Data shares'!$C:$FA,119)</f>
        <v>0.88</v>
      </c>
      <c r="D119" s="143">
        <f>VLOOKUP($A119,'Data shares'!$C:$FA,121)*100</f>
        <v>-3.4099999999999997</v>
      </c>
      <c r="E119" s="143">
        <f>VLOOKUP($A119,'Data shares'!$C:$FA,124)</f>
        <v>0.66</v>
      </c>
      <c r="F119" s="143">
        <f>VLOOKUP($A119,'Data shares'!$C:$FA,125)</f>
        <v>0.51</v>
      </c>
      <c r="G119" s="143">
        <f>VLOOKUP($A119,'Data shares'!$C:$FA,127)*100</f>
        <v>29.409999999999997</v>
      </c>
      <c r="H119" s="103">
        <f>VLOOKUP($A119,'OI(Volume)'!$A$7:$O$427,8)</f>
        <v>8988000</v>
      </c>
      <c r="I119" s="103">
        <f>VLOOKUP($A119,'OI(Volume)'!$A$7:$O$427,9)</f>
        <v>90000</v>
      </c>
      <c r="J119" s="103">
        <f>VLOOKUP($A119,'OI(Volume)'!$A$7:$O$427,11)</f>
        <v>7605600</v>
      </c>
      <c r="K119" s="103">
        <f>VLOOKUP($A119,'OI(Volume)'!$A$7:$O$427,12)</f>
        <v>-261200</v>
      </c>
      <c r="L119" s="103">
        <f>VLOOKUP($A119,'OI(Value)'!$A$7:$O$306,8,0)</f>
        <v>1956</v>
      </c>
      <c r="M119" s="103">
        <f>VLOOKUP($A119,'OI(Value)'!$A$7:$O$306,9,0)</f>
        <v>20</v>
      </c>
      <c r="N119" s="103">
        <f>VLOOKUP($A119,'OI(Value)'!$A$7:$O$306,11,0)</f>
        <v>1655</v>
      </c>
      <c r="O119" s="103">
        <f>VLOOKUP($A119,'OI(Value)'!$A$7:$O$306,12,0)</f>
        <v>-57</v>
      </c>
      <c r="P119" s="179">
        <f>VLOOKUP(A119,'OI(Value)'!A119:O320,8,0)</f>
        <v>1956</v>
      </c>
      <c r="Q119" s="179">
        <f>VLOOKUP(A119,'OI(Value)'!A119:O320,9,0)</f>
        <v>20</v>
      </c>
      <c r="R119" s="179">
        <f>VLOOKUP(A119,'OI(Value)'!A119:O320,11,0)</f>
        <v>1655</v>
      </c>
      <c r="S119" s="179">
        <f>VLOOKUP(A119,'OI(Value)'!A119:O320,11,0)</f>
        <v>1655</v>
      </c>
    </row>
    <row r="120" spans="1:19" x14ac:dyDescent="0.25">
      <c r="A120" s="105" t="str">
        <f>'Data shares'!C115</f>
        <v>KPITTECH</v>
      </c>
      <c r="B120" s="143">
        <f>VLOOKUP($A120,'Data shares'!$C:$FA,118)</f>
        <v>0.59</v>
      </c>
      <c r="C120" s="143">
        <f>VLOOKUP($A120,'Data shares'!$C:$FA,119)</f>
        <v>0.57999999999999996</v>
      </c>
      <c r="D120" s="143">
        <f>VLOOKUP($A120,'Data shares'!$C:$FA,121)*100</f>
        <v>1.72</v>
      </c>
      <c r="E120" s="143">
        <f>VLOOKUP($A120,'Data shares'!$C:$FA,124)</f>
        <v>0.66</v>
      </c>
      <c r="F120" s="143">
        <f>VLOOKUP($A120,'Data shares'!$C:$FA,125)</f>
        <v>0.61</v>
      </c>
      <c r="G120" s="143">
        <f>VLOOKUP($A120,'Data shares'!$C:$FA,127)*100</f>
        <v>8.2000000000000011</v>
      </c>
      <c r="H120" s="103">
        <f>VLOOKUP($A120,'OI(Volume)'!$A$7:$O$427,8)</f>
        <v>2678000</v>
      </c>
      <c r="I120" s="103">
        <f>VLOOKUP($A120,'OI(Volume)'!$A$7:$O$427,9)</f>
        <v>68825</v>
      </c>
      <c r="J120" s="103">
        <f>VLOOKUP($A120,'OI(Volume)'!$A$7:$O$427,11)</f>
        <v>1574200</v>
      </c>
      <c r="K120" s="103">
        <f>VLOOKUP($A120,'OI(Volume)'!$A$7:$O$427,12)</f>
        <v>69475</v>
      </c>
      <c r="L120" s="103">
        <f>VLOOKUP($A120,'OI(Value)'!$A$7:$O$306,8,0)</f>
        <v>314</v>
      </c>
      <c r="M120" s="103">
        <f>VLOOKUP($A120,'OI(Value)'!$A$7:$O$306,9,0)</f>
        <v>8</v>
      </c>
      <c r="N120" s="103">
        <f>VLOOKUP($A120,'OI(Value)'!$A$7:$O$306,11,0)</f>
        <v>185</v>
      </c>
      <c r="O120" s="103">
        <f>VLOOKUP($A120,'OI(Value)'!$A$7:$O$306,12,0)</f>
        <v>8</v>
      </c>
      <c r="P120" s="179">
        <f>VLOOKUP(A120,'OI(Value)'!A120:O321,8,0)</f>
        <v>314</v>
      </c>
      <c r="Q120" s="179">
        <f>VLOOKUP(A120,'OI(Value)'!A120:O321,9,0)</f>
        <v>8</v>
      </c>
      <c r="R120" s="179">
        <f>VLOOKUP(A120,'OI(Value)'!A120:O321,11,0)</f>
        <v>185</v>
      </c>
      <c r="S120" s="179">
        <f>VLOOKUP(A120,'OI(Value)'!A120:O321,11,0)</f>
        <v>185</v>
      </c>
    </row>
    <row r="121" spans="1:19" x14ac:dyDescent="0.25">
      <c r="A121" s="105" t="str">
        <f>'Data shares'!C116</f>
        <v>LAURUSLABS</v>
      </c>
      <c r="B121" s="143">
        <f>VLOOKUP($A121,'Data shares'!$C:$FA,118)</f>
        <v>0.55000000000000004</v>
      </c>
      <c r="C121" s="143">
        <f>VLOOKUP($A121,'Data shares'!$C:$FA,119)</f>
        <v>0.54</v>
      </c>
      <c r="D121" s="143">
        <f>VLOOKUP($A121,'Data shares'!$C:$FA,121)*100</f>
        <v>1.8499999999999999</v>
      </c>
      <c r="E121" s="143">
        <f>VLOOKUP($A121,'Data shares'!$C:$FA,124)</f>
        <v>0.38</v>
      </c>
      <c r="F121" s="143">
        <f>VLOOKUP($A121,'Data shares'!$C:$FA,125)</f>
        <v>0.41</v>
      </c>
      <c r="G121" s="143">
        <f>VLOOKUP($A121,'Data shares'!$C:$FA,127)*100</f>
        <v>-7.32</v>
      </c>
      <c r="H121" s="103">
        <f>VLOOKUP($A121,'OI(Volume)'!$A$7:$O$427,8)</f>
        <v>8849350</v>
      </c>
      <c r="I121" s="103">
        <f>VLOOKUP($A121,'OI(Volume)'!$A$7:$O$427,9)</f>
        <v>-151300</v>
      </c>
      <c r="J121" s="103">
        <f>VLOOKUP($A121,'OI(Volume)'!$A$7:$O$427,11)</f>
        <v>4858600</v>
      </c>
      <c r="K121" s="103">
        <f>VLOOKUP($A121,'OI(Volume)'!$A$7:$O$427,12)</f>
        <v>39950</v>
      </c>
      <c r="L121" s="103">
        <f>VLOOKUP($A121,'OI(Value)'!$A$7:$O$306,8,0)</f>
        <v>894</v>
      </c>
      <c r="M121" s="103">
        <f>VLOOKUP($A121,'OI(Value)'!$A$7:$O$306,9,0)</f>
        <v>-15</v>
      </c>
      <c r="N121" s="103">
        <f>VLOOKUP($A121,'OI(Value)'!$A$7:$O$306,11,0)</f>
        <v>491</v>
      </c>
      <c r="O121" s="103">
        <f>VLOOKUP($A121,'OI(Value)'!$A$7:$O$306,12,0)</f>
        <v>4</v>
      </c>
      <c r="P121" s="179">
        <f>VLOOKUP(A121,'OI(Value)'!A121:O322,8,0)</f>
        <v>894</v>
      </c>
      <c r="Q121" s="179">
        <f>VLOOKUP(A121,'OI(Value)'!A121:O322,9,0)</f>
        <v>-15</v>
      </c>
      <c r="R121" s="179">
        <f>VLOOKUP(A121,'OI(Value)'!A121:O322,11,0)</f>
        <v>491</v>
      </c>
      <c r="S121" s="179">
        <f>VLOOKUP(A121,'OI(Value)'!A121:O322,11,0)</f>
        <v>491</v>
      </c>
    </row>
    <row r="122" spans="1:19" x14ac:dyDescent="0.25">
      <c r="A122" s="105" t="str">
        <f>'Data shares'!C117</f>
        <v>LICHSGFIN</v>
      </c>
      <c r="B122" s="143">
        <f>VLOOKUP($A122,'Data shares'!$C:$FA,118)</f>
        <v>0.75</v>
      </c>
      <c r="C122" s="143">
        <f>VLOOKUP($A122,'Data shares'!$C:$FA,119)</f>
        <v>0.74</v>
      </c>
      <c r="D122" s="143">
        <f>VLOOKUP($A122,'Data shares'!$C:$FA,121)*100</f>
        <v>1.35</v>
      </c>
      <c r="E122" s="143">
        <f>VLOOKUP($A122,'Data shares'!$C:$FA,124)</f>
        <v>0.32</v>
      </c>
      <c r="F122" s="143">
        <f>VLOOKUP($A122,'Data shares'!$C:$FA,125)</f>
        <v>0.25</v>
      </c>
      <c r="G122" s="143">
        <f>VLOOKUP($A122,'Data shares'!$C:$FA,127)*100</f>
        <v>28.000000000000004</v>
      </c>
      <c r="H122" s="103">
        <f>VLOOKUP($A122,'OI(Volume)'!$A$7:$O$427,8)</f>
        <v>10732000</v>
      </c>
      <c r="I122" s="103">
        <f>VLOOKUP($A122,'OI(Volume)'!$A$7:$O$427,9)</f>
        <v>-74000</v>
      </c>
      <c r="J122" s="103">
        <f>VLOOKUP($A122,'OI(Volume)'!$A$7:$O$427,11)</f>
        <v>8010000</v>
      </c>
      <c r="K122" s="103">
        <f>VLOOKUP($A122,'OI(Volume)'!$A$7:$O$427,12)</f>
        <v>38000</v>
      </c>
      <c r="L122" s="103">
        <f>VLOOKUP($A122,'OI(Value)'!$A$7:$O$306,8,0)</f>
        <v>563</v>
      </c>
      <c r="M122" s="103">
        <f>VLOOKUP($A122,'OI(Value)'!$A$7:$O$306,9,0)</f>
        <v>-4</v>
      </c>
      <c r="N122" s="103">
        <f>VLOOKUP($A122,'OI(Value)'!$A$7:$O$306,11,0)</f>
        <v>420</v>
      </c>
      <c r="O122" s="103">
        <f>VLOOKUP($A122,'OI(Value)'!$A$7:$O$306,12,0)</f>
        <v>2</v>
      </c>
      <c r="P122" s="179">
        <f>VLOOKUP(A122,'OI(Value)'!A122:O323,8,0)</f>
        <v>563</v>
      </c>
      <c r="Q122" s="179">
        <f>VLOOKUP(A122,'OI(Value)'!A122:O323,9,0)</f>
        <v>-4</v>
      </c>
      <c r="R122" s="179">
        <f>VLOOKUP(A122,'OI(Value)'!A122:O323,11,0)</f>
        <v>420</v>
      </c>
      <c r="S122" s="179">
        <f>VLOOKUP(A122,'OI(Value)'!A122:O323,11,0)</f>
        <v>420</v>
      </c>
    </row>
    <row r="123" spans="1:19" x14ac:dyDescent="0.25">
      <c r="A123" s="105" t="str">
        <f>'Data shares'!C118</f>
        <v>LICI</v>
      </c>
      <c r="B123" s="143">
        <f>VLOOKUP($A123,'Data shares'!$C:$FA,118)</f>
        <v>0.48</v>
      </c>
      <c r="C123" s="143">
        <f>VLOOKUP($A123,'Data shares'!$C:$FA,119)</f>
        <v>0.51</v>
      </c>
      <c r="D123" s="143">
        <f>VLOOKUP($A123,'Data shares'!$C:$FA,121)*100</f>
        <v>-5.88</v>
      </c>
      <c r="E123" s="143">
        <f>VLOOKUP($A123,'Data shares'!$C:$FA,124)</f>
        <v>0.47</v>
      </c>
      <c r="F123" s="143">
        <f>VLOOKUP($A123,'Data shares'!$C:$FA,125)</f>
        <v>0.33</v>
      </c>
      <c r="G123" s="143">
        <f>VLOOKUP($A123,'Data shares'!$C:$FA,127)*100</f>
        <v>42.42</v>
      </c>
      <c r="H123" s="103">
        <f>VLOOKUP($A123,'OI(Volume)'!$A$7:$O$427,8)</f>
        <v>9514400</v>
      </c>
      <c r="I123" s="103">
        <f>VLOOKUP($A123,'OI(Volume)'!$A$7:$O$427,9)</f>
        <v>245700</v>
      </c>
      <c r="J123" s="103">
        <f>VLOOKUP($A123,'OI(Volume)'!$A$7:$O$427,11)</f>
        <v>4528300</v>
      </c>
      <c r="K123" s="103">
        <f>VLOOKUP($A123,'OI(Volume)'!$A$7:$O$427,12)</f>
        <v>-154700</v>
      </c>
      <c r="L123" s="103">
        <f>VLOOKUP($A123,'OI(Value)'!$A$7:$O$306,8,0)</f>
        <v>806</v>
      </c>
      <c r="M123" s="103">
        <f>VLOOKUP($A123,'OI(Value)'!$A$7:$O$306,9,0)</f>
        <v>21</v>
      </c>
      <c r="N123" s="103">
        <f>VLOOKUP($A123,'OI(Value)'!$A$7:$O$306,11,0)</f>
        <v>384</v>
      </c>
      <c r="O123" s="103">
        <f>VLOOKUP($A123,'OI(Value)'!$A$7:$O$306,12,0)</f>
        <v>-13</v>
      </c>
      <c r="P123" s="179">
        <f>VLOOKUP(A123,'OI(Value)'!A123:O324,8,0)</f>
        <v>806</v>
      </c>
      <c r="Q123" s="179">
        <f>VLOOKUP(A123,'OI(Value)'!A123:O324,9,0)</f>
        <v>21</v>
      </c>
      <c r="R123" s="179">
        <f>VLOOKUP(A123,'OI(Value)'!A123:O324,11,0)</f>
        <v>384</v>
      </c>
      <c r="S123" s="179">
        <f>VLOOKUP(A123,'OI(Value)'!A123:O324,11,0)</f>
        <v>384</v>
      </c>
    </row>
    <row r="124" spans="1:19" x14ac:dyDescent="0.25">
      <c r="A124" s="105" t="str">
        <f>'Data shares'!C119</f>
        <v>LODHA</v>
      </c>
      <c r="B124" s="143">
        <f>VLOOKUP($A124,'Data shares'!$C:$FA,118)</f>
        <v>0.4</v>
      </c>
      <c r="C124" s="143">
        <f>VLOOKUP($A124,'Data shares'!$C:$FA,119)</f>
        <v>0.44</v>
      </c>
      <c r="D124" s="143">
        <f>VLOOKUP($A124,'Data shares'!$C:$FA,121)*100</f>
        <v>-9.09</v>
      </c>
      <c r="E124" s="143">
        <f>VLOOKUP($A124,'Data shares'!$C:$FA,124)</f>
        <v>0.33</v>
      </c>
      <c r="F124" s="143">
        <f>VLOOKUP($A124,'Data shares'!$C:$FA,125)</f>
        <v>0.34</v>
      </c>
      <c r="G124" s="143">
        <f>VLOOKUP($A124,'Data shares'!$C:$FA,127)*100</f>
        <v>-2.94</v>
      </c>
      <c r="H124" s="103">
        <f>VLOOKUP($A124,'OI(Volume)'!$A$7:$O$427,8)</f>
        <v>5736150</v>
      </c>
      <c r="I124" s="103">
        <f>VLOOKUP($A124,'OI(Volume)'!$A$7:$O$427,9)</f>
        <v>858600</v>
      </c>
      <c r="J124" s="103">
        <f>VLOOKUP($A124,'OI(Volume)'!$A$7:$O$427,11)</f>
        <v>2313900</v>
      </c>
      <c r="K124" s="103">
        <f>VLOOKUP($A124,'OI(Volume)'!$A$7:$O$427,12)</f>
        <v>160650</v>
      </c>
      <c r="L124" s="103">
        <f>VLOOKUP($A124,'OI(Value)'!$A$7:$O$306,8,0)</f>
        <v>611</v>
      </c>
      <c r="M124" s="103">
        <f>VLOOKUP($A124,'OI(Value)'!$A$7:$O$306,9,0)</f>
        <v>91</v>
      </c>
      <c r="N124" s="103">
        <f>VLOOKUP($A124,'OI(Value)'!$A$7:$O$306,11,0)</f>
        <v>246</v>
      </c>
      <c r="O124" s="103">
        <f>VLOOKUP($A124,'OI(Value)'!$A$7:$O$306,12,0)</f>
        <v>17</v>
      </c>
      <c r="P124" s="179">
        <f>VLOOKUP(A124,'OI(Value)'!A124:O325,8,0)</f>
        <v>611</v>
      </c>
      <c r="Q124" s="179">
        <f>VLOOKUP(A124,'OI(Value)'!A124:O325,9,0)</f>
        <v>91</v>
      </c>
      <c r="R124" s="179">
        <f>VLOOKUP(A124,'OI(Value)'!A124:O325,11,0)</f>
        <v>246</v>
      </c>
      <c r="S124" s="179">
        <f>VLOOKUP(A124,'OI(Value)'!A124:O325,11,0)</f>
        <v>246</v>
      </c>
    </row>
    <row r="125" spans="1:19" x14ac:dyDescent="0.25">
      <c r="A125" s="105" t="str">
        <f>'Data shares'!C120</f>
        <v>LT</v>
      </c>
      <c r="B125" s="143">
        <f>VLOOKUP($A125,'Data shares'!$C:$FA,118)</f>
        <v>0.56999999999999995</v>
      </c>
      <c r="C125" s="143">
        <f>VLOOKUP($A125,'Data shares'!$C:$FA,119)</f>
        <v>0.56999999999999995</v>
      </c>
      <c r="D125" s="143">
        <f>VLOOKUP($A125,'Data shares'!$C:$FA,121)*100</f>
        <v>0</v>
      </c>
      <c r="E125" s="143">
        <f>VLOOKUP($A125,'Data shares'!$C:$FA,124)</f>
        <v>0.68</v>
      </c>
      <c r="F125" s="143">
        <f>VLOOKUP($A125,'Data shares'!$C:$FA,125)</f>
        <v>0.62</v>
      </c>
      <c r="G125" s="143">
        <f>VLOOKUP($A125,'Data shares'!$C:$FA,127)*100</f>
        <v>9.68</v>
      </c>
      <c r="H125" s="103">
        <f>VLOOKUP($A125,'OI(Volume)'!$A$7:$O$427,8)</f>
        <v>5687850</v>
      </c>
      <c r="I125" s="103">
        <f>VLOOKUP($A125,'OI(Volume)'!$A$7:$O$427,9)</f>
        <v>-95375</v>
      </c>
      <c r="J125" s="103">
        <f>VLOOKUP($A125,'OI(Volume)'!$A$7:$O$427,11)</f>
        <v>3238200</v>
      </c>
      <c r="K125" s="103">
        <f>VLOOKUP($A125,'OI(Volume)'!$A$7:$O$427,12)</f>
        <v>-85225</v>
      </c>
      <c r="L125" s="103">
        <f>VLOOKUP($A125,'OI(Value)'!$A$7:$O$306,8,0)</f>
        <v>2314</v>
      </c>
      <c r="M125" s="103">
        <f>VLOOKUP($A125,'OI(Value)'!$A$7:$O$306,9,0)</f>
        <v>-39</v>
      </c>
      <c r="N125" s="103">
        <f>VLOOKUP($A125,'OI(Value)'!$A$7:$O$306,11,0)</f>
        <v>1318</v>
      </c>
      <c r="O125" s="103">
        <f>VLOOKUP($A125,'OI(Value)'!$A$7:$O$306,12,0)</f>
        <v>-35</v>
      </c>
      <c r="P125" s="179">
        <f>VLOOKUP(A125,'OI(Value)'!A125:O326,8,0)</f>
        <v>2314</v>
      </c>
      <c r="Q125" s="179">
        <f>VLOOKUP(A125,'OI(Value)'!A125:O326,9,0)</f>
        <v>-39</v>
      </c>
      <c r="R125" s="179">
        <f>VLOOKUP(A125,'OI(Value)'!A125:O326,11,0)</f>
        <v>1318</v>
      </c>
      <c r="S125" s="179">
        <f>VLOOKUP(A125,'OI(Value)'!A125:O326,11,0)</f>
        <v>1318</v>
      </c>
    </row>
    <row r="126" spans="1:19" x14ac:dyDescent="0.25">
      <c r="A126" s="105" t="str">
        <f>'Data shares'!C121</f>
        <v>LTF</v>
      </c>
      <c r="B126" s="143">
        <f>VLOOKUP($A126,'Data shares'!$C:$FA,118)</f>
        <v>0.64</v>
      </c>
      <c r="C126" s="143">
        <f>VLOOKUP($A126,'Data shares'!$C:$FA,119)</f>
        <v>0.64</v>
      </c>
      <c r="D126" s="143">
        <f>VLOOKUP($A126,'Data shares'!$C:$FA,121)*100</f>
        <v>0</v>
      </c>
      <c r="E126" s="143">
        <f>VLOOKUP($A126,'Data shares'!$C:$FA,124)</f>
        <v>0.47</v>
      </c>
      <c r="F126" s="143">
        <f>VLOOKUP($A126,'Data shares'!$C:$FA,125)</f>
        <v>0.32</v>
      </c>
      <c r="G126" s="143">
        <f>VLOOKUP($A126,'Data shares'!$C:$FA,127)*100</f>
        <v>46.87</v>
      </c>
      <c r="H126" s="103">
        <f>VLOOKUP($A126,'OI(Volume)'!$A$7:$O$427,8)</f>
        <v>37459088</v>
      </c>
      <c r="I126" s="103">
        <f>VLOOKUP($A126,'OI(Volume)'!$A$7:$O$427,9)</f>
        <v>1215298</v>
      </c>
      <c r="J126" s="103">
        <f>VLOOKUP($A126,'OI(Volume)'!$A$7:$O$427,11)</f>
        <v>24062614</v>
      </c>
      <c r="K126" s="103">
        <f>VLOOKUP($A126,'OI(Volume)'!$A$7:$O$427,12)</f>
        <v>853952</v>
      </c>
      <c r="L126" s="103">
        <f>VLOOKUP($A126,'OI(Value)'!$A$7:$O$306,8,0)</f>
        <v>1135</v>
      </c>
      <c r="M126" s="103">
        <f>VLOOKUP($A126,'OI(Value)'!$A$7:$O$306,9,0)</f>
        <v>37</v>
      </c>
      <c r="N126" s="103">
        <f>VLOOKUP($A126,'OI(Value)'!$A$7:$O$306,11,0)</f>
        <v>729</v>
      </c>
      <c r="O126" s="103">
        <f>VLOOKUP($A126,'OI(Value)'!$A$7:$O$306,12,0)</f>
        <v>26</v>
      </c>
      <c r="P126" s="179">
        <f>VLOOKUP(A126,'OI(Value)'!A126:O327,8,0)</f>
        <v>1135</v>
      </c>
      <c r="Q126" s="179">
        <f>VLOOKUP(A126,'OI(Value)'!A126:O327,9,0)</f>
        <v>37</v>
      </c>
      <c r="R126" s="179">
        <f>VLOOKUP(A126,'OI(Value)'!A126:O327,11,0)</f>
        <v>729</v>
      </c>
      <c r="S126" s="179">
        <f>VLOOKUP(A126,'OI(Value)'!A126:O327,11,0)</f>
        <v>729</v>
      </c>
    </row>
    <row r="127" spans="1:19" x14ac:dyDescent="0.25">
      <c r="A127" s="105" t="str">
        <f>'Data shares'!C122</f>
        <v>LTIM</v>
      </c>
      <c r="B127" s="143">
        <f>VLOOKUP($A127,'Data shares'!$C:$FA,118)</f>
        <v>0.79</v>
      </c>
      <c r="C127" s="143">
        <f>VLOOKUP($A127,'Data shares'!$C:$FA,119)</f>
        <v>0.81</v>
      </c>
      <c r="D127" s="143">
        <f>VLOOKUP($A127,'Data shares'!$C:$FA,121)*100</f>
        <v>-2.4699999999999998</v>
      </c>
      <c r="E127" s="143">
        <f>VLOOKUP($A127,'Data shares'!$C:$FA,124)</f>
        <v>0.31</v>
      </c>
      <c r="F127" s="143">
        <f>VLOOKUP($A127,'Data shares'!$C:$FA,125)</f>
        <v>0.73</v>
      </c>
      <c r="G127" s="143">
        <f>VLOOKUP($A127,'Data shares'!$C:$FA,127)*100</f>
        <v>-57.53</v>
      </c>
      <c r="H127" s="103">
        <f>VLOOKUP($A127,'OI(Volume)'!$A$7:$O$427,8)</f>
        <v>923100</v>
      </c>
      <c r="I127" s="103">
        <f>VLOOKUP($A127,'OI(Volume)'!$A$7:$O$427,9)</f>
        <v>28800</v>
      </c>
      <c r="J127" s="103">
        <f>VLOOKUP($A127,'OI(Volume)'!$A$7:$O$427,11)</f>
        <v>729000</v>
      </c>
      <c r="K127" s="103">
        <f>VLOOKUP($A127,'OI(Volume)'!$A$7:$O$427,12)</f>
        <v>8400</v>
      </c>
      <c r="L127" s="103">
        <f>VLOOKUP($A127,'OI(Value)'!$A$7:$O$306,8,0)</f>
        <v>579</v>
      </c>
      <c r="M127" s="103">
        <f>VLOOKUP($A127,'OI(Value)'!$A$7:$O$306,9,0)</f>
        <v>18</v>
      </c>
      <c r="N127" s="103">
        <f>VLOOKUP($A127,'OI(Value)'!$A$7:$O$306,11,0)</f>
        <v>457</v>
      </c>
      <c r="O127" s="103">
        <f>VLOOKUP($A127,'OI(Value)'!$A$7:$O$306,12,0)</f>
        <v>5</v>
      </c>
      <c r="P127" s="179">
        <f>VLOOKUP(A127,'OI(Value)'!A127:O328,8,0)</f>
        <v>579</v>
      </c>
      <c r="Q127" s="179">
        <f>VLOOKUP(A127,'OI(Value)'!A127:O328,9,0)</f>
        <v>18</v>
      </c>
      <c r="R127" s="179">
        <f>VLOOKUP(A127,'OI(Value)'!A127:O328,11,0)</f>
        <v>457</v>
      </c>
      <c r="S127" s="179">
        <f>VLOOKUP(A127,'OI(Value)'!A127:O328,11,0)</f>
        <v>457</v>
      </c>
    </row>
    <row r="128" spans="1:19" x14ac:dyDescent="0.25">
      <c r="A128" s="105" t="str">
        <f>'Data shares'!C123</f>
        <v>LUPIN</v>
      </c>
      <c r="B128" s="143">
        <f>VLOOKUP($A128,'Data shares'!$C:$FA,118)</f>
        <v>0.76</v>
      </c>
      <c r="C128" s="143">
        <f>VLOOKUP($A128,'Data shares'!$C:$FA,119)</f>
        <v>0.75</v>
      </c>
      <c r="D128" s="143">
        <f>VLOOKUP($A128,'Data shares'!$C:$FA,121)*100</f>
        <v>1.3299999999999998</v>
      </c>
      <c r="E128" s="143">
        <f>VLOOKUP($A128,'Data shares'!$C:$FA,124)</f>
        <v>0.3</v>
      </c>
      <c r="F128" s="143">
        <f>VLOOKUP($A128,'Data shares'!$C:$FA,125)</f>
        <v>0.37</v>
      </c>
      <c r="G128" s="143">
        <f>VLOOKUP($A128,'Data shares'!$C:$FA,127)*100</f>
        <v>-18.920000000000002</v>
      </c>
      <c r="H128" s="103">
        <f>VLOOKUP($A128,'OI(Volume)'!$A$7:$O$427,8)</f>
        <v>3006450</v>
      </c>
      <c r="I128" s="103">
        <f>VLOOKUP($A128,'OI(Volume)'!$A$7:$O$427,9)</f>
        <v>29325</v>
      </c>
      <c r="J128" s="103">
        <f>VLOOKUP($A128,'OI(Volume)'!$A$7:$O$427,11)</f>
        <v>2293725</v>
      </c>
      <c r="K128" s="103">
        <f>VLOOKUP($A128,'OI(Volume)'!$A$7:$O$427,12)</f>
        <v>52275</v>
      </c>
      <c r="L128" s="103">
        <f>VLOOKUP($A128,'OI(Value)'!$A$7:$O$306,8,0)</f>
        <v>636</v>
      </c>
      <c r="M128" s="103">
        <f>VLOOKUP($A128,'OI(Value)'!$A$7:$O$306,9,0)</f>
        <v>6</v>
      </c>
      <c r="N128" s="103">
        <f>VLOOKUP($A128,'OI(Value)'!$A$7:$O$306,11,0)</f>
        <v>485</v>
      </c>
      <c r="O128" s="103">
        <f>VLOOKUP($A128,'OI(Value)'!$A$7:$O$306,12,0)</f>
        <v>11</v>
      </c>
      <c r="P128" s="179">
        <f>VLOOKUP(A128,'OI(Value)'!A128:O329,8,0)</f>
        <v>636</v>
      </c>
      <c r="Q128" s="179">
        <f>VLOOKUP(A128,'OI(Value)'!A128:O329,9,0)</f>
        <v>6</v>
      </c>
      <c r="R128" s="179">
        <f>VLOOKUP(A128,'OI(Value)'!A128:O329,11,0)</f>
        <v>485</v>
      </c>
      <c r="S128" s="179">
        <f>VLOOKUP(A128,'OI(Value)'!A128:O329,11,0)</f>
        <v>485</v>
      </c>
    </row>
    <row r="129" spans="1:19" x14ac:dyDescent="0.25">
      <c r="A129" s="105" t="str">
        <f>'Data shares'!C124</f>
        <v>M&amp;M</v>
      </c>
      <c r="B129" s="143">
        <f>VLOOKUP($A129,'Data shares'!$C:$FA,118)</f>
        <v>0.54</v>
      </c>
      <c r="C129" s="143">
        <f>VLOOKUP($A129,'Data shares'!$C:$FA,119)</f>
        <v>0.55000000000000004</v>
      </c>
      <c r="D129" s="143">
        <f>VLOOKUP($A129,'Data shares'!$C:$FA,121)*100</f>
        <v>-1.82</v>
      </c>
      <c r="E129" s="143">
        <f>VLOOKUP($A129,'Data shares'!$C:$FA,124)</f>
        <v>0.51</v>
      </c>
      <c r="F129" s="143">
        <f>VLOOKUP($A129,'Data shares'!$C:$FA,125)</f>
        <v>0.47</v>
      </c>
      <c r="G129" s="143">
        <f>VLOOKUP($A129,'Data shares'!$C:$FA,127)*100</f>
        <v>8.51</v>
      </c>
      <c r="H129" s="103">
        <f>VLOOKUP($A129,'OI(Volume)'!$A$7:$O$427,8)</f>
        <v>6686600</v>
      </c>
      <c r="I129" s="103">
        <f>VLOOKUP($A129,'OI(Volume)'!$A$7:$O$427,9)</f>
        <v>-50600</v>
      </c>
      <c r="J129" s="103">
        <f>VLOOKUP($A129,'OI(Volume)'!$A$7:$O$427,11)</f>
        <v>3577800</v>
      </c>
      <c r="K129" s="103">
        <f>VLOOKUP($A129,'OI(Volume)'!$A$7:$O$427,12)</f>
        <v>-116200</v>
      </c>
      <c r="L129" s="103">
        <f>VLOOKUP($A129,'OI(Value)'!$A$7:$O$306,8,0)</f>
        <v>2419</v>
      </c>
      <c r="M129" s="103">
        <f>VLOOKUP($A129,'OI(Value)'!$A$7:$O$306,9,0)</f>
        <v>-18</v>
      </c>
      <c r="N129" s="103">
        <f>VLOOKUP($A129,'OI(Value)'!$A$7:$O$306,11,0)</f>
        <v>1294</v>
      </c>
      <c r="O129" s="103">
        <f>VLOOKUP($A129,'OI(Value)'!$A$7:$O$306,12,0)</f>
        <v>-42</v>
      </c>
      <c r="P129" s="179">
        <f>VLOOKUP(A129,'OI(Value)'!A129:O330,8,0)</f>
        <v>2419</v>
      </c>
      <c r="Q129" s="179">
        <f>VLOOKUP(A129,'OI(Value)'!A129:O330,9,0)</f>
        <v>-18</v>
      </c>
      <c r="R129" s="179">
        <f>VLOOKUP(A129,'OI(Value)'!A129:O330,11,0)</f>
        <v>1294</v>
      </c>
      <c r="S129" s="179">
        <f>VLOOKUP(A129,'OI(Value)'!A129:O330,11,0)</f>
        <v>1294</v>
      </c>
    </row>
    <row r="130" spans="1:19" x14ac:dyDescent="0.25">
      <c r="A130" s="105" t="str">
        <f>'Data shares'!C125</f>
        <v>MANAPPURAM</v>
      </c>
      <c r="B130" s="143">
        <f>VLOOKUP($A130,'Data shares'!$C:$FA,118)</f>
        <v>0.66</v>
      </c>
      <c r="C130" s="143">
        <f>VLOOKUP($A130,'Data shares'!$C:$FA,119)</f>
        <v>0.68</v>
      </c>
      <c r="D130" s="143">
        <f>VLOOKUP($A130,'Data shares'!$C:$FA,121)*100</f>
        <v>-2.94</v>
      </c>
      <c r="E130" s="143">
        <f>VLOOKUP($A130,'Data shares'!$C:$FA,124)</f>
        <v>0.4</v>
      </c>
      <c r="F130" s="143">
        <f>VLOOKUP($A130,'Data shares'!$C:$FA,125)</f>
        <v>0.49</v>
      </c>
      <c r="G130" s="143">
        <f>VLOOKUP($A130,'Data shares'!$C:$FA,127)*100</f>
        <v>-18.37</v>
      </c>
      <c r="H130" s="103">
        <f>VLOOKUP($A130,'OI(Volume)'!$A$7:$O$427,8)</f>
        <v>17715000</v>
      </c>
      <c r="I130" s="103">
        <f>VLOOKUP($A130,'OI(Volume)'!$A$7:$O$427,9)</f>
        <v>789000</v>
      </c>
      <c r="J130" s="103">
        <f>VLOOKUP($A130,'OI(Volume)'!$A$7:$O$427,11)</f>
        <v>11745000</v>
      </c>
      <c r="K130" s="103">
        <f>VLOOKUP($A130,'OI(Volume)'!$A$7:$O$427,12)</f>
        <v>246000</v>
      </c>
      <c r="L130" s="103">
        <f>VLOOKUP($A130,'OI(Value)'!$A$7:$O$306,8,0)</f>
        <v>508</v>
      </c>
      <c r="M130" s="103">
        <f>VLOOKUP($A130,'OI(Value)'!$A$7:$O$306,9,0)</f>
        <v>23</v>
      </c>
      <c r="N130" s="103">
        <f>VLOOKUP($A130,'OI(Value)'!$A$7:$O$306,11,0)</f>
        <v>336</v>
      </c>
      <c r="O130" s="103">
        <f>VLOOKUP($A130,'OI(Value)'!$A$7:$O$306,12,0)</f>
        <v>7</v>
      </c>
      <c r="P130" s="179">
        <f>VLOOKUP(A130,'OI(Value)'!A130:O331,8,0)</f>
        <v>508</v>
      </c>
      <c r="Q130" s="179">
        <f>VLOOKUP(A130,'OI(Value)'!A130:O331,9,0)</f>
        <v>23</v>
      </c>
      <c r="R130" s="179">
        <f>VLOOKUP(A130,'OI(Value)'!A130:O331,11,0)</f>
        <v>336</v>
      </c>
      <c r="S130" s="179">
        <f>VLOOKUP(A130,'OI(Value)'!A130:O331,11,0)</f>
        <v>336</v>
      </c>
    </row>
    <row r="131" spans="1:19" x14ac:dyDescent="0.25">
      <c r="A131" s="105" t="str">
        <f>'Data shares'!C126</f>
        <v>MANKIND</v>
      </c>
      <c r="B131" s="143">
        <f>VLOOKUP($A131,'Data shares'!$C:$FA,118)</f>
        <v>0.48</v>
      </c>
      <c r="C131" s="143">
        <f>VLOOKUP($A131,'Data shares'!$C:$FA,119)</f>
        <v>0.49</v>
      </c>
      <c r="D131" s="143">
        <f>VLOOKUP($A131,'Data shares'!$C:$FA,121)*100</f>
        <v>-2.04</v>
      </c>
      <c r="E131" s="143">
        <f>VLOOKUP($A131,'Data shares'!$C:$FA,124)</f>
        <v>0.48</v>
      </c>
      <c r="F131" s="143">
        <f>VLOOKUP($A131,'Data shares'!$C:$FA,125)</f>
        <v>0.48</v>
      </c>
      <c r="G131" s="143">
        <f>VLOOKUP($A131,'Data shares'!$C:$FA,127)*100</f>
        <v>0</v>
      </c>
      <c r="H131" s="103">
        <f>VLOOKUP($A131,'OI(Volume)'!$A$7:$O$427,8)</f>
        <v>1179000</v>
      </c>
      <c r="I131" s="103">
        <f>VLOOKUP($A131,'OI(Volume)'!$A$7:$O$427,9)</f>
        <v>39375</v>
      </c>
      <c r="J131" s="103">
        <f>VLOOKUP($A131,'OI(Volume)'!$A$7:$O$427,11)</f>
        <v>568125</v>
      </c>
      <c r="K131" s="103">
        <f>VLOOKUP($A131,'OI(Volume)'!$A$7:$O$427,12)</f>
        <v>10350</v>
      </c>
      <c r="L131" s="103">
        <f>VLOOKUP($A131,'OI(Value)'!$A$7:$O$306,8,0)</f>
        <v>250</v>
      </c>
      <c r="M131" s="103">
        <f>VLOOKUP($A131,'OI(Value)'!$A$7:$O$306,9,0)</f>
        <v>8</v>
      </c>
      <c r="N131" s="103">
        <f>VLOOKUP($A131,'OI(Value)'!$A$7:$O$306,11,0)</f>
        <v>120</v>
      </c>
      <c r="O131" s="103">
        <f>VLOOKUP($A131,'OI(Value)'!$A$7:$O$306,12,0)</f>
        <v>2</v>
      </c>
      <c r="P131" s="179">
        <f>VLOOKUP(A131,'OI(Value)'!A131:O332,8,0)</f>
        <v>250</v>
      </c>
      <c r="Q131" s="179">
        <f>VLOOKUP(A131,'OI(Value)'!A131:O332,9,0)</f>
        <v>8</v>
      </c>
      <c r="R131" s="179">
        <f>VLOOKUP(A131,'OI(Value)'!A131:O332,11,0)</f>
        <v>120</v>
      </c>
      <c r="S131" s="179">
        <f>VLOOKUP(A131,'OI(Value)'!A131:O332,11,0)</f>
        <v>120</v>
      </c>
    </row>
    <row r="132" spans="1:19" x14ac:dyDescent="0.25">
      <c r="A132" s="105" t="str">
        <f>'Data shares'!C127</f>
        <v>MARICO</v>
      </c>
      <c r="B132" s="143">
        <f>VLOOKUP($A132,'Data shares'!$C:$FA,118)</f>
        <v>0.61</v>
      </c>
      <c r="C132" s="143">
        <f>VLOOKUP($A132,'Data shares'!$C:$FA,119)</f>
        <v>0.6</v>
      </c>
      <c r="D132" s="143">
        <f>VLOOKUP($A132,'Data shares'!$C:$FA,121)*100</f>
        <v>1.67</v>
      </c>
      <c r="E132" s="143">
        <f>VLOOKUP($A132,'Data shares'!$C:$FA,124)</f>
        <v>0.31</v>
      </c>
      <c r="F132" s="143">
        <f>VLOOKUP($A132,'Data shares'!$C:$FA,125)</f>
        <v>0.28000000000000003</v>
      </c>
      <c r="G132" s="143">
        <f>VLOOKUP($A132,'Data shares'!$C:$FA,127)*100</f>
        <v>10.71</v>
      </c>
      <c r="H132" s="103">
        <f>VLOOKUP($A132,'OI(Volume)'!$A$7:$O$427,8)</f>
        <v>6520800</v>
      </c>
      <c r="I132" s="103">
        <f>VLOOKUP($A132,'OI(Volume)'!$A$7:$O$427,9)</f>
        <v>122400</v>
      </c>
      <c r="J132" s="103">
        <f>VLOOKUP($A132,'OI(Volume)'!$A$7:$O$427,11)</f>
        <v>3950400</v>
      </c>
      <c r="K132" s="103">
        <f>VLOOKUP($A132,'OI(Volume)'!$A$7:$O$427,12)</f>
        <v>108000</v>
      </c>
      <c r="L132" s="103">
        <f>VLOOKUP($A132,'OI(Value)'!$A$7:$O$306,8,0)</f>
        <v>482</v>
      </c>
      <c r="M132" s="103">
        <f>VLOOKUP($A132,'OI(Value)'!$A$7:$O$306,9,0)</f>
        <v>9</v>
      </c>
      <c r="N132" s="103">
        <f>VLOOKUP($A132,'OI(Value)'!$A$7:$O$306,11,0)</f>
        <v>292</v>
      </c>
      <c r="O132" s="103">
        <f>VLOOKUP($A132,'OI(Value)'!$A$7:$O$306,12,0)</f>
        <v>8</v>
      </c>
      <c r="P132" s="179">
        <f>VLOOKUP(A132,'OI(Value)'!A132:O333,8,0)</f>
        <v>482</v>
      </c>
      <c r="Q132" s="179">
        <f>VLOOKUP(A132,'OI(Value)'!A132:O333,9,0)</f>
        <v>9</v>
      </c>
      <c r="R132" s="179">
        <f>VLOOKUP(A132,'OI(Value)'!A132:O333,11,0)</f>
        <v>292</v>
      </c>
      <c r="S132" s="179">
        <f>VLOOKUP(A132,'OI(Value)'!A132:O333,11,0)</f>
        <v>292</v>
      </c>
    </row>
    <row r="133" spans="1:19" x14ac:dyDescent="0.25">
      <c r="A133" s="105" t="str">
        <f>'Data shares'!C128</f>
        <v>MARUTI</v>
      </c>
      <c r="B133" s="143">
        <f>VLOOKUP($A133,'Data shares'!$C:$FA,118)</f>
        <v>0.95</v>
      </c>
      <c r="C133" s="143">
        <f>VLOOKUP($A133,'Data shares'!$C:$FA,119)</f>
        <v>0.98</v>
      </c>
      <c r="D133" s="143">
        <f>VLOOKUP($A133,'Data shares'!$C:$FA,121)*100</f>
        <v>-3.06</v>
      </c>
      <c r="E133" s="143">
        <f>VLOOKUP($A133,'Data shares'!$C:$FA,124)</f>
        <v>0.77</v>
      </c>
      <c r="F133" s="143">
        <f>VLOOKUP($A133,'Data shares'!$C:$FA,125)</f>
        <v>1.18</v>
      </c>
      <c r="G133" s="143">
        <f>VLOOKUP($A133,'Data shares'!$C:$FA,127)*100</f>
        <v>-34.75</v>
      </c>
      <c r="H133" s="103">
        <f>VLOOKUP($A133,'OI(Volume)'!$A$7:$O$427,8)</f>
        <v>1614100</v>
      </c>
      <c r="I133" s="103">
        <f>VLOOKUP($A133,'OI(Volume)'!$A$7:$O$427,9)</f>
        <v>35100</v>
      </c>
      <c r="J133" s="103">
        <f>VLOOKUP($A133,'OI(Volume)'!$A$7:$O$427,11)</f>
        <v>1533750</v>
      </c>
      <c r="K133" s="103">
        <f>VLOOKUP($A133,'OI(Volume)'!$A$7:$O$427,12)</f>
        <v>-11100</v>
      </c>
      <c r="L133" s="103">
        <f>VLOOKUP($A133,'OI(Value)'!$A$7:$O$306,8,0)</f>
        <v>2649</v>
      </c>
      <c r="M133" s="103">
        <f>VLOOKUP($A133,'OI(Value)'!$A$7:$O$306,9,0)</f>
        <v>58</v>
      </c>
      <c r="N133" s="103">
        <f>VLOOKUP($A133,'OI(Value)'!$A$7:$O$306,11,0)</f>
        <v>2517</v>
      </c>
      <c r="O133" s="103">
        <f>VLOOKUP($A133,'OI(Value)'!$A$7:$O$306,12,0)</f>
        <v>-18</v>
      </c>
      <c r="P133" s="179">
        <f>VLOOKUP(A133,'OI(Value)'!A133:O334,8,0)</f>
        <v>2649</v>
      </c>
      <c r="Q133" s="179">
        <f>VLOOKUP(A133,'OI(Value)'!A133:O334,9,0)</f>
        <v>58</v>
      </c>
      <c r="R133" s="179">
        <f>VLOOKUP(A133,'OI(Value)'!A133:O334,11,0)</f>
        <v>2517</v>
      </c>
      <c r="S133" s="179">
        <f>VLOOKUP(A133,'OI(Value)'!A133:O334,11,0)</f>
        <v>2517</v>
      </c>
    </row>
    <row r="134" spans="1:19" x14ac:dyDescent="0.25">
      <c r="A134" s="105" t="str">
        <f>'Data shares'!C129</f>
        <v>MAXHEALTH</v>
      </c>
      <c r="B134" s="143">
        <f>VLOOKUP($A134,'Data shares'!$C:$FA,118)</f>
        <v>0.53</v>
      </c>
      <c r="C134" s="143">
        <f>VLOOKUP($A134,'Data shares'!$C:$FA,119)</f>
        <v>0.51</v>
      </c>
      <c r="D134" s="143">
        <f>VLOOKUP($A134,'Data shares'!$C:$FA,121)*100</f>
        <v>3.92</v>
      </c>
      <c r="E134" s="143">
        <f>VLOOKUP($A134,'Data shares'!$C:$FA,124)</f>
        <v>1.31</v>
      </c>
      <c r="F134" s="143">
        <f>VLOOKUP($A134,'Data shares'!$C:$FA,125)</f>
        <v>0.24</v>
      </c>
      <c r="G134" s="143">
        <f>VLOOKUP($A134,'Data shares'!$C:$FA,127)*100</f>
        <v>445.83000000000004</v>
      </c>
      <c r="H134" s="103">
        <f>VLOOKUP($A134,'OI(Volume)'!$A$7:$O$427,8)</f>
        <v>7305375</v>
      </c>
      <c r="I134" s="103">
        <f>VLOOKUP($A134,'OI(Volume)'!$A$7:$O$427,9)</f>
        <v>1756125</v>
      </c>
      <c r="J134" s="103">
        <f>VLOOKUP($A134,'OI(Volume)'!$A$7:$O$427,11)</f>
        <v>3847200</v>
      </c>
      <c r="K134" s="103">
        <f>VLOOKUP($A134,'OI(Volume)'!$A$7:$O$427,12)</f>
        <v>1026375</v>
      </c>
      <c r="L134" s="103">
        <f>VLOOKUP($A134,'OI(Value)'!$A$7:$O$306,8,0)</f>
        <v>755</v>
      </c>
      <c r="M134" s="103">
        <f>VLOOKUP($A134,'OI(Value)'!$A$7:$O$306,9,0)</f>
        <v>182</v>
      </c>
      <c r="N134" s="103">
        <f>VLOOKUP($A134,'OI(Value)'!$A$7:$O$306,11,0)</f>
        <v>398</v>
      </c>
      <c r="O134" s="103">
        <f>VLOOKUP($A134,'OI(Value)'!$A$7:$O$306,12,0)</f>
        <v>106</v>
      </c>
      <c r="P134" s="179">
        <f>VLOOKUP(A134,'OI(Value)'!A134:O335,8,0)</f>
        <v>755</v>
      </c>
      <c r="Q134" s="179">
        <f>VLOOKUP(A134,'OI(Value)'!A134:O335,9,0)</f>
        <v>182</v>
      </c>
      <c r="R134" s="179">
        <f>VLOOKUP(A134,'OI(Value)'!A134:O335,11,0)</f>
        <v>398</v>
      </c>
      <c r="S134" s="179">
        <f>VLOOKUP(A134,'OI(Value)'!A134:O335,11,0)</f>
        <v>398</v>
      </c>
    </row>
    <row r="135" spans="1:19" x14ac:dyDescent="0.25">
      <c r="A135" s="105" t="str">
        <f>'Data shares'!C130</f>
        <v>MAZDOCK</v>
      </c>
      <c r="B135" s="143">
        <f>VLOOKUP($A135,'Data shares'!$C:$FA,118)</f>
        <v>0.43</v>
      </c>
      <c r="C135" s="143">
        <f>VLOOKUP($A135,'Data shares'!$C:$FA,119)</f>
        <v>0.45</v>
      </c>
      <c r="D135" s="143">
        <f>VLOOKUP($A135,'Data shares'!$C:$FA,121)*100</f>
        <v>-4.4400000000000004</v>
      </c>
      <c r="E135" s="143">
        <f>VLOOKUP($A135,'Data shares'!$C:$FA,124)</f>
        <v>0.6</v>
      </c>
      <c r="F135" s="143">
        <f>VLOOKUP($A135,'Data shares'!$C:$FA,125)</f>
        <v>0.4</v>
      </c>
      <c r="G135" s="143">
        <f>VLOOKUP($A135,'Data shares'!$C:$FA,127)*100</f>
        <v>50</v>
      </c>
      <c r="H135" s="103">
        <f>VLOOKUP($A135,'OI(Volume)'!$A$7:$O$427,8)</f>
        <v>4206900</v>
      </c>
      <c r="I135" s="103">
        <f>VLOOKUP($A135,'OI(Volume)'!$A$7:$O$427,9)</f>
        <v>138425</v>
      </c>
      <c r="J135" s="103">
        <f>VLOOKUP($A135,'OI(Volume)'!$A$7:$O$427,11)</f>
        <v>1788600</v>
      </c>
      <c r="K135" s="103">
        <f>VLOOKUP($A135,'OI(Volume)'!$A$7:$O$427,12)</f>
        <v>-22750</v>
      </c>
      <c r="L135" s="103">
        <f>VLOOKUP($A135,'OI(Value)'!$A$7:$O$306,8,0)</f>
        <v>994</v>
      </c>
      <c r="M135" s="103">
        <f>VLOOKUP($A135,'OI(Value)'!$A$7:$O$306,9,0)</f>
        <v>33</v>
      </c>
      <c r="N135" s="103">
        <f>VLOOKUP($A135,'OI(Value)'!$A$7:$O$306,11,0)</f>
        <v>423</v>
      </c>
      <c r="O135" s="103">
        <f>VLOOKUP($A135,'OI(Value)'!$A$7:$O$306,12,0)</f>
        <v>-5</v>
      </c>
      <c r="P135" s="179">
        <f>VLOOKUP(A135,'OI(Value)'!A135:O336,8,0)</f>
        <v>994</v>
      </c>
      <c r="Q135" s="179">
        <f>VLOOKUP(A135,'OI(Value)'!A135:O336,9,0)</f>
        <v>33</v>
      </c>
      <c r="R135" s="179">
        <f>VLOOKUP(A135,'OI(Value)'!A135:O336,11,0)</f>
        <v>423</v>
      </c>
      <c r="S135" s="179">
        <f>VLOOKUP(A135,'OI(Value)'!A135:O336,11,0)</f>
        <v>423</v>
      </c>
    </row>
    <row r="136" spans="1:19" x14ac:dyDescent="0.25">
      <c r="A136" s="105" t="str">
        <f>'Data shares'!C131</f>
        <v>MCX</v>
      </c>
      <c r="B136" s="143">
        <f>VLOOKUP($A136,'Data shares'!$C:$FA,118)</f>
        <v>0.64</v>
      </c>
      <c r="C136" s="143">
        <f>VLOOKUP($A136,'Data shares'!$C:$FA,119)</f>
        <v>0.67</v>
      </c>
      <c r="D136" s="143">
        <f>VLOOKUP($A136,'Data shares'!$C:$FA,121)*100</f>
        <v>-4.4799999999999995</v>
      </c>
      <c r="E136" s="143">
        <f>VLOOKUP($A136,'Data shares'!$C:$FA,124)</f>
        <v>0.65</v>
      </c>
      <c r="F136" s="143">
        <f>VLOOKUP($A136,'Data shares'!$C:$FA,125)</f>
        <v>0.76</v>
      </c>
      <c r="G136" s="143">
        <f>VLOOKUP($A136,'Data shares'!$C:$FA,127)*100</f>
        <v>-14.469999999999999</v>
      </c>
      <c r="H136" s="103">
        <f>VLOOKUP($A136,'OI(Volume)'!$A$7:$O$427,8)</f>
        <v>3142000</v>
      </c>
      <c r="I136" s="103">
        <f>VLOOKUP($A136,'OI(Volume)'!$A$7:$O$427,9)</f>
        <v>199625</v>
      </c>
      <c r="J136" s="103">
        <f>VLOOKUP($A136,'OI(Volume)'!$A$7:$O$427,11)</f>
        <v>1995750</v>
      </c>
      <c r="K136" s="103">
        <f>VLOOKUP($A136,'OI(Volume)'!$A$7:$O$427,12)</f>
        <v>31000</v>
      </c>
      <c r="L136" s="103">
        <f>VLOOKUP($A136,'OI(Value)'!$A$7:$O$306,8,0)</f>
        <v>3163</v>
      </c>
      <c r="M136" s="103">
        <f>VLOOKUP($A136,'OI(Value)'!$A$7:$O$306,9,0)</f>
        <v>201</v>
      </c>
      <c r="N136" s="103">
        <f>VLOOKUP($A136,'OI(Value)'!$A$7:$O$306,11,0)</f>
        <v>2009</v>
      </c>
      <c r="O136" s="103">
        <f>VLOOKUP($A136,'OI(Value)'!$A$7:$O$306,12,0)</f>
        <v>31</v>
      </c>
      <c r="P136" s="179">
        <f>VLOOKUP(A136,'OI(Value)'!A136:O337,8,0)</f>
        <v>3163</v>
      </c>
      <c r="Q136" s="179">
        <f>VLOOKUP(A136,'OI(Value)'!A136:O337,9,0)</f>
        <v>201</v>
      </c>
      <c r="R136" s="179">
        <f>VLOOKUP(A136,'OI(Value)'!A136:O337,11,0)</f>
        <v>2009</v>
      </c>
      <c r="S136" s="179">
        <f>VLOOKUP(A136,'OI(Value)'!A136:O337,11,0)</f>
        <v>2009</v>
      </c>
    </row>
    <row r="137" spans="1:19" x14ac:dyDescent="0.25">
      <c r="A137" s="105" t="str">
        <f>'Data shares'!C132</f>
        <v>MFSL</v>
      </c>
      <c r="B137" s="143">
        <f>VLOOKUP($A137,'Data shares'!$C:$FA,118)</f>
        <v>0.53</v>
      </c>
      <c r="C137" s="143">
        <f>VLOOKUP($A137,'Data shares'!$C:$FA,119)</f>
        <v>0.55000000000000004</v>
      </c>
      <c r="D137" s="143">
        <f>VLOOKUP($A137,'Data shares'!$C:$FA,121)*100</f>
        <v>-3.64</v>
      </c>
      <c r="E137" s="143">
        <f>VLOOKUP($A137,'Data shares'!$C:$FA,124)</f>
        <v>0.61</v>
      </c>
      <c r="F137" s="143">
        <f>VLOOKUP($A137,'Data shares'!$C:$FA,125)</f>
        <v>0.41</v>
      </c>
      <c r="G137" s="143">
        <f>VLOOKUP($A137,'Data shares'!$C:$FA,127)*100</f>
        <v>48.78</v>
      </c>
      <c r="H137" s="103">
        <f>VLOOKUP($A137,'OI(Volume)'!$A$7:$O$427,8)</f>
        <v>1864800</v>
      </c>
      <c r="I137" s="103">
        <f>VLOOKUP($A137,'OI(Volume)'!$A$7:$O$427,9)</f>
        <v>2800</v>
      </c>
      <c r="J137" s="103">
        <f>VLOOKUP($A137,'OI(Volume)'!$A$7:$O$427,11)</f>
        <v>994000</v>
      </c>
      <c r="K137" s="103">
        <f>VLOOKUP($A137,'OI(Volume)'!$A$7:$O$427,12)</f>
        <v>-27600</v>
      </c>
      <c r="L137" s="103">
        <f>VLOOKUP($A137,'OI(Value)'!$A$7:$O$306,8,0)</f>
        <v>311</v>
      </c>
      <c r="M137" s="103">
        <f>VLOOKUP($A137,'OI(Value)'!$A$7:$O$306,9,0)</f>
        <v>0</v>
      </c>
      <c r="N137" s="103">
        <f>VLOOKUP($A137,'OI(Value)'!$A$7:$O$306,11,0)</f>
        <v>166</v>
      </c>
      <c r="O137" s="103">
        <f>VLOOKUP($A137,'OI(Value)'!$A$7:$O$306,12,0)</f>
        <v>-5</v>
      </c>
      <c r="P137" s="179">
        <f>VLOOKUP(A137,'OI(Value)'!A137:O338,8,0)</f>
        <v>311</v>
      </c>
      <c r="Q137" s="179">
        <f>VLOOKUP(A137,'OI(Value)'!A137:O338,9,0)</f>
        <v>0</v>
      </c>
      <c r="R137" s="179">
        <f>VLOOKUP(A137,'OI(Value)'!A137:O338,11,0)</f>
        <v>166</v>
      </c>
      <c r="S137" s="179">
        <f>VLOOKUP(A137,'OI(Value)'!A137:O338,11,0)</f>
        <v>166</v>
      </c>
    </row>
    <row r="138" spans="1:19" x14ac:dyDescent="0.25">
      <c r="A138" s="105" t="str">
        <f>'Data shares'!C133</f>
        <v>MIDCPNIFTY</v>
      </c>
      <c r="B138" s="143">
        <f>VLOOKUP($A138,'Data shares'!$C:$FA,118)</f>
        <v>0.86</v>
      </c>
      <c r="C138" s="143">
        <f>VLOOKUP($A138,'Data shares'!$C:$FA,119)</f>
        <v>0.91</v>
      </c>
      <c r="D138" s="143">
        <f>VLOOKUP($A138,'Data shares'!$C:$FA,121)*100</f>
        <v>-5.4899999999999993</v>
      </c>
      <c r="E138" s="143">
        <f>VLOOKUP($A138,'Data shares'!$C:$FA,124)</f>
        <v>0.75</v>
      </c>
      <c r="F138" s="143">
        <f>VLOOKUP($A138,'Data shares'!$C:$FA,125)</f>
        <v>0.86</v>
      </c>
      <c r="G138" s="143">
        <f>VLOOKUP($A138,'Data shares'!$C:$FA,127)*100</f>
        <v>-12.790000000000001</v>
      </c>
      <c r="H138" s="103">
        <f>VLOOKUP($A138,'OI(Volume)'!$A$7:$O$427,8)</f>
        <v>10689220</v>
      </c>
      <c r="I138" s="103">
        <f>VLOOKUP($A138,'OI(Volume)'!$A$7:$O$427,9)</f>
        <v>815620</v>
      </c>
      <c r="J138" s="103">
        <f>VLOOKUP($A138,'OI(Volume)'!$A$7:$O$427,11)</f>
        <v>9196300</v>
      </c>
      <c r="K138" s="103">
        <f>VLOOKUP($A138,'OI(Volume)'!$A$7:$O$427,12)</f>
        <v>179480</v>
      </c>
      <c r="L138" s="103">
        <f>VLOOKUP($A138,'OI(Value)'!$A$7:$O$306,8,0)</f>
        <v>14629</v>
      </c>
      <c r="M138" s="103">
        <f>VLOOKUP($A138,'OI(Value)'!$A$7:$O$306,9,0)</f>
        <v>1116</v>
      </c>
      <c r="N138" s="103">
        <f>VLOOKUP($A138,'OI(Value)'!$A$7:$O$306,11,0)</f>
        <v>12586</v>
      </c>
      <c r="O138" s="103">
        <f>VLOOKUP($A138,'OI(Value)'!$A$7:$O$306,12,0)</f>
        <v>246</v>
      </c>
      <c r="P138" s="179">
        <f>VLOOKUP(A138,'OI(Value)'!A138:O339,8,0)</f>
        <v>14629</v>
      </c>
      <c r="Q138" s="179">
        <f>VLOOKUP(A138,'OI(Value)'!A138:O339,9,0)</f>
        <v>1116</v>
      </c>
      <c r="R138" s="179">
        <f>VLOOKUP(A138,'OI(Value)'!A138:O339,11,0)</f>
        <v>12586</v>
      </c>
      <c r="S138" s="179">
        <f>VLOOKUP(A138,'OI(Value)'!A138:O339,11,0)</f>
        <v>12586</v>
      </c>
    </row>
    <row r="139" spans="1:19" x14ac:dyDescent="0.25">
      <c r="A139" s="105" t="str">
        <f>'Data shares'!C134</f>
        <v>MOTHERSON</v>
      </c>
      <c r="B139" s="143">
        <f>VLOOKUP($A139,'Data shares'!$C:$FA,118)</f>
        <v>0.79</v>
      </c>
      <c r="C139" s="143">
        <f>VLOOKUP($A139,'Data shares'!$C:$FA,119)</f>
        <v>0.8</v>
      </c>
      <c r="D139" s="143">
        <f>VLOOKUP($A139,'Data shares'!$C:$FA,121)*100</f>
        <v>-1.25</v>
      </c>
      <c r="E139" s="143">
        <f>VLOOKUP($A139,'Data shares'!$C:$FA,124)</f>
        <v>0.46</v>
      </c>
      <c r="F139" s="143">
        <f>VLOOKUP($A139,'Data shares'!$C:$FA,125)</f>
        <v>0.55000000000000004</v>
      </c>
      <c r="G139" s="143">
        <f>VLOOKUP($A139,'Data shares'!$C:$FA,127)*100</f>
        <v>-16.36</v>
      </c>
      <c r="H139" s="103">
        <f>VLOOKUP($A139,'OI(Volume)'!$A$7:$O$427,8)</f>
        <v>61057200</v>
      </c>
      <c r="I139" s="103">
        <f>VLOOKUP($A139,'OI(Volume)'!$A$7:$O$427,9)</f>
        <v>547350</v>
      </c>
      <c r="J139" s="103">
        <f>VLOOKUP($A139,'OI(Volume)'!$A$7:$O$427,11)</f>
        <v>47939250</v>
      </c>
      <c r="K139" s="103">
        <f>VLOOKUP($A139,'OI(Volume)'!$A$7:$O$427,12)</f>
        <v>-608850</v>
      </c>
      <c r="L139" s="103">
        <f>VLOOKUP($A139,'OI(Value)'!$A$7:$O$306,8,0)</f>
        <v>731</v>
      </c>
      <c r="M139" s="103">
        <f>VLOOKUP($A139,'OI(Value)'!$A$7:$O$306,9,0)</f>
        <v>7</v>
      </c>
      <c r="N139" s="103">
        <f>VLOOKUP($A139,'OI(Value)'!$A$7:$O$306,11,0)</f>
        <v>574</v>
      </c>
      <c r="O139" s="103">
        <f>VLOOKUP($A139,'OI(Value)'!$A$7:$O$306,12,0)</f>
        <v>-7</v>
      </c>
      <c r="P139" s="179">
        <f>VLOOKUP(A139,'OI(Value)'!A139:O340,8,0)</f>
        <v>731</v>
      </c>
      <c r="Q139" s="179">
        <f>VLOOKUP(A139,'OI(Value)'!A139:O340,9,0)</f>
        <v>7</v>
      </c>
      <c r="R139" s="179">
        <f>VLOOKUP(A139,'OI(Value)'!A139:O340,11,0)</f>
        <v>574</v>
      </c>
      <c r="S139" s="179">
        <f>VLOOKUP(A139,'OI(Value)'!A139:O340,11,0)</f>
        <v>574</v>
      </c>
    </row>
    <row r="140" spans="1:19" x14ac:dyDescent="0.25">
      <c r="A140" s="105" t="str">
        <f>'Data shares'!C135</f>
        <v>MPHASIS</v>
      </c>
      <c r="B140" s="143">
        <f>VLOOKUP($A140,'Data shares'!$C:$FA,118)</f>
        <v>0.77</v>
      </c>
      <c r="C140" s="143">
        <f>VLOOKUP($A140,'Data shares'!$C:$FA,119)</f>
        <v>0.76</v>
      </c>
      <c r="D140" s="143">
        <f>VLOOKUP($A140,'Data shares'!$C:$FA,121)*100</f>
        <v>1.32</v>
      </c>
      <c r="E140" s="143">
        <f>VLOOKUP($A140,'Data shares'!$C:$FA,124)</f>
        <v>0.28000000000000003</v>
      </c>
      <c r="F140" s="143">
        <f>VLOOKUP($A140,'Data shares'!$C:$FA,125)</f>
        <v>0.76</v>
      </c>
      <c r="G140" s="143">
        <f>VLOOKUP($A140,'Data shares'!$C:$FA,127)*100</f>
        <v>-63.160000000000004</v>
      </c>
      <c r="H140" s="103">
        <f>VLOOKUP($A140,'OI(Volume)'!$A$7:$O$427,8)</f>
        <v>1367575</v>
      </c>
      <c r="I140" s="103">
        <f>VLOOKUP($A140,'OI(Volume)'!$A$7:$O$427,9)</f>
        <v>29975</v>
      </c>
      <c r="J140" s="103">
        <f>VLOOKUP($A140,'OI(Volume)'!$A$7:$O$427,11)</f>
        <v>1048025</v>
      </c>
      <c r="K140" s="103">
        <f>VLOOKUP($A140,'OI(Volume)'!$A$7:$O$427,12)</f>
        <v>25025</v>
      </c>
      <c r="L140" s="103">
        <f>VLOOKUP($A140,'OI(Value)'!$A$7:$O$306,8,0)</f>
        <v>392</v>
      </c>
      <c r="M140" s="103">
        <f>VLOOKUP($A140,'OI(Value)'!$A$7:$O$306,9,0)</f>
        <v>9</v>
      </c>
      <c r="N140" s="103">
        <f>VLOOKUP($A140,'OI(Value)'!$A$7:$O$306,11,0)</f>
        <v>301</v>
      </c>
      <c r="O140" s="103">
        <f>VLOOKUP($A140,'OI(Value)'!$A$7:$O$306,12,0)</f>
        <v>7</v>
      </c>
      <c r="P140" s="179">
        <f>VLOOKUP(A140,'OI(Value)'!A140:O341,8,0)</f>
        <v>392</v>
      </c>
      <c r="Q140" s="179">
        <f>VLOOKUP(A140,'OI(Value)'!A140:O341,9,0)</f>
        <v>9</v>
      </c>
      <c r="R140" s="179">
        <f>VLOOKUP(A140,'OI(Value)'!A140:O341,11,0)</f>
        <v>301</v>
      </c>
      <c r="S140" s="179">
        <f>VLOOKUP(A140,'OI(Value)'!A140:O341,11,0)</f>
        <v>301</v>
      </c>
    </row>
    <row r="141" spans="1:19" x14ac:dyDescent="0.25">
      <c r="A141" s="105" t="str">
        <f>'Data shares'!C136</f>
        <v>MUTHOOTFIN</v>
      </c>
      <c r="B141" s="143">
        <f>VLOOKUP($A141,'Data shares'!$C:$FA,118)</f>
        <v>0.52</v>
      </c>
      <c r="C141" s="143">
        <f>VLOOKUP($A141,'Data shares'!$C:$FA,119)</f>
        <v>0.55000000000000004</v>
      </c>
      <c r="D141" s="143">
        <f>VLOOKUP($A141,'Data shares'!$C:$FA,121)*100</f>
        <v>-5.45</v>
      </c>
      <c r="E141" s="143">
        <f>VLOOKUP($A141,'Data shares'!$C:$FA,124)</f>
        <v>0.41</v>
      </c>
      <c r="F141" s="143">
        <f>VLOOKUP($A141,'Data shares'!$C:$FA,125)</f>
        <v>0.57999999999999996</v>
      </c>
      <c r="G141" s="143">
        <f>VLOOKUP($A141,'Data shares'!$C:$FA,127)*100</f>
        <v>-29.310000000000002</v>
      </c>
      <c r="H141" s="103">
        <f>VLOOKUP($A141,'OI(Volume)'!$A$7:$O$427,8)</f>
        <v>3474075</v>
      </c>
      <c r="I141" s="103">
        <f>VLOOKUP($A141,'OI(Volume)'!$A$7:$O$427,9)</f>
        <v>118800</v>
      </c>
      <c r="J141" s="103">
        <f>VLOOKUP($A141,'OI(Volume)'!$A$7:$O$427,11)</f>
        <v>1809500</v>
      </c>
      <c r="K141" s="103">
        <f>VLOOKUP($A141,'OI(Volume)'!$A$7:$O$427,12)</f>
        <v>-29975</v>
      </c>
      <c r="L141" s="103">
        <f>VLOOKUP($A141,'OI(Value)'!$A$7:$O$306,8,0)</f>
        <v>1309</v>
      </c>
      <c r="M141" s="103">
        <f>VLOOKUP($A141,'OI(Value)'!$A$7:$O$306,9,0)</f>
        <v>45</v>
      </c>
      <c r="N141" s="103">
        <f>VLOOKUP($A141,'OI(Value)'!$A$7:$O$306,11,0)</f>
        <v>682</v>
      </c>
      <c r="O141" s="103">
        <f>VLOOKUP($A141,'OI(Value)'!$A$7:$O$306,12,0)</f>
        <v>-11</v>
      </c>
      <c r="P141" s="179">
        <f>VLOOKUP(A141,'OI(Value)'!A141:O342,8,0)</f>
        <v>1309</v>
      </c>
      <c r="Q141" s="179">
        <f>VLOOKUP(A141,'OI(Value)'!A141:O342,9,0)</f>
        <v>45</v>
      </c>
      <c r="R141" s="179">
        <f>VLOOKUP(A141,'OI(Value)'!A141:O342,11,0)</f>
        <v>682</v>
      </c>
      <c r="S141" s="179">
        <f>VLOOKUP(A141,'OI(Value)'!A141:O342,11,0)</f>
        <v>682</v>
      </c>
    </row>
    <row r="142" spans="1:19" x14ac:dyDescent="0.25">
      <c r="A142" s="105" t="str">
        <f>'Data shares'!C137</f>
        <v>NATIONALUM</v>
      </c>
      <c r="B142" s="143">
        <f>VLOOKUP($A142,'Data shares'!$C:$FA,118)</f>
        <v>0.85</v>
      </c>
      <c r="C142" s="143">
        <f>VLOOKUP($A142,'Data shares'!$C:$FA,119)</f>
        <v>0.87</v>
      </c>
      <c r="D142" s="143">
        <f>VLOOKUP($A142,'Data shares'!$C:$FA,121)*100</f>
        <v>-2.2999999999999998</v>
      </c>
      <c r="E142" s="143">
        <f>VLOOKUP($A142,'Data shares'!$C:$FA,124)</f>
        <v>0.51</v>
      </c>
      <c r="F142" s="143">
        <f>VLOOKUP($A142,'Data shares'!$C:$FA,125)</f>
        <v>0.61</v>
      </c>
      <c r="G142" s="143">
        <f>VLOOKUP($A142,'Data shares'!$C:$FA,127)*100</f>
        <v>-16.39</v>
      </c>
      <c r="H142" s="103">
        <f>VLOOKUP($A142,'OI(Volume)'!$A$7:$O$427,8)</f>
        <v>33296250</v>
      </c>
      <c r="I142" s="103">
        <f>VLOOKUP($A142,'OI(Volume)'!$A$7:$O$427,9)</f>
        <v>2167500</v>
      </c>
      <c r="J142" s="103">
        <f>VLOOKUP($A142,'OI(Volume)'!$A$7:$O$427,11)</f>
        <v>28237500</v>
      </c>
      <c r="K142" s="103">
        <f>VLOOKUP($A142,'OI(Volume)'!$A$7:$O$427,12)</f>
        <v>1068750</v>
      </c>
      <c r="L142" s="103">
        <f>VLOOKUP($A142,'OI(Value)'!$A$7:$O$306,8,0)</f>
        <v>931</v>
      </c>
      <c r="M142" s="103">
        <f>VLOOKUP($A142,'OI(Value)'!$A$7:$O$306,9,0)</f>
        <v>61</v>
      </c>
      <c r="N142" s="103">
        <f>VLOOKUP($A142,'OI(Value)'!$A$7:$O$306,11,0)</f>
        <v>790</v>
      </c>
      <c r="O142" s="103">
        <f>VLOOKUP($A142,'OI(Value)'!$A$7:$O$306,12,0)</f>
        <v>30</v>
      </c>
      <c r="P142" s="179">
        <f>VLOOKUP(A142,'OI(Value)'!A142:O343,8,0)</f>
        <v>931</v>
      </c>
      <c r="Q142" s="179">
        <f>VLOOKUP(A142,'OI(Value)'!A142:O343,9,0)</f>
        <v>61</v>
      </c>
      <c r="R142" s="179">
        <f>VLOOKUP(A142,'OI(Value)'!A142:O343,11,0)</f>
        <v>790</v>
      </c>
      <c r="S142" s="179">
        <f>VLOOKUP(A142,'OI(Value)'!A142:O343,11,0)</f>
        <v>790</v>
      </c>
    </row>
    <row r="143" spans="1:19" x14ac:dyDescent="0.25">
      <c r="A143" s="105" t="str">
        <f>'Data shares'!C138</f>
        <v>NAUKRI</v>
      </c>
      <c r="B143" s="143">
        <f>VLOOKUP($A143,'Data shares'!$C:$FA,118)</f>
        <v>0.84</v>
      </c>
      <c r="C143" s="143">
        <f>VLOOKUP($A143,'Data shares'!$C:$FA,119)</f>
        <v>0.85</v>
      </c>
      <c r="D143" s="143">
        <f>VLOOKUP($A143,'Data shares'!$C:$FA,121)*100</f>
        <v>-1.18</v>
      </c>
      <c r="E143" s="143">
        <f>VLOOKUP($A143,'Data shares'!$C:$FA,124)</f>
        <v>0.31</v>
      </c>
      <c r="F143" s="143">
        <f>VLOOKUP($A143,'Data shares'!$C:$FA,125)</f>
        <v>0.5</v>
      </c>
      <c r="G143" s="143">
        <f>VLOOKUP($A143,'Data shares'!$C:$FA,127)*100</f>
        <v>-38</v>
      </c>
      <c r="H143" s="103">
        <f>VLOOKUP($A143,'OI(Volume)'!$A$7:$O$427,8)</f>
        <v>2775750</v>
      </c>
      <c r="I143" s="103">
        <f>VLOOKUP($A143,'OI(Volume)'!$A$7:$O$427,9)</f>
        <v>60000</v>
      </c>
      <c r="J143" s="103">
        <f>VLOOKUP($A143,'OI(Volume)'!$A$7:$O$427,11)</f>
        <v>2322000</v>
      </c>
      <c r="K143" s="103">
        <f>VLOOKUP($A143,'OI(Volume)'!$A$7:$O$427,12)</f>
        <v>7125</v>
      </c>
      <c r="L143" s="103">
        <f>VLOOKUP($A143,'OI(Value)'!$A$7:$O$306,8,0)</f>
        <v>373</v>
      </c>
      <c r="M143" s="103">
        <f>VLOOKUP($A143,'OI(Value)'!$A$7:$O$306,9,0)</f>
        <v>8</v>
      </c>
      <c r="N143" s="103">
        <f>VLOOKUP($A143,'OI(Value)'!$A$7:$O$306,11,0)</f>
        <v>312</v>
      </c>
      <c r="O143" s="103">
        <f>VLOOKUP($A143,'OI(Value)'!$A$7:$O$306,12,0)</f>
        <v>1</v>
      </c>
      <c r="P143" s="179">
        <f>VLOOKUP(A143,'OI(Value)'!A143:O344,8,0)</f>
        <v>373</v>
      </c>
      <c r="Q143" s="179">
        <f>VLOOKUP(A143,'OI(Value)'!A143:O344,9,0)</f>
        <v>8</v>
      </c>
      <c r="R143" s="179">
        <f>VLOOKUP(A143,'OI(Value)'!A143:O344,11,0)</f>
        <v>312</v>
      </c>
      <c r="S143" s="179">
        <f>VLOOKUP(A143,'OI(Value)'!A143:O344,11,0)</f>
        <v>312</v>
      </c>
    </row>
    <row r="144" spans="1:19" x14ac:dyDescent="0.25">
      <c r="A144" s="105" t="str">
        <f>'Data shares'!C139</f>
        <v>NBCC</v>
      </c>
      <c r="B144" s="143">
        <f>VLOOKUP($A144,'Data shares'!$C:$FA,118)</f>
        <v>0.4</v>
      </c>
      <c r="C144" s="143">
        <f>VLOOKUP($A144,'Data shares'!$C:$FA,119)</f>
        <v>0.47</v>
      </c>
      <c r="D144" s="143">
        <f>VLOOKUP($A144,'Data shares'!$C:$FA,121)*100</f>
        <v>-14.89</v>
      </c>
      <c r="E144" s="143">
        <f>VLOOKUP($A144,'Data shares'!$C:$FA,124)</f>
        <v>0.28000000000000003</v>
      </c>
      <c r="F144" s="143">
        <f>VLOOKUP($A144,'Data shares'!$C:$FA,125)</f>
        <v>0.63</v>
      </c>
      <c r="G144" s="143">
        <f>VLOOKUP($A144,'Data shares'!$C:$FA,127)*100</f>
        <v>-55.559999999999995</v>
      </c>
      <c r="H144" s="103">
        <f>VLOOKUP($A144,'OI(Volume)'!$A$7:$O$427,8)</f>
        <v>57752500</v>
      </c>
      <c r="I144" s="103">
        <f>VLOOKUP($A144,'OI(Volume)'!$A$7:$O$427,9)</f>
        <v>9951500</v>
      </c>
      <c r="J144" s="103">
        <f>VLOOKUP($A144,'OI(Volume)'!$A$7:$O$427,11)</f>
        <v>23309000</v>
      </c>
      <c r="K144" s="103">
        <f>VLOOKUP($A144,'OI(Volume)'!$A$7:$O$427,12)</f>
        <v>981500</v>
      </c>
      <c r="L144" s="103">
        <f>VLOOKUP($A144,'OI(Value)'!$A$7:$O$306,8,0)</f>
        <v>634</v>
      </c>
      <c r="M144" s="103">
        <f>VLOOKUP($A144,'OI(Value)'!$A$7:$O$306,9,0)</f>
        <v>109</v>
      </c>
      <c r="N144" s="103">
        <f>VLOOKUP($A144,'OI(Value)'!$A$7:$O$306,11,0)</f>
        <v>256</v>
      </c>
      <c r="O144" s="103">
        <f>VLOOKUP($A144,'OI(Value)'!$A$7:$O$306,12,0)</f>
        <v>11</v>
      </c>
      <c r="P144" s="179">
        <f>VLOOKUP(A144,'OI(Value)'!A144:O345,8,0)</f>
        <v>634</v>
      </c>
      <c r="Q144" s="179">
        <f>VLOOKUP(A144,'OI(Value)'!A144:O345,9,0)</f>
        <v>109</v>
      </c>
      <c r="R144" s="179">
        <f>VLOOKUP(A144,'OI(Value)'!A144:O345,11,0)</f>
        <v>256</v>
      </c>
      <c r="S144" s="179">
        <f>VLOOKUP(A144,'OI(Value)'!A144:O345,11,0)</f>
        <v>256</v>
      </c>
    </row>
    <row r="145" spans="1:19" x14ac:dyDescent="0.25">
      <c r="A145" s="105" t="str">
        <f>'Data shares'!C140</f>
        <v>NCC</v>
      </c>
      <c r="B145" s="143">
        <f>VLOOKUP($A145,'Data shares'!$C:$FA,118)</f>
        <v>0.42</v>
      </c>
      <c r="C145" s="143">
        <f>VLOOKUP($A145,'Data shares'!$C:$FA,119)</f>
        <v>0.42</v>
      </c>
      <c r="D145" s="143">
        <f>VLOOKUP($A145,'Data shares'!$C:$FA,121)*100</f>
        <v>0</v>
      </c>
      <c r="E145" s="143">
        <f>VLOOKUP($A145,'Data shares'!$C:$FA,124)</f>
        <v>0.45</v>
      </c>
      <c r="F145" s="143">
        <f>VLOOKUP($A145,'Data shares'!$C:$FA,125)</f>
        <v>0.41</v>
      </c>
      <c r="G145" s="143">
        <f>VLOOKUP($A145,'Data shares'!$C:$FA,127)*100</f>
        <v>9.76</v>
      </c>
      <c r="H145" s="103">
        <f>VLOOKUP($A145,'OI(Volume)'!$A$7:$O$427,8)</f>
        <v>23689800</v>
      </c>
      <c r="I145" s="103">
        <f>VLOOKUP($A145,'OI(Volume)'!$A$7:$O$427,9)</f>
        <v>-761400</v>
      </c>
      <c r="J145" s="103">
        <f>VLOOKUP($A145,'OI(Volume)'!$A$7:$O$427,11)</f>
        <v>9944100</v>
      </c>
      <c r="K145" s="103">
        <f>VLOOKUP($A145,'OI(Volume)'!$A$7:$O$427,12)</f>
        <v>-297000</v>
      </c>
      <c r="L145" s="103">
        <f>VLOOKUP($A145,'OI(Value)'!$A$7:$O$306,8,0)</f>
        <v>369</v>
      </c>
      <c r="M145" s="103">
        <f>VLOOKUP($A145,'OI(Value)'!$A$7:$O$306,9,0)</f>
        <v>-12</v>
      </c>
      <c r="N145" s="103">
        <f>VLOOKUP($A145,'OI(Value)'!$A$7:$O$306,11,0)</f>
        <v>155</v>
      </c>
      <c r="O145" s="103">
        <f>VLOOKUP($A145,'OI(Value)'!$A$7:$O$306,12,0)</f>
        <v>-5</v>
      </c>
      <c r="P145" s="179">
        <f>VLOOKUP(A145,'OI(Value)'!A145:O346,8,0)</f>
        <v>369</v>
      </c>
      <c r="Q145" s="179">
        <f>VLOOKUP(A145,'OI(Value)'!A145:O346,9,0)</f>
        <v>-12</v>
      </c>
      <c r="R145" s="179">
        <f>VLOOKUP(A145,'OI(Value)'!A145:O346,11,0)</f>
        <v>155</v>
      </c>
      <c r="S145" s="179">
        <f>VLOOKUP(A145,'OI(Value)'!A145:O346,11,0)</f>
        <v>155</v>
      </c>
    </row>
    <row r="146" spans="1:19" x14ac:dyDescent="0.25">
      <c r="A146" s="105" t="str">
        <f>'Data shares'!C141</f>
        <v>NESTLEIND</v>
      </c>
      <c r="B146" s="143">
        <f>VLOOKUP($A146,'Data shares'!$C:$FA,118)</f>
        <v>0.31</v>
      </c>
      <c r="C146" s="143">
        <f>VLOOKUP($A146,'Data shares'!$C:$FA,119)</f>
        <v>0.33</v>
      </c>
      <c r="D146" s="143">
        <f>VLOOKUP($A146,'Data shares'!$C:$FA,121)*100</f>
        <v>-6.0600000000000005</v>
      </c>
      <c r="E146" s="143">
        <f>VLOOKUP($A146,'Data shares'!$C:$FA,124)</f>
        <v>0.36</v>
      </c>
      <c r="F146" s="143">
        <f>VLOOKUP($A146,'Data shares'!$C:$FA,125)</f>
        <v>0.22</v>
      </c>
      <c r="G146" s="143">
        <f>VLOOKUP($A146,'Data shares'!$C:$FA,127)*100</f>
        <v>63.639999999999993</v>
      </c>
      <c r="H146" s="103">
        <f>VLOOKUP($A146,'OI(Volume)'!$A$7:$O$427,8)</f>
        <v>7283000</v>
      </c>
      <c r="I146" s="103">
        <f>VLOOKUP($A146,'OI(Volume)'!$A$7:$O$427,9)</f>
        <v>201000</v>
      </c>
      <c r="J146" s="103">
        <f>VLOOKUP($A146,'OI(Volume)'!$A$7:$O$427,11)</f>
        <v>2293000</v>
      </c>
      <c r="K146" s="103">
        <f>VLOOKUP($A146,'OI(Volume)'!$A$7:$O$427,12)</f>
        <v>-12500</v>
      </c>
      <c r="L146" s="103">
        <f>VLOOKUP($A146,'OI(Value)'!$A$7:$O$306,8,0)</f>
        <v>900</v>
      </c>
      <c r="M146" s="103">
        <f>VLOOKUP($A146,'OI(Value)'!$A$7:$O$306,9,0)</f>
        <v>25</v>
      </c>
      <c r="N146" s="103">
        <f>VLOOKUP($A146,'OI(Value)'!$A$7:$O$306,11,0)</f>
        <v>283</v>
      </c>
      <c r="O146" s="103">
        <f>VLOOKUP($A146,'OI(Value)'!$A$7:$O$306,12,0)</f>
        <v>-2</v>
      </c>
      <c r="P146" s="179">
        <f>VLOOKUP(A146,'OI(Value)'!A146:O347,8,0)</f>
        <v>900</v>
      </c>
      <c r="Q146" s="179">
        <f>VLOOKUP(A146,'OI(Value)'!A146:O347,9,0)</f>
        <v>25</v>
      </c>
      <c r="R146" s="179">
        <f>VLOOKUP(A146,'OI(Value)'!A146:O347,11,0)</f>
        <v>283</v>
      </c>
      <c r="S146" s="179">
        <f>VLOOKUP(A146,'OI(Value)'!A146:O347,11,0)</f>
        <v>283</v>
      </c>
    </row>
    <row r="147" spans="1:19" x14ac:dyDescent="0.25">
      <c r="A147" s="105" t="str">
        <f>'Data shares'!C142</f>
        <v>NHPC</v>
      </c>
      <c r="B147" s="143">
        <f>VLOOKUP($A147,'Data shares'!$C:$FA,118)</f>
        <v>0.45</v>
      </c>
      <c r="C147" s="143">
        <f>VLOOKUP($A147,'Data shares'!$C:$FA,119)</f>
        <v>0.45</v>
      </c>
      <c r="D147" s="143">
        <f>VLOOKUP($A147,'Data shares'!$C:$FA,121)*100</f>
        <v>0</v>
      </c>
      <c r="E147" s="143">
        <f>VLOOKUP($A147,'Data shares'!$C:$FA,124)</f>
        <v>0.3</v>
      </c>
      <c r="F147" s="143">
        <f>VLOOKUP($A147,'Data shares'!$C:$FA,125)</f>
        <v>0.21</v>
      </c>
      <c r="G147" s="143">
        <f>VLOOKUP($A147,'Data shares'!$C:$FA,127)*100</f>
        <v>42.86</v>
      </c>
      <c r="H147" s="103">
        <f>VLOOKUP($A147,'OI(Volume)'!$A$7:$O$427,8)</f>
        <v>46912000</v>
      </c>
      <c r="I147" s="103">
        <f>VLOOKUP($A147,'OI(Volume)'!$A$7:$O$427,9)</f>
        <v>108800</v>
      </c>
      <c r="J147" s="103">
        <f>VLOOKUP($A147,'OI(Volume)'!$A$7:$O$427,11)</f>
        <v>20883200</v>
      </c>
      <c r="K147" s="103">
        <f>VLOOKUP($A147,'OI(Volume)'!$A$7:$O$427,12)</f>
        <v>-185600</v>
      </c>
      <c r="L147" s="103">
        <f>VLOOKUP($A147,'OI(Value)'!$A$7:$O$306,8,0)</f>
        <v>355</v>
      </c>
      <c r="M147" s="103">
        <f>VLOOKUP($A147,'OI(Value)'!$A$7:$O$306,9,0)</f>
        <v>1</v>
      </c>
      <c r="N147" s="103">
        <f>VLOOKUP($A147,'OI(Value)'!$A$7:$O$306,11,0)</f>
        <v>158</v>
      </c>
      <c r="O147" s="103">
        <f>VLOOKUP($A147,'OI(Value)'!$A$7:$O$306,12,0)</f>
        <v>-1</v>
      </c>
      <c r="P147" s="179">
        <f>VLOOKUP(A147,'OI(Value)'!A147:O348,8,0)</f>
        <v>355</v>
      </c>
      <c r="Q147" s="179">
        <f>VLOOKUP(A147,'OI(Value)'!A147:O348,9,0)</f>
        <v>1</v>
      </c>
      <c r="R147" s="179">
        <f>VLOOKUP(A147,'OI(Value)'!A147:O348,11,0)</f>
        <v>158</v>
      </c>
      <c r="S147" s="179">
        <f>VLOOKUP(A147,'OI(Value)'!A147:O348,11,0)</f>
        <v>158</v>
      </c>
    </row>
    <row r="148" spans="1:19" x14ac:dyDescent="0.25">
      <c r="A148" s="105" t="str">
        <f>'Data shares'!C143</f>
        <v>NIFTY</v>
      </c>
      <c r="B148" s="143">
        <f>VLOOKUP($A148,'Data shares'!$C:$FA,118)</f>
        <v>0.77</v>
      </c>
      <c r="C148" s="143">
        <f>VLOOKUP($A148,'Data shares'!$C:$FA,119)</f>
        <v>0.9</v>
      </c>
      <c r="D148" s="143">
        <f>VLOOKUP($A148,'Data shares'!$C:$FA,121)*100</f>
        <v>-14.44</v>
      </c>
      <c r="E148" s="143">
        <f>VLOOKUP($A148,'Data shares'!$C:$FA,124)</f>
        <v>0.98</v>
      </c>
      <c r="F148" s="143">
        <f>VLOOKUP($A148,'Data shares'!$C:$FA,125)</f>
        <v>1.03</v>
      </c>
      <c r="G148" s="143">
        <f>VLOOKUP($A148,'Data shares'!$C:$FA,127)*100</f>
        <v>-4.8500000000000005</v>
      </c>
      <c r="H148" s="103">
        <f>VLOOKUP($A148,'OI(Volume)'!$A$7:$O$427,8)</f>
        <v>245713765</v>
      </c>
      <c r="I148" s="103">
        <f>VLOOKUP($A148,'OI(Volume)'!$A$7:$O$427,9)</f>
        <v>73397105</v>
      </c>
      <c r="J148" s="103">
        <f>VLOOKUP($A148,'OI(Volume)'!$A$7:$O$427,11)</f>
        <v>188770280</v>
      </c>
      <c r="K148" s="103">
        <f>VLOOKUP($A148,'OI(Volume)'!$A$7:$O$427,12)</f>
        <v>33610965</v>
      </c>
      <c r="L148" s="103">
        <f>VLOOKUP($A148,'OI(Value)'!$A$7:$O$306,8,0)</f>
        <v>636345</v>
      </c>
      <c r="M148" s="103">
        <f>VLOOKUP($A148,'OI(Value)'!$A$7:$O$306,9,0)</f>
        <v>190082</v>
      </c>
      <c r="N148" s="103">
        <f>VLOOKUP($A148,'OI(Value)'!$A$7:$O$306,11,0)</f>
        <v>488873</v>
      </c>
      <c r="O148" s="103">
        <f>VLOOKUP($A148,'OI(Value)'!$A$7:$O$306,12,0)</f>
        <v>87045</v>
      </c>
      <c r="P148" s="179">
        <f>VLOOKUP(A148,'OI(Value)'!A148:O349,8,0)</f>
        <v>636345</v>
      </c>
      <c r="Q148" s="179">
        <f>VLOOKUP(A148,'OI(Value)'!A148:O349,9,0)</f>
        <v>190082</v>
      </c>
      <c r="R148" s="179">
        <f>VLOOKUP(A148,'OI(Value)'!A148:O349,11,0)</f>
        <v>488873</v>
      </c>
      <c r="S148" s="179">
        <f>VLOOKUP(A148,'OI(Value)'!A148:O349,11,0)</f>
        <v>488873</v>
      </c>
    </row>
    <row r="149" spans="1:19" x14ac:dyDescent="0.25">
      <c r="A149" s="105" t="str">
        <f>'Data shares'!C144</f>
        <v>NIFTYNXT50</v>
      </c>
      <c r="B149" s="143">
        <f>VLOOKUP($A149,'Data shares'!$C:$FA,118)</f>
        <v>0.93</v>
      </c>
      <c r="C149" s="143">
        <f>VLOOKUP($A149,'Data shares'!$C:$FA,119)</f>
        <v>0.96</v>
      </c>
      <c r="D149" s="143">
        <f>VLOOKUP($A149,'Data shares'!$C:$FA,121)*100</f>
        <v>-3.1199999999999997</v>
      </c>
      <c r="E149" s="143">
        <f>VLOOKUP($A149,'Data shares'!$C:$FA,124)</f>
        <v>1.36</v>
      </c>
      <c r="F149" s="143">
        <f>VLOOKUP($A149,'Data shares'!$C:$FA,125)</f>
        <v>0.68</v>
      </c>
      <c r="G149" s="143">
        <f>VLOOKUP($A149,'Data shares'!$C:$FA,127)*100</f>
        <v>100</v>
      </c>
      <c r="H149" s="103">
        <f>VLOOKUP($A149,'OI(Volume)'!$A$7:$O$427,8)</f>
        <v>16150</v>
      </c>
      <c r="I149" s="103">
        <f>VLOOKUP($A149,'OI(Volume)'!$A$7:$O$427,9)</f>
        <v>1400</v>
      </c>
      <c r="J149" s="103">
        <f>VLOOKUP($A149,'OI(Volume)'!$A$7:$O$427,11)</f>
        <v>14950</v>
      </c>
      <c r="K149" s="103">
        <f>VLOOKUP($A149,'OI(Volume)'!$A$7:$O$427,12)</f>
        <v>850</v>
      </c>
      <c r="L149" s="103">
        <f>VLOOKUP($A149,'OI(Value)'!$A$7:$O$306,8,0)</f>
        <v>110</v>
      </c>
      <c r="M149" s="103">
        <f>VLOOKUP($A149,'OI(Value)'!$A$7:$O$306,9,0)</f>
        <v>10</v>
      </c>
      <c r="N149" s="103">
        <f>VLOOKUP($A149,'OI(Value)'!$A$7:$O$306,11,0)</f>
        <v>102</v>
      </c>
      <c r="O149" s="103">
        <f>VLOOKUP($A149,'OI(Value)'!$A$7:$O$306,12,0)</f>
        <v>6</v>
      </c>
      <c r="P149" s="179">
        <f>VLOOKUP(A149,'OI(Value)'!A149:O350,8,0)</f>
        <v>110</v>
      </c>
      <c r="Q149" s="179">
        <f>VLOOKUP(A149,'OI(Value)'!A149:O350,9,0)</f>
        <v>10</v>
      </c>
      <c r="R149" s="179">
        <f>VLOOKUP(A149,'OI(Value)'!A149:O350,11,0)</f>
        <v>102</v>
      </c>
      <c r="S149" s="179">
        <f>VLOOKUP(A149,'OI(Value)'!A149:O350,11,0)</f>
        <v>102</v>
      </c>
    </row>
    <row r="150" spans="1:19" x14ac:dyDescent="0.25">
      <c r="A150" s="105" t="str">
        <f>'Data shares'!C145</f>
        <v>NMDC</v>
      </c>
      <c r="B150" s="143">
        <f>VLOOKUP($A150,'Data shares'!$C:$FA,118)</f>
        <v>0.68</v>
      </c>
      <c r="C150" s="143">
        <f>VLOOKUP($A150,'Data shares'!$C:$FA,119)</f>
        <v>0.69</v>
      </c>
      <c r="D150" s="143">
        <f>VLOOKUP($A150,'Data shares'!$C:$FA,121)*100</f>
        <v>-1.4500000000000002</v>
      </c>
      <c r="E150" s="143">
        <f>VLOOKUP($A150,'Data shares'!$C:$FA,124)</f>
        <v>0.32</v>
      </c>
      <c r="F150" s="143">
        <f>VLOOKUP($A150,'Data shares'!$C:$FA,125)</f>
        <v>0.48</v>
      </c>
      <c r="G150" s="143">
        <f>VLOOKUP($A150,'Data shares'!$C:$FA,127)*100</f>
        <v>-33.33</v>
      </c>
      <c r="H150" s="103">
        <f>VLOOKUP($A150,'OI(Volume)'!$A$7:$O$427,8)</f>
        <v>106582500</v>
      </c>
      <c r="I150" s="103">
        <f>VLOOKUP($A150,'OI(Volume)'!$A$7:$O$427,9)</f>
        <v>4617000</v>
      </c>
      <c r="J150" s="103">
        <f>VLOOKUP($A150,'OI(Volume)'!$A$7:$O$427,11)</f>
        <v>72380250</v>
      </c>
      <c r="K150" s="103">
        <f>VLOOKUP($A150,'OI(Volume)'!$A$7:$O$427,12)</f>
        <v>1815750</v>
      </c>
      <c r="L150" s="103">
        <f>VLOOKUP($A150,'OI(Value)'!$A$7:$O$306,8,0)</f>
        <v>824</v>
      </c>
      <c r="M150" s="103">
        <f>VLOOKUP($A150,'OI(Value)'!$A$7:$O$306,9,0)</f>
        <v>36</v>
      </c>
      <c r="N150" s="103">
        <f>VLOOKUP($A150,'OI(Value)'!$A$7:$O$306,11,0)</f>
        <v>560</v>
      </c>
      <c r="O150" s="103">
        <f>VLOOKUP($A150,'OI(Value)'!$A$7:$O$306,12,0)</f>
        <v>14</v>
      </c>
      <c r="P150" s="179">
        <f>VLOOKUP(A150,'OI(Value)'!A150:O351,8,0)</f>
        <v>824</v>
      </c>
      <c r="Q150" s="179">
        <f>VLOOKUP(A150,'OI(Value)'!A150:O351,9,0)</f>
        <v>36</v>
      </c>
      <c r="R150" s="179">
        <f>VLOOKUP(A150,'OI(Value)'!A150:O351,11,0)</f>
        <v>560</v>
      </c>
      <c r="S150" s="179">
        <f>VLOOKUP(A150,'OI(Value)'!A150:O351,11,0)</f>
        <v>560</v>
      </c>
    </row>
    <row r="151" spans="1:19" x14ac:dyDescent="0.25">
      <c r="A151" s="105" t="str">
        <f>'Data shares'!C146</f>
        <v>NTPC</v>
      </c>
      <c r="B151" s="143">
        <f>VLOOKUP($A151,'Data shares'!$C:$FA,118)</f>
        <v>0.62</v>
      </c>
      <c r="C151" s="143">
        <f>VLOOKUP($A151,'Data shares'!$C:$FA,119)</f>
        <v>0.6</v>
      </c>
      <c r="D151" s="143">
        <f>VLOOKUP($A151,'Data shares'!$C:$FA,121)*100</f>
        <v>3.3300000000000005</v>
      </c>
      <c r="E151" s="143">
        <f>VLOOKUP($A151,'Data shares'!$C:$FA,124)</f>
        <v>0.52</v>
      </c>
      <c r="F151" s="143">
        <f>VLOOKUP($A151,'Data shares'!$C:$FA,125)</f>
        <v>0.53</v>
      </c>
      <c r="G151" s="143">
        <f>VLOOKUP($A151,'Data shares'!$C:$FA,127)*100</f>
        <v>-1.8900000000000001</v>
      </c>
      <c r="H151" s="103">
        <f>VLOOKUP($A151,'OI(Volume)'!$A$7:$O$427,8)</f>
        <v>35214000</v>
      </c>
      <c r="I151" s="103">
        <f>VLOOKUP($A151,'OI(Volume)'!$A$7:$O$427,9)</f>
        <v>-352500</v>
      </c>
      <c r="J151" s="103">
        <f>VLOOKUP($A151,'OI(Volume)'!$A$7:$O$427,11)</f>
        <v>21766500</v>
      </c>
      <c r="K151" s="103">
        <f>VLOOKUP($A151,'OI(Volume)'!$A$7:$O$427,12)</f>
        <v>424500</v>
      </c>
      <c r="L151" s="103">
        <f>VLOOKUP($A151,'OI(Value)'!$A$7:$O$306,8,0)</f>
        <v>1132</v>
      </c>
      <c r="M151" s="103">
        <f>VLOOKUP($A151,'OI(Value)'!$A$7:$O$306,9,0)</f>
        <v>-11</v>
      </c>
      <c r="N151" s="103">
        <f>VLOOKUP($A151,'OI(Value)'!$A$7:$O$306,11,0)</f>
        <v>700</v>
      </c>
      <c r="O151" s="103">
        <f>VLOOKUP($A151,'OI(Value)'!$A$7:$O$306,12,0)</f>
        <v>14</v>
      </c>
      <c r="P151" s="179">
        <f>VLOOKUP(A151,'OI(Value)'!A151:O352,8,0)</f>
        <v>1132</v>
      </c>
      <c r="Q151" s="179">
        <f>VLOOKUP(A151,'OI(Value)'!A151:O352,9,0)</f>
        <v>-11</v>
      </c>
      <c r="R151" s="179">
        <f>VLOOKUP(A151,'OI(Value)'!A151:O352,11,0)</f>
        <v>700</v>
      </c>
      <c r="S151" s="179">
        <f>VLOOKUP(A151,'OI(Value)'!A151:O352,11,0)</f>
        <v>700</v>
      </c>
    </row>
    <row r="152" spans="1:19" x14ac:dyDescent="0.25">
      <c r="A152" s="105" t="str">
        <f>'Data shares'!C147</f>
        <v>NUVAMA</v>
      </c>
      <c r="B152" s="143">
        <f>VLOOKUP($A152,'Data shares'!$C:$FA,118)</f>
        <v>0.62</v>
      </c>
      <c r="C152" s="143">
        <f>VLOOKUP($A152,'Data shares'!$C:$FA,119)</f>
        <v>0.53</v>
      </c>
      <c r="D152" s="143">
        <f>VLOOKUP($A152,'Data shares'!$C:$FA,121)*100</f>
        <v>16.98</v>
      </c>
      <c r="E152" s="143">
        <f>VLOOKUP($A152,'Data shares'!$C:$FA,124)</f>
        <v>0.93</v>
      </c>
      <c r="F152" s="143">
        <f>VLOOKUP($A152,'Data shares'!$C:$FA,125)</f>
        <v>1.08</v>
      </c>
      <c r="G152" s="143">
        <f>VLOOKUP($A152,'Data shares'!$C:$FA,127)*100</f>
        <v>-13.889999999999999</v>
      </c>
      <c r="H152" s="103">
        <f>VLOOKUP($A152,'OI(Volume)'!$A$7:$O$427,8)</f>
        <v>311275</v>
      </c>
      <c r="I152" s="103">
        <f>VLOOKUP($A152,'OI(Volume)'!$A$7:$O$427,9)</f>
        <v>-1800</v>
      </c>
      <c r="J152" s="103">
        <f>VLOOKUP($A152,'OI(Volume)'!$A$7:$O$427,11)</f>
        <v>194400</v>
      </c>
      <c r="K152" s="103">
        <f>VLOOKUP($A152,'OI(Volume)'!$A$7:$O$427,12)</f>
        <v>28300</v>
      </c>
      <c r="L152" s="103">
        <f>VLOOKUP($A152,'OI(Value)'!$A$7:$O$306,8,0)</f>
        <v>224</v>
      </c>
      <c r="M152" s="103">
        <f>VLOOKUP($A152,'OI(Value)'!$A$7:$O$306,9,0)</f>
        <v>-1</v>
      </c>
      <c r="N152" s="103">
        <f>VLOOKUP($A152,'OI(Value)'!$A$7:$O$306,11,0)</f>
        <v>140</v>
      </c>
      <c r="O152" s="103">
        <f>VLOOKUP($A152,'OI(Value)'!$A$7:$O$306,12,0)</f>
        <v>20</v>
      </c>
      <c r="P152" s="179">
        <f>VLOOKUP(A152,'OI(Value)'!A152:O353,8,0)</f>
        <v>224</v>
      </c>
      <c r="Q152" s="179">
        <f>VLOOKUP(A152,'OI(Value)'!A152:O353,9,0)</f>
        <v>-1</v>
      </c>
      <c r="R152" s="179">
        <f>VLOOKUP(A152,'OI(Value)'!A152:O353,11,0)</f>
        <v>140</v>
      </c>
      <c r="S152" s="179">
        <f>VLOOKUP(A152,'OI(Value)'!A152:O353,11,0)</f>
        <v>140</v>
      </c>
    </row>
    <row r="153" spans="1:19" x14ac:dyDescent="0.25">
      <c r="A153" s="105" t="str">
        <f>'Data shares'!C148</f>
        <v>NYKAA</v>
      </c>
      <c r="B153" s="143">
        <f>VLOOKUP($A153,'Data shares'!$C:$FA,118)</f>
        <v>0.41</v>
      </c>
      <c r="C153" s="143">
        <f>VLOOKUP($A153,'Data shares'!$C:$FA,119)</f>
        <v>0.38</v>
      </c>
      <c r="D153" s="143">
        <f>VLOOKUP($A153,'Data shares'!$C:$FA,121)*100</f>
        <v>7.89</v>
      </c>
      <c r="E153" s="143">
        <f>VLOOKUP($A153,'Data shares'!$C:$FA,124)</f>
        <v>0.47</v>
      </c>
      <c r="F153" s="143">
        <f>VLOOKUP($A153,'Data shares'!$C:$FA,125)</f>
        <v>0.21</v>
      </c>
      <c r="G153" s="143">
        <f>VLOOKUP($A153,'Data shares'!$C:$FA,127)*100</f>
        <v>123.81</v>
      </c>
      <c r="H153" s="103">
        <f>VLOOKUP($A153,'OI(Volume)'!$A$7:$O$427,8)</f>
        <v>22337500</v>
      </c>
      <c r="I153" s="103">
        <f>VLOOKUP($A153,'OI(Volume)'!$A$7:$O$427,9)</f>
        <v>-34375</v>
      </c>
      <c r="J153" s="103">
        <f>VLOOKUP($A153,'OI(Volume)'!$A$7:$O$427,11)</f>
        <v>9196875</v>
      </c>
      <c r="K153" s="103">
        <f>VLOOKUP($A153,'OI(Volume)'!$A$7:$O$427,12)</f>
        <v>678125</v>
      </c>
      <c r="L153" s="103">
        <f>VLOOKUP($A153,'OI(Value)'!$A$7:$O$306,8,0)</f>
        <v>550</v>
      </c>
      <c r="M153" s="103">
        <f>VLOOKUP($A153,'OI(Value)'!$A$7:$O$306,9,0)</f>
        <v>-1</v>
      </c>
      <c r="N153" s="103">
        <f>VLOOKUP($A153,'OI(Value)'!$A$7:$O$306,11,0)</f>
        <v>226</v>
      </c>
      <c r="O153" s="103">
        <f>VLOOKUP($A153,'OI(Value)'!$A$7:$O$306,12,0)</f>
        <v>17</v>
      </c>
      <c r="P153" s="179">
        <f>VLOOKUP(A153,'OI(Value)'!A153:O354,8,0)</f>
        <v>550</v>
      </c>
      <c r="Q153" s="179">
        <f>VLOOKUP(A153,'OI(Value)'!A153:O354,9,0)</f>
        <v>-1</v>
      </c>
      <c r="R153" s="179">
        <f>VLOOKUP(A153,'OI(Value)'!A153:O354,11,0)</f>
        <v>226</v>
      </c>
      <c r="S153" s="179">
        <f>VLOOKUP(A153,'OI(Value)'!A153:O354,11,0)</f>
        <v>226</v>
      </c>
    </row>
    <row r="154" spans="1:19" x14ac:dyDescent="0.25">
      <c r="A154" s="105" t="str">
        <f>'Data shares'!C149</f>
        <v>OBEROIRLTY</v>
      </c>
      <c r="B154" s="143">
        <f>VLOOKUP($A154,'Data shares'!$C:$FA,118)</f>
        <v>0.62</v>
      </c>
      <c r="C154" s="143">
        <f>VLOOKUP($A154,'Data shares'!$C:$FA,119)</f>
        <v>0.61</v>
      </c>
      <c r="D154" s="143">
        <f>VLOOKUP($A154,'Data shares'!$C:$FA,121)*100</f>
        <v>1.6400000000000001</v>
      </c>
      <c r="E154" s="143">
        <f>VLOOKUP($A154,'Data shares'!$C:$FA,124)</f>
        <v>0.71</v>
      </c>
      <c r="F154" s="143">
        <f>VLOOKUP($A154,'Data shares'!$C:$FA,125)</f>
        <v>0.35</v>
      </c>
      <c r="G154" s="143">
        <f>VLOOKUP($A154,'Data shares'!$C:$FA,127)*100</f>
        <v>102.86</v>
      </c>
      <c r="H154" s="103">
        <f>VLOOKUP($A154,'OI(Volume)'!$A$7:$O$427,8)</f>
        <v>2117850</v>
      </c>
      <c r="I154" s="103">
        <f>VLOOKUP($A154,'OI(Volume)'!$A$7:$O$427,9)</f>
        <v>24850</v>
      </c>
      <c r="J154" s="103">
        <f>VLOOKUP($A154,'OI(Volume)'!$A$7:$O$427,11)</f>
        <v>1309700</v>
      </c>
      <c r="K154" s="103">
        <f>VLOOKUP($A154,'OI(Volume)'!$A$7:$O$427,12)</f>
        <v>31150</v>
      </c>
      <c r="L154" s="103">
        <f>VLOOKUP($A154,'OI(Value)'!$A$7:$O$306,8,0)</f>
        <v>341</v>
      </c>
      <c r="M154" s="103">
        <f>VLOOKUP($A154,'OI(Value)'!$A$7:$O$306,9,0)</f>
        <v>4</v>
      </c>
      <c r="N154" s="103">
        <f>VLOOKUP($A154,'OI(Value)'!$A$7:$O$306,11,0)</f>
        <v>211</v>
      </c>
      <c r="O154" s="103">
        <f>VLOOKUP($A154,'OI(Value)'!$A$7:$O$306,12,0)</f>
        <v>5</v>
      </c>
      <c r="P154" s="179">
        <f>VLOOKUP(A154,'OI(Value)'!A154:O355,8,0)</f>
        <v>341</v>
      </c>
      <c r="Q154" s="179">
        <f>VLOOKUP(A154,'OI(Value)'!A154:O355,9,0)</f>
        <v>4</v>
      </c>
      <c r="R154" s="179">
        <f>VLOOKUP(A154,'OI(Value)'!A154:O355,11,0)</f>
        <v>211</v>
      </c>
      <c r="S154" s="179">
        <f>VLOOKUP(A154,'OI(Value)'!A154:O355,11,0)</f>
        <v>211</v>
      </c>
    </row>
    <row r="155" spans="1:19" x14ac:dyDescent="0.25">
      <c r="A155" s="105" t="str">
        <f>'Data shares'!C150</f>
        <v>OFSS</v>
      </c>
      <c r="B155" s="143">
        <f>VLOOKUP($A155,'Data shares'!$C:$FA,118)</f>
        <v>0.64</v>
      </c>
      <c r="C155" s="143">
        <f>VLOOKUP($A155,'Data shares'!$C:$FA,119)</f>
        <v>0.76</v>
      </c>
      <c r="D155" s="143">
        <f>VLOOKUP($A155,'Data shares'!$C:$FA,121)*100</f>
        <v>-15.790000000000001</v>
      </c>
      <c r="E155" s="143">
        <f>VLOOKUP($A155,'Data shares'!$C:$FA,124)</f>
        <v>0.56000000000000005</v>
      </c>
      <c r="F155" s="143">
        <f>VLOOKUP($A155,'Data shares'!$C:$FA,125)</f>
        <v>1.04</v>
      </c>
      <c r="G155" s="143">
        <f>VLOOKUP($A155,'Data shares'!$C:$FA,127)*100</f>
        <v>-46.150000000000006</v>
      </c>
      <c r="H155" s="103">
        <f>VLOOKUP($A155,'OI(Volume)'!$A$7:$O$427,8)</f>
        <v>790500</v>
      </c>
      <c r="I155" s="103">
        <f>VLOOKUP($A155,'OI(Volume)'!$A$7:$O$427,9)</f>
        <v>68550</v>
      </c>
      <c r="J155" s="103">
        <f>VLOOKUP($A155,'OI(Volume)'!$A$7:$O$427,11)</f>
        <v>506925</v>
      </c>
      <c r="K155" s="103">
        <f>VLOOKUP($A155,'OI(Volume)'!$A$7:$O$427,12)</f>
        <v>-42750</v>
      </c>
      <c r="L155" s="103">
        <f>VLOOKUP($A155,'OI(Value)'!$A$7:$O$306,8,0)</f>
        <v>611</v>
      </c>
      <c r="M155" s="103">
        <f>VLOOKUP($A155,'OI(Value)'!$A$7:$O$306,9,0)</f>
        <v>53</v>
      </c>
      <c r="N155" s="103">
        <f>VLOOKUP($A155,'OI(Value)'!$A$7:$O$306,11,0)</f>
        <v>392</v>
      </c>
      <c r="O155" s="103">
        <f>VLOOKUP($A155,'OI(Value)'!$A$7:$O$306,12,0)</f>
        <v>-33</v>
      </c>
      <c r="P155" s="179">
        <f>VLOOKUP(A155,'OI(Value)'!A155:O356,8,0)</f>
        <v>611</v>
      </c>
      <c r="Q155" s="179">
        <f>VLOOKUP(A155,'OI(Value)'!A155:O356,9,0)</f>
        <v>53</v>
      </c>
      <c r="R155" s="179">
        <f>VLOOKUP(A155,'OI(Value)'!A155:O356,11,0)</f>
        <v>392</v>
      </c>
      <c r="S155" s="179">
        <f>VLOOKUP(A155,'OI(Value)'!A155:O356,11,0)</f>
        <v>392</v>
      </c>
    </row>
    <row r="156" spans="1:19" x14ac:dyDescent="0.25">
      <c r="A156" s="105" t="str">
        <f>'Data shares'!C151</f>
        <v>OIL</v>
      </c>
      <c r="B156" s="143">
        <f>VLOOKUP($A156,'Data shares'!$C:$FA,118)</f>
        <v>0.53</v>
      </c>
      <c r="C156" s="143">
        <f>VLOOKUP($A156,'Data shares'!$C:$FA,119)</f>
        <v>0.56000000000000005</v>
      </c>
      <c r="D156" s="143">
        <f>VLOOKUP($A156,'Data shares'!$C:$FA,121)*100</f>
        <v>-5.36</v>
      </c>
      <c r="E156" s="143">
        <f>VLOOKUP($A156,'Data shares'!$C:$FA,124)</f>
        <v>0.34</v>
      </c>
      <c r="F156" s="143">
        <f>VLOOKUP($A156,'Data shares'!$C:$FA,125)</f>
        <v>0.41</v>
      </c>
      <c r="G156" s="143">
        <f>VLOOKUP($A156,'Data shares'!$C:$FA,127)*100</f>
        <v>-17.07</v>
      </c>
      <c r="H156" s="103">
        <f>VLOOKUP($A156,'OI(Volume)'!$A$7:$O$427,8)</f>
        <v>7256200</v>
      </c>
      <c r="I156" s="103">
        <f>VLOOKUP($A156,'OI(Volume)'!$A$7:$O$427,9)</f>
        <v>625800</v>
      </c>
      <c r="J156" s="103">
        <f>VLOOKUP($A156,'OI(Volume)'!$A$7:$O$427,11)</f>
        <v>3817800</v>
      </c>
      <c r="K156" s="103">
        <f>VLOOKUP($A156,'OI(Volume)'!$A$7:$O$427,12)</f>
        <v>131600</v>
      </c>
      <c r="L156" s="103">
        <f>VLOOKUP($A156,'OI(Value)'!$A$7:$O$306,8,0)</f>
        <v>289</v>
      </c>
      <c r="M156" s="103">
        <f>VLOOKUP($A156,'OI(Value)'!$A$7:$O$306,9,0)</f>
        <v>25</v>
      </c>
      <c r="N156" s="103">
        <f>VLOOKUP($A156,'OI(Value)'!$A$7:$O$306,11,0)</f>
        <v>152</v>
      </c>
      <c r="O156" s="103">
        <f>VLOOKUP($A156,'OI(Value)'!$A$7:$O$306,12,0)</f>
        <v>5</v>
      </c>
      <c r="P156" s="179">
        <f>VLOOKUP(A156,'OI(Value)'!A156:O357,8,0)</f>
        <v>289</v>
      </c>
      <c r="Q156" s="179">
        <f>VLOOKUP(A156,'OI(Value)'!A156:O357,9,0)</f>
        <v>25</v>
      </c>
      <c r="R156" s="179">
        <f>VLOOKUP(A156,'OI(Value)'!A156:O357,11,0)</f>
        <v>152</v>
      </c>
      <c r="S156" s="179">
        <f>VLOOKUP(A156,'OI(Value)'!A156:O357,11,0)</f>
        <v>152</v>
      </c>
    </row>
    <row r="157" spans="1:19" x14ac:dyDescent="0.25">
      <c r="A157" s="105" t="str">
        <f>'Data shares'!C152</f>
        <v>ONGC</v>
      </c>
      <c r="B157" s="143">
        <f>VLOOKUP($A157,'Data shares'!$C:$FA,118)</f>
        <v>0.41</v>
      </c>
      <c r="C157" s="143">
        <f>VLOOKUP($A157,'Data shares'!$C:$FA,119)</f>
        <v>0.42</v>
      </c>
      <c r="D157" s="143">
        <f>VLOOKUP($A157,'Data shares'!$C:$FA,121)*100</f>
        <v>-2.3800000000000003</v>
      </c>
      <c r="E157" s="143">
        <f>VLOOKUP($A157,'Data shares'!$C:$FA,124)</f>
        <v>0.67</v>
      </c>
      <c r="F157" s="143">
        <f>VLOOKUP($A157,'Data shares'!$C:$FA,125)</f>
        <v>0.63</v>
      </c>
      <c r="G157" s="143">
        <f>VLOOKUP($A157,'Data shares'!$C:$FA,127)*100</f>
        <v>6.35</v>
      </c>
      <c r="H157" s="103">
        <f>VLOOKUP($A157,'OI(Volume)'!$A$7:$O$427,8)</f>
        <v>64037250</v>
      </c>
      <c r="I157" s="103">
        <f>VLOOKUP($A157,'OI(Volume)'!$A$7:$O$427,9)</f>
        <v>2130750</v>
      </c>
      <c r="J157" s="103">
        <f>VLOOKUP($A157,'OI(Volume)'!$A$7:$O$427,11)</f>
        <v>26532000</v>
      </c>
      <c r="K157" s="103">
        <f>VLOOKUP($A157,'OI(Volume)'!$A$7:$O$427,12)</f>
        <v>643500</v>
      </c>
      <c r="L157" s="103">
        <f>VLOOKUP($A157,'OI(Value)'!$A$7:$O$306,8,0)</f>
        <v>1493</v>
      </c>
      <c r="M157" s="103">
        <f>VLOOKUP($A157,'OI(Value)'!$A$7:$O$306,9,0)</f>
        <v>50</v>
      </c>
      <c r="N157" s="103">
        <f>VLOOKUP($A157,'OI(Value)'!$A$7:$O$306,11,0)</f>
        <v>619</v>
      </c>
      <c r="O157" s="103">
        <f>VLOOKUP($A157,'OI(Value)'!$A$7:$O$306,12,0)</f>
        <v>15</v>
      </c>
      <c r="P157" s="179">
        <f>VLOOKUP(A157,'OI(Value)'!A157:O358,8,0)</f>
        <v>1493</v>
      </c>
      <c r="Q157" s="179">
        <f>VLOOKUP(A157,'OI(Value)'!A157:O358,9,0)</f>
        <v>50</v>
      </c>
      <c r="R157" s="179">
        <f>VLOOKUP(A157,'OI(Value)'!A157:O358,11,0)</f>
        <v>619</v>
      </c>
      <c r="S157" s="179">
        <f>VLOOKUP(A157,'OI(Value)'!A157:O358,11,0)</f>
        <v>619</v>
      </c>
    </row>
    <row r="158" spans="1:19" x14ac:dyDescent="0.25">
      <c r="A158" s="105" t="str">
        <f>'Data shares'!C153</f>
        <v>PAGEIND</v>
      </c>
      <c r="B158" s="143">
        <f>VLOOKUP($A158,'Data shares'!$C:$FA,118)</f>
        <v>0.41</v>
      </c>
      <c r="C158" s="143">
        <f>VLOOKUP($A158,'Data shares'!$C:$FA,119)</f>
        <v>0.43</v>
      </c>
      <c r="D158" s="143">
        <f>VLOOKUP($A158,'Data shares'!$C:$FA,121)*100</f>
        <v>-4.6500000000000004</v>
      </c>
      <c r="E158" s="143">
        <f>VLOOKUP($A158,'Data shares'!$C:$FA,124)</f>
        <v>0.24</v>
      </c>
      <c r="F158" s="143">
        <f>VLOOKUP($A158,'Data shares'!$C:$FA,125)</f>
        <v>0.25</v>
      </c>
      <c r="G158" s="143">
        <f>VLOOKUP($A158,'Data shares'!$C:$FA,127)*100</f>
        <v>-4</v>
      </c>
      <c r="H158" s="103">
        <f>VLOOKUP($A158,'OI(Volume)'!$A$7:$O$427,8)</f>
        <v>130095</v>
      </c>
      <c r="I158" s="103">
        <f>VLOOKUP($A158,'OI(Volume)'!$A$7:$O$427,9)</f>
        <v>10575</v>
      </c>
      <c r="J158" s="103">
        <f>VLOOKUP($A158,'OI(Volume)'!$A$7:$O$427,11)</f>
        <v>53520</v>
      </c>
      <c r="K158" s="103">
        <f>VLOOKUP($A158,'OI(Volume)'!$A$7:$O$427,12)</f>
        <v>2100</v>
      </c>
      <c r="L158" s="103">
        <f>VLOOKUP($A158,'OI(Value)'!$A$7:$O$306,8,0)</f>
        <v>469</v>
      </c>
      <c r="M158" s="103">
        <f>VLOOKUP($A158,'OI(Value)'!$A$7:$O$306,9,0)</f>
        <v>38</v>
      </c>
      <c r="N158" s="103">
        <f>VLOOKUP($A158,'OI(Value)'!$A$7:$O$306,11,0)</f>
        <v>193</v>
      </c>
      <c r="O158" s="103">
        <f>VLOOKUP($A158,'OI(Value)'!$A$7:$O$306,12,0)</f>
        <v>8</v>
      </c>
      <c r="P158" s="179">
        <f>VLOOKUP(A158,'OI(Value)'!A158:O359,8,0)</f>
        <v>469</v>
      </c>
      <c r="Q158" s="179">
        <f>VLOOKUP(A158,'OI(Value)'!A158:O359,9,0)</f>
        <v>38</v>
      </c>
      <c r="R158" s="179">
        <f>VLOOKUP(A158,'OI(Value)'!A158:O359,11,0)</f>
        <v>193</v>
      </c>
      <c r="S158" s="179">
        <f>VLOOKUP(A158,'OI(Value)'!A158:O359,11,0)</f>
        <v>193</v>
      </c>
    </row>
    <row r="159" spans="1:19" x14ac:dyDescent="0.25">
      <c r="A159" s="105" t="str">
        <f>'Data shares'!C154</f>
        <v>PATANJALI</v>
      </c>
      <c r="B159" s="143">
        <f>VLOOKUP($A159,'Data shares'!$C:$FA,118)</f>
        <v>0.48</v>
      </c>
      <c r="C159" s="143">
        <f>VLOOKUP($A159,'Data shares'!$C:$FA,119)</f>
        <v>0.45</v>
      </c>
      <c r="D159" s="143">
        <f>VLOOKUP($A159,'Data shares'!$C:$FA,121)*100</f>
        <v>6.67</v>
      </c>
      <c r="E159" s="143">
        <f>VLOOKUP($A159,'Data shares'!$C:$FA,124)</f>
        <v>0.32</v>
      </c>
      <c r="F159" s="143">
        <f>VLOOKUP($A159,'Data shares'!$C:$FA,125)</f>
        <v>0.33</v>
      </c>
      <c r="G159" s="143">
        <f>VLOOKUP($A159,'Data shares'!$C:$FA,127)*100</f>
        <v>-3.0300000000000002</v>
      </c>
      <c r="H159" s="103">
        <f>VLOOKUP($A159,'OI(Volume)'!$A$7:$O$427,8)</f>
        <v>8106300</v>
      </c>
      <c r="I159" s="103">
        <f>VLOOKUP($A159,'OI(Volume)'!$A$7:$O$427,9)</f>
        <v>184500</v>
      </c>
      <c r="J159" s="103">
        <f>VLOOKUP($A159,'OI(Volume)'!$A$7:$O$427,11)</f>
        <v>3895200</v>
      </c>
      <c r="K159" s="103">
        <f>VLOOKUP($A159,'OI(Volume)'!$A$7:$O$427,12)</f>
        <v>305100</v>
      </c>
      <c r="L159" s="103">
        <f>VLOOKUP($A159,'OI(Value)'!$A$7:$O$306,8,0)</f>
        <v>441</v>
      </c>
      <c r="M159" s="103">
        <f>VLOOKUP($A159,'OI(Value)'!$A$7:$O$306,9,0)</f>
        <v>10</v>
      </c>
      <c r="N159" s="103">
        <f>VLOOKUP($A159,'OI(Value)'!$A$7:$O$306,11,0)</f>
        <v>212</v>
      </c>
      <c r="O159" s="103">
        <f>VLOOKUP($A159,'OI(Value)'!$A$7:$O$306,12,0)</f>
        <v>17</v>
      </c>
      <c r="P159" s="179">
        <f>VLOOKUP(A159,'OI(Value)'!A159:O360,8,0)</f>
        <v>441</v>
      </c>
      <c r="Q159" s="179">
        <f>VLOOKUP(A159,'OI(Value)'!A159:O360,9,0)</f>
        <v>10</v>
      </c>
      <c r="R159" s="179">
        <f>VLOOKUP(A159,'OI(Value)'!A159:O360,11,0)</f>
        <v>212</v>
      </c>
      <c r="S159" s="179">
        <f>VLOOKUP(A159,'OI(Value)'!A159:O360,11,0)</f>
        <v>212</v>
      </c>
    </row>
    <row r="160" spans="1:19" x14ac:dyDescent="0.25">
      <c r="A160" s="105" t="str">
        <f>'Data shares'!C155</f>
        <v>PAYTM</v>
      </c>
      <c r="B160" s="143">
        <f>VLOOKUP($A160,'Data shares'!$C:$FA,118)</f>
        <v>0.54</v>
      </c>
      <c r="C160" s="143">
        <f>VLOOKUP($A160,'Data shares'!$C:$FA,119)</f>
        <v>0.59</v>
      </c>
      <c r="D160" s="143">
        <f>VLOOKUP($A160,'Data shares'!$C:$FA,121)*100</f>
        <v>-8.4699999999999989</v>
      </c>
      <c r="E160" s="143">
        <f>VLOOKUP($A160,'Data shares'!$C:$FA,124)</f>
        <v>0.44</v>
      </c>
      <c r="F160" s="143">
        <f>VLOOKUP($A160,'Data shares'!$C:$FA,125)</f>
        <v>0.52</v>
      </c>
      <c r="G160" s="143">
        <f>VLOOKUP($A160,'Data shares'!$C:$FA,127)*100</f>
        <v>-15.379999999999999</v>
      </c>
      <c r="H160" s="103">
        <f>VLOOKUP($A160,'OI(Volume)'!$A$7:$O$427,8)</f>
        <v>10890950</v>
      </c>
      <c r="I160" s="103">
        <f>VLOOKUP($A160,'OI(Volume)'!$A$7:$O$427,9)</f>
        <v>1044000</v>
      </c>
      <c r="J160" s="103">
        <f>VLOOKUP($A160,'OI(Volume)'!$A$7:$O$427,11)</f>
        <v>5903675</v>
      </c>
      <c r="K160" s="103">
        <f>VLOOKUP($A160,'OI(Volume)'!$A$7:$O$427,12)</f>
        <v>126875</v>
      </c>
      <c r="L160" s="103">
        <f>VLOOKUP($A160,'OI(Value)'!$A$7:$O$306,8,0)</f>
        <v>1386</v>
      </c>
      <c r="M160" s="103">
        <f>VLOOKUP($A160,'OI(Value)'!$A$7:$O$306,9,0)</f>
        <v>133</v>
      </c>
      <c r="N160" s="103">
        <f>VLOOKUP($A160,'OI(Value)'!$A$7:$O$306,11,0)</f>
        <v>751</v>
      </c>
      <c r="O160" s="103">
        <f>VLOOKUP($A160,'OI(Value)'!$A$7:$O$306,12,0)</f>
        <v>16</v>
      </c>
      <c r="P160" s="179">
        <f>VLOOKUP(A160,'OI(Value)'!A160:O361,8,0)</f>
        <v>1386</v>
      </c>
      <c r="Q160" s="179">
        <f>VLOOKUP(A160,'OI(Value)'!A160:O361,9,0)</f>
        <v>133</v>
      </c>
      <c r="R160" s="179">
        <f>VLOOKUP(A160,'OI(Value)'!A160:O361,11,0)</f>
        <v>751</v>
      </c>
      <c r="S160" s="179">
        <f>VLOOKUP(A160,'OI(Value)'!A160:O361,11,0)</f>
        <v>751</v>
      </c>
    </row>
    <row r="161" spans="1:19" x14ac:dyDescent="0.25">
      <c r="A161" s="105" t="str">
        <f>'Data shares'!C156</f>
        <v>PERSISTENT</v>
      </c>
      <c r="B161" s="143">
        <f>VLOOKUP($A161,'Data shares'!$C:$FA,118)</f>
        <v>0.57999999999999996</v>
      </c>
      <c r="C161" s="143">
        <f>VLOOKUP($A161,'Data shares'!$C:$FA,119)</f>
        <v>0.6</v>
      </c>
      <c r="D161" s="143">
        <f>VLOOKUP($A161,'Data shares'!$C:$FA,121)*100</f>
        <v>-3.3300000000000005</v>
      </c>
      <c r="E161" s="143">
        <f>VLOOKUP($A161,'Data shares'!$C:$FA,124)</f>
        <v>0.47</v>
      </c>
      <c r="F161" s="143">
        <f>VLOOKUP($A161,'Data shares'!$C:$FA,125)</f>
        <v>0.73</v>
      </c>
      <c r="G161" s="143">
        <f>VLOOKUP($A161,'Data shares'!$C:$FA,127)*100</f>
        <v>-35.620000000000005</v>
      </c>
      <c r="H161" s="103">
        <f>VLOOKUP($A161,'OI(Volume)'!$A$7:$O$427,8)</f>
        <v>1179300</v>
      </c>
      <c r="I161" s="103">
        <f>VLOOKUP($A161,'OI(Volume)'!$A$7:$O$427,9)</f>
        <v>69200</v>
      </c>
      <c r="J161" s="103">
        <f>VLOOKUP($A161,'OI(Volume)'!$A$7:$O$427,11)</f>
        <v>679100</v>
      </c>
      <c r="K161" s="103">
        <f>VLOOKUP($A161,'OI(Volume)'!$A$7:$O$427,12)</f>
        <v>15300</v>
      </c>
      <c r="L161" s="103">
        <f>VLOOKUP($A161,'OI(Value)'!$A$7:$O$306,8,0)</f>
        <v>742</v>
      </c>
      <c r="M161" s="103">
        <f>VLOOKUP($A161,'OI(Value)'!$A$7:$O$306,9,0)</f>
        <v>44</v>
      </c>
      <c r="N161" s="103">
        <f>VLOOKUP($A161,'OI(Value)'!$A$7:$O$306,11,0)</f>
        <v>427</v>
      </c>
      <c r="O161" s="103">
        <f>VLOOKUP($A161,'OI(Value)'!$A$7:$O$306,12,0)</f>
        <v>10</v>
      </c>
      <c r="P161" s="179">
        <f>VLOOKUP(A161,'OI(Value)'!A161:O362,8,0)</f>
        <v>742</v>
      </c>
      <c r="Q161" s="179">
        <f>VLOOKUP(A161,'OI(Value)'!A161:O362,9,0)</f>
        <v>44</v>
      </c>
      <c r="R161" s="179">
        <f>VLOOKUP(A161,'OI(Value)'!A161:O362,11,0)</f>
        <v>427</v>
      </c>
      <c r="S161" s="179">
        <f>VLOOKUP(A161,'OI(Value)'!A161:O362,11,0)</f>
        <v>427</v>
      </c>
    </row>
    <row r="162" spans="1:19" x14ac:dyDescent="0.25">
      <c r="A162" s="105" t="str">
        <f>'Data shares'!C157</f>
        <v>PETRONET</v>
      </c>
      <c r="B162" s="143">
        <f>VLOOKUP($A162,'Data shares'!$C:$FA,118)</f>
        <v>1.01</v>
      </c>
      <c r="C162" s="143">
        <f>VLOOKUP($A162,'Data shares'!$C:$FA,119)</f>
        <v>0.99</v>
      </c>
      <c r="D162" s="143">
        <f>VLOOKUP($A162,'Data shares'!$C:$FA,121)*100</f>
        <v>2.02</v>
      </c>
      <c r="E162" s="143">
        <f>VLOOKUP($A162,'Data shares'!$C:$FA,124)</f>
        <v>0.7</v>
      </c>
      <c r="F162" s="143">
        <f>VLOOKUP($A162,'Data shares'!$C:$FA,125)</f>
        <v>0.65</v>
      </c>
      <c r="G162" s="143">
        <f>VLOOKUP($A162,'Data shares'!$C:$FA,127)*100</f>
        <v>7.6899999999999995</v>
      </c>
      <c r="H162" s="103">
        <f>VLOOKUP($A162,'OI(Volume)'!$A$7:$O$427,8)</f>
        <v>17231300</v>
      </c>
      <c r="I162" s="103">
        <f>VLOOKUP($A162,'OI(Volume)'!$A$7:$O$427,9)</f>
        <v>-579400</v>
      </c>
      <c r="J162" s="103">
        <f>VLOOKUP($A162,'OI(Volume)'!$A$7:$O$427,11)</f>
        <v>17469700</v>
      </c>
      <c r="K162" s="103">
        <f>VLOOKUP($A162,'OI(Volume)'!$A$7:$O$427,12)</f>
        <v>-202600</v>
      </c>
      <c r="L162" s="103">
        <f>VLOOKUP($A162,'OI(Value)'!$A$7:$O$306,8,0)</f>
        <v>464</v>
      </c>
      <c r="M162" s="103">
        <f>VLOOKUP($A162,'OI(Value)'!$A$7:$O$306,9,0)</f>
        <v>-16</v>
      </c>
      <c r="N162" s="103">
        <f>VLOOKUP($A162,'OI(Value)'!$A$7:$O$306,11,0)</f>
        <v>471</v>
      </c>
      <c r="O162" s="103">
        <f>VLOOKUP($A162,'OI(Value)'!$A$7:$O$306,12,0)</f>
        <v>-5</v>
      </c>
      <c r="P162" s="179">
        <f>VLOOKUP(A162,'OI(Value)'!A162:O363,8,0)</f>
        <v>464</v>
      </c>
      <c r="Q162" s="179">
        <f>VLOOKUP(A162,'OI(Value)'!A162:O363,9,0)</f>
        <v>-16</v>
      </c>
      <c r="R162" s="179">
        <f>VLOOKUP(A162,'OI(Value)'!A162:O363,11,0)</f>
        <v>471</v>
      </c>
      <c r="S162" s="179">
        <f>VLOOKUP(A162,'OI(Value)'!A162:O363,11,0)</f>
        <v>471</v>
      </c>
    </row>
    <row r="163" spans="1:19" x14ac:dyDescent="0.25">
      <c r="A163" s="105" t="str">
        <f>'Data shares'!C158</f>
        <v>PFC</v>
      </c>
      <c r="B163" s="143">
        <f>VLOOKUP($A163,'Data shares'!$C:$FA,118)</f>
        <v>0.59</v>
      </c>
      <c r="C163" s="143">
        <f>VLOOKUP($A163,'Data shares'!$C:$FA,119)</f>
        <v>0.56000000000000005</v>
      </c>
      <c r="D163" s="143">
        <f>VLOOKUP($A163,'Data shares'!$C:$FA,121)*100</f>
        <v>5.36</v>
      </c>
      <c r="E163" s="143">
        <f>VLOOKUP($A163,'Data shares'!$C:$FA,124)</f>
        <v>0.38</v>
      </c>
      <c r="F163" s="143">
        <f>VLOOKUP($A163,'Data shares'!$C:$FA,125)</f>
        <v>0.36</v>
      </c>
      <c r="G163" s="143">
        <f>VLOOKUP($A163,'Data shares'!$C:$FA,127)*100</f>
        <v>5.56</v>
      </c>
      <c r="H163" s="103">
        <f>VLOOKUP($A163,'OI(Volume)'!$A$7:$O$427,8)</f>
        <v>49874500</v>
      </c>
      <c r="I163" s="103">
        <f>VLOOKUP($A163,'OI(Volume)'!$A$7:$O$427,9)</f>
        <v>-2134600</v>
      </c>
      <c r="J163" s="103">
        <f>VLOOKUP($A163,'OI(Volume)'!$A$7:$O$427,11)</f>
        <v>29569800</v>
      </c>
      <c r="K163" s="103">
        <f>VLOOKUP($A163,'OI(Volume)'!$A$7:$O$427,12)</f>
        <v>224900</v>
      </c>
      <c r="L163" s="103">
        <f>VLOOKUP($A163,'OI(Value)'!$A$7:$O$306,8,0)</f>
        <v>1680</v>
      </c>
      <c r="M163" s="103">
        <f>VLOOKUP($A163,'OI(Value)'!$A$7:$O$306,9,0)</f>
        <v>-72</v>
      </c>
      <c r="N163" s="103">
        <f>VLOOKUP($A163,'OI(Value)'!$A$7:$O$306,11,0)</f>
        <v>996</v>
      </c>
      <c r="O163" s="103">
        <f>VLOOKUP($A163,'OI(Value)'!$A$7:$O$306,12,0)</f>
        <v>8</v>
      </c>
      <c r="P163" s="179">
        <f>VLOOKUP(A163,'OI(Value)'!A163:O364,8,0)</f>
        <v>1680</v>
      </c>
      <c r="Q163" s="179">
        <f>VLOOKUP(A163,'OI(Value)'!A163:O364,9,0)</f>
        <v>-72</v>
      </c>
      <c r="R163" s="179">
        <f>VLOOKUP(A163,'OI(Value)'!A163:O364,11,0)</f>
        <v>996</v>
      </c>
      <c r="S163" s="179">
        <f>VLOOKUP(A163,'OI(Value)'!A163:O364,11,0)</f>
        <v>996</v>
      </c>
    </row>
    <row r="164" spans="1:19" x14ac:dyDescent="0.25">
      <c r="A164" s="105" t="str">
        <f>'Data shares'!C159</f>
        <v>PGEL</v>
      </c>
      <c r="B164" s="143">
        <f>VLOOKUP($A164,'Data shares'!$C:$FA,118)</f>
        <v>0.63</v>
      </c>
      <c r="C164" s="143">
        <f>VLOOKUP($A164,'Data shares'!$C:$FA,119)</f>
        <v>0.64</v>
      </c>
      <c r="D164" s="143">
        <f>VLOOKUP($A164,'Data shares'!$C:$FA,121)*100</f>
        <v>-1.5599999999999998</v>
      </c>
      <c r="E164" s="143">
        <f>VLOOKUP($A164,'Data shares'!$C:$FA,124)</f>
        <v>0.41</v>
      </c>
      <c r="F164" s="143">
        <f>VLOOKUP($A164,'Data shares'!$C:$FA,125)</f>
        <v>0.37</v>
      </c>
      <c r="G164" s="143">
        <f>VLOOKUP($A164,'Data shares'!$C:$FA,127)*100</f>
        <v>10.81</v>
      </c>
      <c r="H164" s="103">
        <f>VLOOKUP($A164,'OI(Volume)'!$A$7:$O$427,8)</f>
        <v>8940150</v>
      </c>
      <c r="I164" s="103">
        <f>VLOOKUP($A164,'OI(Volume)'!$A$7:$O$427,9)</f>
        <v>217300</v>
      </c>
      <c r="J164" s="103">
        <f>VLOOKUP($A164,'OI(Volume)'!$A$7:$O$427,11)</f>
        <v>5629650</v>
      </c>
      <c r="K164" s="103">
        <f>VLOOKUP($A164,'OI(Volume)'!$A$7:$O$427,12)</f>
        <v>56900</v>
      </c>
      <c r="L164" s="103">
        <f>VLOOKUP($A164,'OI(Value)'!$A$7:$O$306,8,0)</f>
        <v>504</v>
      </c>
      <c r="M164" s="103">
        <f>VLOOKUP($A164,'OI(Value)'!$A$7:$O$306,9,0)</f>
        <v>12</v>
      </c>
      <c r="N164" s="103">
        <f>VLOOKUP($A164,'OI(Value)'!$A$7:$O$306,11,0)</f>
        <v>317</v>
      </c>
      <c r="O164" s="103">
        <f>VLOOKUP($A164,'OI(Value)'!$A$7:$O$306,12,0)</f>
        <v>3</v>
      </c>
      <c r="P164" s="179">
        <f>VLOOKUP(A164,'OI(Value)'!A164:O365,8,0)</f>
        <v>504</v>
      </c>
      <c r="Q164" s="179">
        <f>VLOOKUP(A164,'OI(Value)'!A164:O365,9,0)</f>
        <v>12</v>
      </c>
      <c r="R164" s="179">
        <f>VLOOKUP(A164,'OI(Value)'!A164:O365,11,0)</f>
        <v>317</v>
      </c>
      <c r="S164" s="179">
        <f>VLOOKUP(A164,'OI(Value)'!A164:O365,11,0)</f>
        <v>317</v>
      </c>
    </row>
    <row r="165" spans="1:19" x14ac:dyDescent="0.25">
      <c r="A165" s="105" t="str">
        <f>'Data shares'!C160</f>
        <v>PHOENIXLTD</v>
      </c>
      <c r="B165" s="143">
        <f>VLOOKUP($A165,'Data shares'!$C:$FA,118)</f>
        <v>0.51</v>
      </c>
      <c r="C165" s="143">
        <f>VLOOKUP($A165,'Data shares'!$C:$FA,119)</f>
        <v>0.51</v>
      </c>
      <c r="D165" s="143">
        <f>VLOOKUP($A165,'Data shares'!$C:$FA,121)*100</f>
        <v>0</v>
      </c>
      <c r="E165" s="143">
        <f>VLOOKUP($A165,'Data shares'!$C:$FA,124)</f>
        <v>0.42</v>
      </c>
      <c r="F165" s="143">
        <f>VLOOKUP($A165,'Data shares'!$C:$FA,125)</f>
        <v>0.47</v>
      </c>
      <c r="G165" s="143">
        <f>VLOOKUP($A165,'Data shares'!$C:$FA,127)*100</f>
        <v>-10.639999999999999</v>
      </c>
      <c r="H165" s="103">
        <f>VLOOKUP($A165,'OI(Volume)'!$A$7:$O$427,8)</f>
        <v>1387400</v>
      </c>
      <c r="I165" s="103">
        <f>VLOOKUP($A165,'OI(Volume)'!$A$7:$O$427,9)</f>
        <v>75950</v>
      </c>
      <c r="J165" s="103">
        <f>VLOOKUP($A165,'OI(Volume)'!$A$7:$O$427,11)</f>
        <v>700700</v>
      </c>
      <c r="K165" s="103">
        <f>VLOOKUP($A165,'OI(Volume)'!$A$7:$O$427,12)</f>
        <v>30100</v>
      </c>
      <c r="L165" s="103">
        <f>VLOOKUP($A165,'OI(Value)'!$A$7:$O$306,8,0)</f>
        <v>247</v>
      </c>
      <c r="M165" s="103">
        <f>VLOOKUP($A165,'OI(Value)'!$A$7:$O$306,9,0)</f>
        <v>14</v>
      </c>
      <c r="N165" s="103">
        <f>VLOOKUP($A165,'OI(Value)'!$A$7:$O$306,11,0)</f>
        <v>125</v>
      </c>
      <c r="O165" s="103">
        <f>VLOOKUP($A165,'OI(Value)'!$A$7:$O$306,12,0)</f>
        <v>5</v>
      </c>
      <c r="P165" s="179">
        <f>VLOOKUP(A165,'OI(Value)'!A165:O366,8,0)</f>
        <v>247</v>
      </c>
      <c r="Q165" s="179">
        <f>VLOOKUP(A165,'OI(Value)'!A165:O366,9,0)</f>
        <v>14</v>
      </c>
      <c r="R165" s="179">
        <f>VLOOKUP(A165,'OI(Value)'!A165:O366,11,0)</f>
        <v>125</v>
      </c>
      <c r="S165" s="179">
        <f>VLOOKUP(A165,'OI(Value)'!A165:O366,11,0)</f>
        <v>125</v>
      </c>
    </row>
    <row r="166" spans="1:19" x14ac:dyDescent="0.25">
      <c r="A166" s="105" t="str">
        <f>'Data shares'!C161</f>
        <v>PIDILITIND</v>
      </c>
      <c r="B166" s="143">
        <f>VLOOKUP($A166,'Data shares'!$C:$FA,118)</f>
        <v>0.74</v>
      </c>
      <c r="C166" s="143">
        <f>VLOOKUP($A166,'Data shares'!$C:$FA,119)</f>
        <v>0.79</v>
      </c>
      <c r="D166" s="143">
        <f>VLOOKUP($A166,'Data shares'!$C:$FA,121)*100</f>
        <v>-6.3299999999999992</v>
      </c>
      <c r="E166" s="143">
        <f>VLOOKUP($A166,'Data shares'!$C:$FA,124)</f>
        <v>0.75</v>
      </c>
      <c r="F166" s="143">
        <f>VLOOKUP($A166,'Data shares'!$C:$FA,125)</f>
        <v>0.35</v>
      </c>
      <c r="G166" s="143">
        <f>VLOOKUP($A166,'Data shares'!$C:$FA,127)*100</f>
        <v>114.29</v>
      </c>
      <c r="H166" s="103">
        <f>VLOOKUP($A166,'OI(Volume)'!$A$7:$O$427,8)</f>
        <v>1411000</v>
      </c>
      <c r="I166" s="103">
        <f>VLOOKUP($A166,'OI(Volume)'!$A$7:$O$427,9)</f>
        <v>101000</v>
      </c>
      <c r="J166" s="103">
        <f>VLOOKUP($A166,'OI(Volume)'!$A$7:$O$427,11)</f>
        <v>1038000</v>
      </c>
      <c r="K166" s="103">
        <f>VLOOKUP($A166,'OI(Volume)'!$A$7:$O$427,12)</f>
        <v>0</v>
      </c>
      <c r="L166" s="103">
        <f>VLOOKUP($A166,'OI(Value)'!$A$7:$O$306,8,0)</f>
        <v>205</v>
      </c>
      <c r="M166" s="103">
        <f>VLOOKUP($A166,'OI(Value)'!$A$7:$O$306,9,0)</f>
        <v>15</v>
      </c>
      <c r="N166" s="103">
        <f>VLOOKUP($A166,'OI(Value)'!$A$7:$O$306,11,0)</f>
        <v>151</v>
      </c>
      <c r="O166" s="103">
        <f>VLOOKUP($A166,'OI(Value)'!$A$7:$O$306,12,0)</f>
        <v>0</v>
      </c>
      <c r="P166" s="179">
        <f>VLOOKUP(A166,'OI(Value)'!A166:O367,8,0)</f>
        <v>205</v>
      </c>
      <c r="Q166" s="179">
        <f>VLOOKUP(A166,'OI(Value)'!A166:O367,9,0)</f>
        <v>15</v>
      </c>
      <c r="R166" s="179">
        <f>VLOOKUP(A166,'OI(Value)'!A166:O367,11,0)</f>
        <v>151</v>
      </c>
      <c r="S166" s="179">
        <f>VLOOKUP(A166,'OI(Value)'!A166:O367,11,0)</f>
        <v>151</v>
      </c>
    </row>
    <row r="167" spans="1:19" x14ac:dyDescent="0.25">
      <c r="A167" s="105" t="str">
        <f>'Data shares'!C162</f>
        <v>PIIND</v>
      </c>
      <c r="B167" s="143">
        <f>VLOOKUP($A167,'Data shares'!$C:$FA,118)</f>
        <v>0.63</v>
      </c>
      <c r="C167" s="143">
        <f>VLOOKUP($A167,'Data shares'!$C:$FA,119)</f>
        <v>0.66</v>
      </c>
      <c r="D167" s="143">
        <f>VLOOKUP($A167,'Data shares'!$C:$FA,121)*100</f>
        <v>-4.55</v>
      </c>
      <c r="E167" s="143">
        <f>VLOOKUP($A167,'Data shares'!$C:$FA,124)</f>
        <v>0.66</v>
      </c>
      <c r="F167" s="143">
        <f>VLOOKUP($A167,'Data shares'!$C:$FA,125)</f>
        <v>0.5</v>
      </c>
      <c r="G167" s="143">
        <f>VLOOKUP($A167,'Data shares'!$C:$FA,127)*100</f>
        <v>32</v>
      </c>
      <c r="H167" s="103">
        <f>VLOOKUP($A167,'OI(Volume)'!$A$7:$O$427,8)</f>
        <v>1065750</v>
      </c>
      <c r="I167" s="103">
        <f>VLOOKUP($A167,'OI(Volume)'!$A$7:$O$427,9)</f>
        <v>23450</v>
      </c>
      <c r="J167" s="103">
        <f>VLOOKUP($A167,'OI(Volume)'!$A$7:$O$427,11)</f>
        <v>674800</v>
      </c>
      <c r="K167" s="103">
        <f>VLOOKUP($A167,'OI(Volume)'!$A$7:$O$427,12)</f>
        <v>-8750</v>
      </c>
      <c r="L167" s="103">
        <f>VLOOKUP($A167,'OI(Value)'!$A$7:$O$306,8,0)</f>
        <v>343</v>
      </c>
      <c r="M167" s="103">
        <f>VLOOKUP($A167,'OI(Value)'!$A$7:$O$306,9,0)</f>
        <v>8</v>
      </c>
      <c r="N167" s="103">
        <f>VLOOKUP($A167,'OI(Value)'!$A$7:$O$306,11,0)</f>
        <v>217</v>
      </c>
      <c r="O167" s="103">
        <f>VLOOKUP($A167,'OI(Value)'!$A$7:$O$306,12,0)</f>
        <v>-3</v>
      </c>
      <c r="P167" s="179">
        <f>VLOOKUP(A167,'OI(Value)'!A167:O368,8,0)</f>
        <v>343</v>
      </c>
      <c r="Q167" s="179">
        <f>VLOOKUP(A167,'OI(Value)'!A167:O368,9,0)</f>
        <v>8</v>
      </c>
      <c r="R167" s="179">
        <f>VLOOKUP(A167,'OI(Value)'!A167:O368,11,0)</f>
        <v>217</v>
      </c>
      <c r="S167" s="179">
        <f>VLOOKUP(A167,'OI(Value)'!A167:O368,11,0)</f>
        <v>217</v>
      </c>
    </row>
    <row r="168" spans="1:19" x14ac:dyDescent="0.25">
      <c r="A168" s="105" t="str">
        <f>'Data shares'!C163</f>
        <v>PNB</v>
      </c>
      <c r="B168" s="143">
        <f>VLOOKUP($A168,'Data shares'!$C:$FA,118)</f>
        <v>0.55000000000000004</v>
      </c>
      <c r="C168" s="143">
        <f>VLOOKUP($A168,'Data shares'!$C:$FA,119)</f>
        <v>0.52</v>
      </c>
      <c r="D168" s="143">
        <f>VLOOKUP($A168,'Data shares'!$C:$FA,121)*100</f>
        <v>5.7700000000000005</v>
      </c>
      <c r="E168" s="143">
        <f>VLOOKUP($A168,'Data shares'!$C:$FA,124)</f>
        <v>0.42</v>
      </c>
      <c r="F168" s="143">
        <f>VLOOKUP($A168,'Data shares'!$C:$FA,125)</f>
        <v>0.51</v>
      </c>
      <c r="G168" s="143">
        <f>VLOOKUP($A168,'Data shares'!$C:$FA,127)*100</f>
        <v>-17.649999999999999</v>
      </c>
      <c r="H168" s="103">
        <f>VLOOKUP($A168,'OI(Volume)'!$A$7:$O$427,8)</f>
        <v>183008000</v>
      </c>
      <c r="I168" s="103">
        <f>VLOOKUP($A168,'OI(Volume)'!$A$7:$O$427,9)</f>
        <v>-7632000</v>
      </c>
      <c r="J168" s="103">
        <f>VLOOKUP($A168,'OI(Volume)'!$A$7:$O$427,11)</f>
        <v>100632000</v>
      </c>
      <c r="K168" s="103">
        <f>VLOOKUP($A168,'OI(Volume)'!$A$7:$O$427,12)</f>
        <v>1688000</v>
      </c>
      <c r="L168" s="103">
        <f>VLOOKUP($A168,'OI(Value)'!$A$7:$O$306,8,0)</f>
        <v>2192</v>
      </c>
      <c r="M168" s="103">
        <f>VLOOKUP($A168,'OI(Value)'!$A$7:$O$306,9,0)</f>
        <v>-91</v>
      </c>
      <c r="N168" s="103">
        <f>VLOOKUP($A168,'OI(Value)'!$A$7:$O$306,11,0)</f>
        <v>1205</v>
      </c>
      <c r="O168" s="103">
        <f>VLOOKUP($A168,'OI(Value)'!$A$7:$O$306,12,0)</f>
        <v>20</v>
      </c>
      <c r="P168" s="179">
        <f>VLOOKUP(A168,'OI(Value)'!A168:O369,8,0)</f>
        <v>2192</v>
      </c>
      <c r="Q168" s="179">
        <f>VLOOKUP(A168,'OI(Value)'!A168:O369,9,0)</f>
        <v>-91</v>
      </c>
      <c r="R168" s="179">
        <f>VLOOKUP(A168,'OI(Value)'!A168:O369,11,0)</f>
        <v>1205</v>
      </c>
      <c r="S168" s="179">
        <f>VLOOKUP(A168,'OI(Value)'!A168:O369,11,0)</f>
        <v>1205</v>
      </c>
    </row>
    <row r="169" spans="1:19" x14ac:dyDescent="0.25">
      <c r="A169" s="105" t="str">
        <f>'Data shares'!C164</f>
        <v>PNBHOUSING</v>
      </c>
      <c r="B169" s="143">
        <f>VLOOKUP($A169,'Data shares'!$C:$FA,118)</f>
        <v>0.62</v>
      </c>
      <c r="C169" s="143">
        <f>VLOOKUP($A169,'Data shares'!$C:$FA,119)</f>
        <v>0.61</v>
      </c>
      <c r="D169" s="143">
        <f>VLOOKUP($A169,'Data shares'!$C:$FA,121)*100</f>
        <v>1.6400000000000001</v>
      </c>
      <c r="E169" s="143">
        <f>VLOOKUP($A169,'Data shares'!$C:$FA,124)</f>
        <v>0.49</v>
      </c>
      <c r="F169" s="143">
        <f>VLOOKUP($A169,'Data shares'!$C:$FA,125)</f>
        <v>0.52</v>
      </c>
      <c r="G169" s="143">
        <f>VLOOKUP($A169,'Data shares'!$C:$FA,127)*100</f>
        <v>-5.7700000000000005</v>
      </c>
      <c r="H169" s="103">
        <f>VLOOKUP($A169,'OI(Volume)'!$A$7:$O$427,8)</f>
        <v>7615400</v>
      </c>
      <c r="I169" s="103">
        <f>VLOOKUP($A169,'OI(Volume)'!$A$7:$O$427,9)</f>
        <v>-361400</v>
      </c>
      <c r="J169" s="103">
        <f>VLOOKUP($A169,'OI(Volume)'!$A$7:$O$427,11)</f>
        <v>4704700</v>
      </c>
      <c r="K169" s="103">
        <f>VLOOKUP($A169,'OI(Volume)'!$A$7:$O$427,12)</f>
        <v>-133250</v>
      </c>
      <c r="L169" s="103">
        <f>VLOOKUP($A169,'OI(Value)'!$A$7:$O$306,8,0)</f>
        <v>684</v>
      </c>
      <c r="M169" s="103">
        <f>VLOOKUP($A169,'OI(Value)'!$A$7:$O$306,9,0)</f>
        <v>-32</v>
      </c>
      <c r="N169" s="103">
        <f>VLOOKUP($A169,'OI(Value)'!$A$7:$O$306,11,0)</f>
        <v>422</v>
      </c>
      <c r="O169" s="103">
        <f>VLOOKUP($A169,'OI(Value)'!$A$7:$O$306,12,0)</f>
        <v>-12</v>
      </c>
      <c r="P169" s="179">
        <f>VLOOKUP(A169,'OI(Value)'!A169:O370,8,0)</f>
        <v>684</v>
      </c>
      <c r="Q169" s="179">
        <f>VLOOKUP(A169,'OI(Value)'!A169:O370,9,0)</f>
        <v>-32</v>
      </c>
      <c r="R169" s="179">
        <f>VLOOKUP(A169,'OI(Value)'!A169:O370,11,0)</f>
        <v>422</v>
      </c>
      <c r="S169" s="179">
        <f>VLOOKUP(A169,'OI(Value)'!A169:O370,11,0)</f>
        <v>422</v>
      </c>
    </row>
    <row r="170" spans="1:19" x14ac:dyDescent="0.25">
      <c r="A170" s="105" t="str">
        <f>'Data shares'!C165</f>
        <v>POLICYBZR</v>
      </c>
      <c r="B170" s="143">
        <f>VLOOKUP($A170,'Data shares'!$C:$FA,118)</f>
        <v>0.62</v>
      </c>
      <c r="C170" s="143">
        <f>VLOOKUP($A170,'Data shares'!$C:$FA,119)</f>
        <v>0.72</v>
      </c>
      <c r="D170" s="143">
        <f>VLOOKUP($A170,'Data shares'!$C:$FA,121)*100</f>
        <v>-13.889999999999999</v>
      </c>
      <c r="E170" s="143">
        <f>VLOOKUP($A170,'Data shares'!$C:$FA,124)</f>
        <v>1.1100000000000001</v>
      </c>
      <c r="F170" s="143">
        <f>VLOOKUP($A170,'Data shares'!$C:$FA,125)</f>
        <v>1.34</v>
      </c>
      <c r="G170" s="143">
        <f>VLOOKUP($A170,'Data shares'!$C:$FA,127)*100</f>
        <v>-17.16</v>
      </c>
      <c r="H170" s="103">
        <f>VLOOKUP($A170,'OI(Volume)'!$A$7:$O$427,8)</f>
        <v>3489500</v>
      </c>
      <c r="I170" s="103">
        <f>VLOOKUP($A170,'OI(Volume)'!$A$7:$O$427,9)</f>
        <v>318850</v>
      </c>
      <c r="J170" s="103">
        <f>VLOOKUP($A170,'OI(Volume)'!$A$7:$O$427,11)</f>
        <v>2178400</v>
      </c>
      <c r="K170" s="103">
        <f>VLOOKUP($A170,'OI(Volume)'!$A$7:$O$427,12)</f>
        <v>-92750</v>
      </c>
      <c r="L170" s="103">
        <f>VLOOKUP($A170,'OI(Value)'!$A$7:$O$306,8,0)</f>
        <v>618</v>
      </c>
      <c r="M170" s="103">
        <f>VLOOKUP($A170,'OI(Value)'!$A$7:$O$306,9,0)</f>
        <v>56</v>
      </c>
      <c r="N170" s="103">
        <f>VLOOKUP($A170,'OI(Value)'!$A$7:$O$306,11,0)</f>
        <v>386</v>
      </c>
      <c r="O170" s="103">
        <f>VLOOKUP($A170,'OI(Value)'!$A$7:$O$306,12,0)</f>
        <v>-16</v>
      </c>
      <c r="P170" s="179">
        <f>VLOOKUP(A170,'OI(Value)'!A170:O371,8,0)</f>
        <v>618</v>
      </c>
      <c r="Q170" s="179">
        <f>VLOOKUP(A170,'OI(Value)'!A170:O371,9,0)</f>
        <v>56</v>
      </c>
      <c r="R170" s="179">
        <f>VLOOKUP(A170,'OI(Value)'!A170:O371,11,0)</f>
        <v>386</v>
      </c>
      <c r="S170" s="179">
        <f>VLOOKUP(A170,'OI(Value)'!A170:O371,11,0)</f>
        <v>386</v>
      </c>
    </row>
    <row r="171" spans="1:19" x14ac:dyDescent="0.25">
      <c r="A171" s="105" t="str">
        <f>'Data shares'!C166</f>
        <v>POLYCAB</v>
      </c>
      <c r="B171" s="143">
        <f>VLOOKUP($A171,'Data shares'!$C:$FA,118)</f>
        <v>0.66</v>
      </c>
      <c r="C171" s="143">
        <f>VLOOKUP($A171,'Data shares'!$C:$FA,119)</f>
        <v>0.67</v>
      </c>
      <c r="D171" s="143">
        <f>VLOOKUP($A171,'Data shares'!$C:$FA,121)*100</f>
        <v>-1.49</v>
      </c>
      <c r="E171" s="143">
        <f>VLOOKUP($A171,'Data shares'!$C:$FA,124)</f>
        <v>1.21</v>
      </c>
      <c r="F171" s="143">
        <f>VLOOKUP($A171,'Data shares'!$C:$FA,125)</f>
        <v>0.44</v>
      </c>
      <c r="G171" s="143">
        <f>VLOOKUP($A171,'Data shares'!$C:$FA,127)*100</f>
        <v>175</v>
      </c>
      <c r="H171" s="103">
        <f>VLOOKUP($A171,'OI(Volume)'!$A$7:$O$427,8)</f>
        <v>1079375</v>
      </c>
      <c r="I171" s="103">
        <f>VLOOKUP($A171,'OI(Volume)'!$A$7:$O$427,9)</f>
        <v>309750</v>
      </c>
      <c r="J171" s="103">
        <f>VLOOKUP($A171,'OI(Volume)'!$A$7:$O$427,11)</f>
        <v>707625</v>
      </c>
      <c r="K171" s="103">
        <f>VLOOKUP($A171,'OI(Volume)'!$A$7:$O$427,12)</f>
        <v>188250</v>
      </c>
      <c r="L171" s="103">
        <f>VLOOKUP($A171,'OI(Value)'!$A$7:$O$306,8,0)</f>
        <v>767</v>
      </c>
      <c r="M171" s="103">
        <f>VLOOKUP($A171,'OI(Value)'!$A$7:$O$306,9,0)</f>
        <v>220</v>
      </c>
      <c r="N171" s="103">
        <f>VLOOKUP($A171,'OI(Value)'!$A$7:$O$306,11,0)</f>
        <v>503</v>
      </c>
      <c r="O171" s="103">
        <f>VLOOKUP($A171,'OI(Value)'!$A$7:$O$306,12,0)</f>
        <v>134</v>
      </c>
      <c r="P171" s="179">
        <f>VLOOKUP(A171,'OI(Value)'!A171:O372,8,0)</f>
        <v>767</v>
      </c>
      <c r="Q171" s="179">
        <f>VLOOKUP(A171,'OI(Value)'!A171:O372,9,0)</f>
        <v>220</v>
      </c>
      <c r="R171" s="179">
        <f>VLOOKUP(A171,'OI(Value)'!A171:O372,11,0)</f>
        <v>503</v>
      </c>
      <c r="S171" s="179">
        <f>VLOOKUP(A171,'OI(Value)'!A171:O372,11,0)</f>
        <v>503</v>
      </c>
    </row>
    <row r="172" spans="1:19" x14ac:dyDescent="0.25">
      <c r="A172" s="105" t="str">
        <f>'Data shares'!C167</f>
        <v>POWERGRID</v>
      </c>
      <c r="B172" s="143">
        <f>VLOOKUP($A172,'Data shares'!$C:$FA,118)</f>
        <v>0.61</v>
      </c>
      <c r="C172" s="143">
        <f>VLOOKUP($A172,'Data shares'!$C:$FA,119)</f>
        <v>0.6</v>
      </c>
      <c r="D172" s="143">
        <f>VLOOKUP($A172,'Data shares'!$C:$FA,121)*100</f>
        <v>1.67</v>
      </c>
      <c r="E172" s="143">
        <f>VLOOKUP($A172,'Data shares'!$C:$FA,124)</f>
        <v>0.35</v>
      </c>
      <c r="F172" s="143">
        <f>VLOOKUP($A172,'Data shares'!$C:$FA,125)</f>
        <v>0.3</v>
      </c>
      <c r="G172" s="143">
        <f>VLOOKUP($A172,'Data shares'!$C:$FA,127)*100</f>
        <v>16.669999999999998</v>
      </c>
      <c r="H172" s="103">
        <f>VLOOKUP($A172,'OI(Volume)'!$A$7:$O$427,8)</f>
        <v>34751000</v>
      </c>
      <c r="I172" s="103">
        <f>VLOOKUP($A172,'OI(Volume)'!$A$7:$O$427,9)</f>
        <v>-687800</v>
      </c>
      <c r="J172" s="103">
        <f>VLOOKUP($A172,'OI(Volume)'!$A$7:$O$427,11)</f>
        <v>21072900</v>
      </c>
      <c r="K172" s="103">
        <f>VLOOKUP($A172,'OI(Volume)'!$A$7:$O$427,12)</f>
        <v>-51300</v>
      </c>
      <c r="L172" s="103">
        <f>VLOOKUP($A172,'OI(Value)'!$A$7:$O$306,8,0)</f>
        <v>910</v>
      </c>
      <c r="M172" s="103">
        <f>VLOOKUP($A172,'OI(Value)'!$A$7:$O$306,9,0)</f>
        <v>-18</v>
      </c>
      <c r="N172" s="103">
        <f>VLOOKUP($A172,'OI(Value)'!$A$7:$O$306,11,0)</f>
        <v>552</v>
      </c>
      <c r="O172" s="103">
        <f>VLOOKUP($A172,'OI(Value)'!$A$7:$O$306,12,0)</f>
        <v>-1</v>
      </c>
      <c r="P172" s="179">
        <f>VLOOKUP(A172,'OI(Value)'!A172:O373,8,0)</f>
        <v>910</v>
      </c>
      <c r="Q172" s="179">
        <f>VLOOKUP(A172,'OI(Value)'!A172:O373,9,0)</f>
        <v>-18</v>
      </c>
      <c r="R172" s="179">
        <f>VLOOKUP(A172,'OI(Value)'!A172:O373,11,0)</f>
        <v>552</v>
      </c>
      <c r="S172" s="179">
        <f>VLOOKUP(A172,'OI(Value)'!A172:O373,11,0)</f>
        <v>552</v>
      </c>
    </row>
    <row r="173" spans="1:19" x14ac:dyDescent="0.25">
      <c r="A173" s="105" t="str">
        <f>'Data shares'!C168</f>
        <v>POWERINDIA</v>
      </c>
      <c r="B173" s="143">
        <f>VLOOKUP($A173,'Data shares'!$C:$FA,118)</f>
        <v>0.38</v>
      </c>
      <c r="C173" s="143">
        <f>VLOOKUP($A173,'Data shares'!$C:$FA,119)</f>
        <v>0.37</v>
      </c>
      <c r="D173" s="143">
        <f>VLOOKUP($A173,'Data shares'!$C:$FA,121)*100</f>
        <v>2.7</v>
      </c>
      <c r="E173" s="143">
        <f>VLOOKUP($A173,'Data shares'!$C:$FA,124)</f>
        <v>0.28000000000000003</v>
      </c>
      <c r="F173" s="143">
        <f>VLOOKUP($A173,'Data shares'!$C:$FA,125)</f>
        <v>0.37</v>
      </c>
      <c r="G173" s="143">
        <f>VLOOKUP($A173,'Data shares'!$C:$FA,127)*100</f>
        <v>-24.32</v>
      </c>
      <c r="H173" s="103">
        <f>VLOOKUP($A173,'OI(Volume)'!$A$7:$O$427,8)</f>
        <v>522200</v>
      </c>
      <c r="I173" s="103">
        <f>VLOOKUP($A173,'OI(Volume)'!$A$7:$O$427,9)</f>
        <v>-28350</v>
      </c>
      <c r="J173" s="103">
        <f>VLOOKUP($A173,'OI(Volume)'!$A$7:$O$427,11)</f>
        <v>198250</v>
      </c>
      <c r="K173" s="103">
        <f>VLOOKUP($A173,'OI(Volume)'!$A$7:$O$427,12)</f>
        <v>-7550</v>
      </c>
      <c r="L173" s="103">
        <f>VLOOKUP($A173,'OI(Value)'!$A$7:$O$306,8,0)</f>
        <v>1003</v>
      </c>
      <c r="M173" s="103">
        <f>VLOOKUP($A173,'OI(Value)'!$A$7:$O$306,9,0)</f>
        <v>-54</v>
      </c>
      <c r="N173" s="103">
        <f>VLOOKUP($A173,'OI(Value)'!$A$7:$O$306,11,0)</f>
        <v>381</v>
      </c>
      <c r="O173" s="103">
        <f>VLOOKUP($A173,'OI(Value)'!$A$7:$O$306,12,0)</f>
        <v>-15</v>
      </c>
    </row>
    <row r="174" spans="1:19" x14ac:dyDescent="0.25">
      <c r="A174" s="105" t="str">
        <f>'Data shares'!C169</f>
        <v>PPLPHARMA</v>
      </c>
      <c r="B174" s="143">
        <f>VLOOKUP($A174,'Data shares'!$C:$FA,118)</f>
        <v>0.43</v>
      </c>
      <c r="C174" s="143">
        <f>VLOOKUP($A174,'Data shares'!$C:$FA,119)</f>
        <v>0.4</v>
      </c>
      <c r="D174" s="143">
        <f>VLOOKUP($A174,'Data shares'!$C:$FA,121)*100</f>
        <v>7.5</v>
      </c>
      <c r="E174" s="143">
        <f>VLOOKUP($A174,'Data shares'!$C:$FA,124)</f>
        <v>0.4</v>
      </c>
      <c r="F174" s="143">
        <f>VLOOKUP($A174,'Data shares'!$C:$FA,125)</f>
        <v>0.37</v>
      </c>
      <c r="G174" s="143">
        <f>VLOOKUP($A174,'Data shares'!$C:$FA,127)*100</f>
        <v>8.1100000000000012</v>
      </c>
      <c r="H174" s="103">
        <f>VLOOKUP($A174,'OI(Volume)'!$A$7:$O$427,8)</f>
        <v>18073000</v>
      </c>
      <c r="I174" s="103">
        <f>VLOOKUP($A174,'OI(Volume)'!$A$7:$O$427,9)</f>
        <v>-283625</v>
      </c>
      <c r="J174" s="103">
        <f>VLOOKUP($A174,'OI(Volume)'!$A$7:$O$427,11)</f>
        <v>7730750</v>
      </c>
      <c r="K174" s="103">
        <f>VLOOKUP($A174,'OI(Volume)'!$A$7:$O$427,12)</f>
        <v>367000</v>
      </c>
      <c r="L174" s="103">
        <f>VLOOKUP($A174,'OI(Value)'!$A$7:$O$306,8,0)</f>
        <v>304</v>
      </c>
      <c r="M174" s="103">
        <f>VLOOKUP($A174,'OI(Value)'!$A$7:$O$306,9,0)</f>
        <v>-5</v>
      </c>
      <c r="N174" s="103">
        <f>VLOOKUP($A174,'OI(Value)'!$A$7:$O$306,11,0)</f>
        <v>130</v>
      </c>
      <c r="O174" s="103">
        <f>VLOOKUP($A174,'OI(Value)'!$A$7:$O$306,12,0)</f>
        <v>6</v>
      </c>
    </row>
    <row r="175" spans="1:19" x14ac:dyDescent="0.25">
      <c r="A175" s="105" t="str">
        <f>'Data shares'!C170</f>
        <v>PRESTIGE</v>
      </c>
      <c r="B175" s="143">
        <f>VLOOKUP($A175,'Data shares'!$C:$FA,118)</f>
        <v>0.65</v>
      </c>
      <c r="C175" s="143">
        <f>VLOOKUP($A175,'Data shares'!$C:$FA,119)</f>
        <v>0.67</v>
      </c>
      <c r="D175" s="143">
        <f>VLOOKUP($A175,'Data shares'!$C:$FA,121)*100</f>
        <v>-2.9899999999999998</v>
      </c>
      <c r="E175" s="143">
        <f>VLOOKUP($A175,'Data shares'!$C:$FA,124)</f>
        <v>0.51</v>
      </c>
      <c r="F175" s="143">
        <f>VLOOKUP($A175,'Data shares'!$C:$FA,125)</f>
        <v>0.53</v>
      </c>
      <c r="G175" s="143">
        <f>VLOOKUP($A175,'Data shares'!$C:$FA,127)*100</f>
        <v>-3.7699999999999996</v>
      </c>
      <c r="H175" s="103">
        <f>VLOOKUP($A175,'OI(Volume)'!$A$7:$O$427,8)</f>
        <v>2034900</v>
      </c>
      <c r="I175" s="103">
        <f>VLOOKUP($A175,'OI(Volume)'!$A$7:$O$427,9)</f>
        <v>58050</v>
      </c>
      <c r="J175" s="103">
        <f>VLOOKUP($A175,'OI(Volume)'!$A$7:$O$427,11)</f>
        <v>1315800</v>
      </c>
      <c r="K175" s="103">
        <f>VLOOKUP($A175,'OI(Volume)'!$A$7:$O$427,12)</f>
        <v>-5400</v>
      </c>
      <c r="L175" s="103">
        <f>VLOOKUP($A175,'OI(Value)'!$A$7:$O$306,8,0)</f>
        <v>328</v>
      </c>
      <c r="M175" s="103">
        <f>VLOOKUP($A175,'OI(Value)'!$A$7:$O$306,9,0)</f>
        <v>9</v>
      </c>
      <c r="N175" s="103">
        <f>VLOOKUP($A175,'OI(Value)'!$A$7:$O$306,11,0)</f>
        <v>212</v>
      </c>
      <c r="O175" s="103">
        <f>VLOOKUP($A175,'OI(Value)'!$A$7:$O$306,12,0)</f>
        <v>-1</v>
      </c>
    </row>
    <row r="176" spans="1:19" x14ac:dyDescent="0.25">
      <c r="A176" s="105" t="str">
        <f>'Data shares'!C171</f>
        <v>RBLBANK</v>
      </c>
      <c r="B176" s="143">
        <f>VLOOKUP($A176,'Data shares'!$C:$FA,118)</f>
        <v>0.63</v>
      </c>
      <c r="C176" s="143">
        <f>VLOOKUP($A176,'Data shares'!$C:$FA,119)</f>
        <v>0.63</v>
      </c>
      <c r="D176" s="143">
        <f>VLOOKUP($A176,'Data shares'!$C:$FA,121)*100</f>
        <v>0</v>
      </c>
      <c r="E176" s="143">
        <f>VLOOKUP($A176,'Data shares'!$C:$FA,124)</f>
        <v>0.97</v>
      </c>
      <c r="F176" s="143">
        <f>VLOOKUP($A176,'Data shares'!$C:$FA,125)</f>
        <v>0.72</v>
      </c>
      <c r="G176" s="143">
        <f>VLOOKUP($A176,'Data shares'!$C:$FA,127)*100</f>
        <v>34.72</v>
      </c>
      <c r="H176" s="103">
        <f>VLOOKUP($A176,'OI(Volume)'!$A$7:$O$427,8)</f>
        <v>27406600</v>
      </c>
      <c r="I176" s="103">
        <f>VLOOKUP($A176,'OI(Volume)'!$A$7:$O$427,9)</f>
        <v>2289175</v>
      </c>
      <c r="J176" s="103">
        <f>VLOOKUP($A176,'OI(Volume)'!$A$7:$O$427,11)</f>
        <v>17211675</v>
      </c>
      <c r="K176" s="103">
        <f>VLOOKUP($A176,'OI(Volume)'!$A$7:$O$427,12)</f>
        <v>1498600</v>
      </c>
      <c r="L176" s="103">
        <f>VLOOKUP($A176,'OI(Value)'!$A$7:$O$306,8,0)</f>
        <v>817</v>
      </c>
      <c r="M176" s="103">
        <f>VLOOKUP($A176,'OI(Value)'!$A$7:$O$306,9,0)</f>
        <v>68</v>
      </c>
      <c r="N176" s="103">
        <f>VLOOKUP($A176,'OI(Value)'!$A$7:$O$306,11,0)</f>
        <v>513</v>
      </c>
      <c r="O176" s="103">
        <f>VLOOKUP($A176,'OI(Value)'!$A$7:$O$306,12,0)</f>
        <v>45</v>
      </c>
    </row>
    <row r="177" spans="1:15" x14ac:dyDescent="0.25">
      <c r="A177" s="105" t="str">
        <f>'Data shares'!C172</f>
        <v>RECLTD</v>
      </c>
      <c r="B177" s="143">
        <f>VLOOKUP($A177,'Data shares'!$C:$FA,118)</f>
        <v>0.61</v>
      </c>
      <c r="C177" s="143">
        <f>VLOOKUP($A177,'Data shares'!$C:$FA,119)</f>
        <v>0.61</v>
      </c>
      <c r="D177" s="143">
        <f>VLOOKUP($A177,'Data shares'!$C:$FA,121)*100</f>
        <v>0</v>
      </c>
      <c r="E177" s="143">
        <f>VLOOKUP($A177,'Data shares'!$C:$FA,124)</f>
        <v>0.45</v>
      </c>
      <c r="F177" s="143">
        <f>VLOOKUP($A177,'Data shares'!$C:$FA,125)</f>
        <v>0.44</v>
      </c>
      <c r="G177" s="143">
        <f>VLOOKUP($A177,'Data shares'!$C:$FA,127)*100</f>
        <v>2.27</v>
      </c>
      <c r="H177" s="103">
        <f>VLOOKUP($A177,'OI(Volume)'!$A$7:$O$427,8)</f>
        <v>50973275</v>
      </c>
      <c r="I177" s="103">
        <f>VLOOKUP($A177,'OI(Volume)'!$A$7:$O$427,9)</f>
        <v>1493600</v>
      </c>
      <c r="J177" s="103">
        <f>VLOOKUP($A177,'OI(Volume)'!$A$7:$O$427,11)</f>
        <v>31080275</v>
      </c>
      <c r="K177" s="103">
        <f>VLOOKUP($A177,'OI(Volume)'!$A$7:$O$427,12)</f>
        <v>940625</v>
      </c>
      <c r="L177" s="103">
        <f>VLOOKUP($A177,'OI(Value)'!$A$7:$O$306,8,0)</f>
        <v>1705</v>
      </c>
      <c r="M177" s="103">
        <f>VLOOKUP($A177,'OI(Value)'!$A$7:$O$306,9,0)</f>
        <v>50</v>
      </c>
      <c r="N177" s="103">
        <f>VLOOKUP($A177,'OI(Value)'!$A$7:$O$306,11,0)</f>
        <v>1040</v>
      </c>
      <c r="O177" s="103">
        <f>VLOOKUP($A177,'OI(Value)'!$A$7:$O$306,12,0)</f>
        <v>31</v>
      </c>
    </row>
    <row r="178" spans="1:15" x14ac:dyDescent="0.25">
      <c r="A178" s="105" t="str">
        <f>'Data shares'!C173</f>
        <v>RELIANCE</v>
      </c>
      <c r="B178" s="143">
        <f>VLOOKUP($A178,'Data shares'!$C:$FA,118)</f>
        <v>0.53</v>
      </c>
      <c r="C178" s="143">
        <f>VLOOKUP($A178,'Data shares'!$C:$FA,119)</f>
        <v>0.52</v>
      </c>
      <c r="D178" s="143">
        <f>VLOOKUP($A178,'Data shares'!$C:$FA,121)*100</f>
        <v>1.92</v>
      </c>
      <c r="E178" s="143">
        <f>VLOOKUP($A178,'Data shares'!$C:$FA,124)</f>
        <v>0.61</v>
      </c>
      <c r="F178" s="143">
        <f>VLOOKUP($A178,'Data shares'!$C:$FA,125)</f>
        <v>0.68</v>
      </c>
      <c r="G178" s="143">
        <f>VLOOKUP($A178,'Data shares'!$C:$FA,127)*100</f>
        <v>-10.290000000000001</v>
      </c>
      <c r="H178" s="103">
        <f>VLOOKUP($A178,'OI(Volume)'!$A$7:$O$427,8)</f>
        <v>51853000</v>
      </c>
      <c r="I178" s="103">
        <f>VLOOKUP($A178,'OI(Volume)'!$A$7:$O$427,9)</f>
        <v>-37500</v>
      </c>
      <c r="J178" s="103">
        <f>VLOOKUP($A178,'OI(Volume)'!$A$7:$O$427,11)</f>
        <v>27538500</v>
      </c>
      <c r="K178" s="103">
        <f>VLOOKUP($A178,'OI(Volume)'!$A$7:$O$427,12)</f>
        <v>814000</v>
      </c>
      <c r="L178" s="103">
        <f>VLOOKUP($A178,'OI(Value)'!$A$7:$O$306,8,0)</f>
        <v>8031</v>
      </c>
      <c r="M178" s="103">
        <f>VLOOKUP($A178,'OI(Value)'!$A$7:$O$306,9,0)</f>
        <v>-6</v>
      </c>
      <c r="N178" s="103">
        <f>VLOOKUP($A178,'OI(Value)'!$A$7:$O$306,11,0)</f>
        <v>4265</v>
      </c>
      <c r="O178" s="103">
        <f>VLOOKUP($A178,'OI(Value)'!$A$7:$O$306,12,0)</f>
        <v>126</v>
      </c>
    </row>
    <row r="179" spans="1:15" x14ac:dyDescent="0.25">
      <c r="A179" s="105" t="str">
        <f>'Data shares'!C174</f>
        <v>RVNL</v>
      </c>
      <c r="B179" s="143">
        <f>VLOOKUP($A179,'Data shares'!$C:$FA,118)</f>
        <v>0.46</v>
      </c>
      <c r="C179" s="143">
        <f>VLOOKUP($A179,'Data shares'!$C:$FA,119)</f>
        <v>0.49</v>
      </c>
      <c r="D179" s="143">
        <f>VLOOKUP($A179,'Data shares'!$C:$FA,121)*100</f>
        <v>-6.12</v>
      </c>
      <c r="E179" s="143">
        <f>VLOOKUP($A179,'Data shares'!$C:$FA,124)</f>
        <v>0.22</v>
      </c>
      <c r="F179" s="143">
        <f>VLOOKUP($A179,'Data shares'!$C:$FA,125)</f>
        <v>0.39</v>
      </c>
      <c r="G179" s="143">
        <f>VLOOKUP($A179,'Data shares'!$C:$FA,127)*100</f>
        <v>-43.59</v>
      </c>
      <c r="H179" s="103">
        <f>VLOOKUP($A179,'OI(Volume)'!$A$7:$O$427,8)</f>
        <v>21544725</v>
      </c>
      <c r="I179" s="103">
        <f>VLOOKUP($A179,'OI(Volume)'!$A$7:$O$427,9)</f>
        <v>1188225</v>
      </c>
      <c r="J179" s="103">
        <f>VLOOKUP($A179,'OI(Volume)'!$A$7:$O$427,11)</f>
        <v>9829150</v>
      </c>
      <c r="K179" s="103">
        <f>VLOOKUP($A179,'OI(Volume)'!$A$7:$O$427,12)</f>
        <v>-54125</v>
      </c>
      <c r="L179" s="103">
        <f>VLOOKUP($A179,'OI(Value)'!$A$7:$O$306,8,0)</f>
        <v>658</v>
      </c>
      <c r="M179" s="103">
        <f>VLOOKUP($A179,'OI(Value)'!$A$7:$O$306,9,0)</f>
        <v>36</v>
      </c>
      <c r="N179" s="103">
        <f>VLOOKUP($A179,'OI(Value)'!$A$7:$O$306,11,0)</f>
        <v>300</v>
      </c>
      <c r="O179" s="103">
        <f>VLOOKUP($A179,'OI(Value)'!$A$7:$O$306,12,0)</f>
        <v>-2</v>
      </c>
    </row>
    <row r="180" spans="1:15" x14ac:dyDescent="0.25">
      <c r="A180" s="105" t="str">
        <f>'Data shares'!C175</f>
        <v>SAIL</v>
      </c>
      <c r="B180" s="143">
        <f>VLOOKUP($A180,'Data shares'!$C:$FA,118)</f>
        <v>0.56000000000000005</v>
      </c>
      <c r="C180" s="143">
        <f>VLOOKUP($A180,'Data shares'!$C:$FA,119)</f>
        <v>0.56000000000000005</v>
      </c>
      <c r="D180" s="143">
        <f>VLOOKUP($A180,'Data shares'!$C:$FA,121)*100</f>
        <v>0</v>
      </c>
      <c r="E180" s="143">
        <f>VLOOKUP($A180,'Data shares'!$C:$FA,124)</f>
        <v>0.31</v>
      </c>
      <c r="F180" s="143">
        <f>VLOOKUP($A180,'Data shares'!$C:$FA,125)</f>
        <v>0.4</v>
      </c>
      <c r="G180" s="143">
        <f>VLOOKUP($A180,'Data shares'!$C:$FA,127)*100</f>
        <v>-22.5</v>
      </c>
      <c r="H180" s="103">
        <f>VLOOKUP($A180,'OI(Volume)'!$A$7:$O$427,8)</f>
        <v>52846800</v>
      </c>
      <c r="I180" s="103">
        <f>VLOOKUP($A180,'OI(Volume)'!$A$7:$O$427,9)</f>
        <v>-408900</v>
      </c>
      <c r="J180" s="103">
        <f>VLOOKUP($A180,'OI(Volume)'!$A$7:$O$427,11)</f>
        <v>29812100</v>
      </c>
      <c r="K180" s="103">
        <f>VLOOKUP($A180,'OI(Volume)'!$A$7:$O$427,12)</f>
        <v>28200</v>
      </c>
      <c r="L180" s="103">
        <f>VLOOKUP($A180,'OI(Value)'!$A$7:$O$306,8,0)</f>
        <v>689</v>
      </c>
      <c r="M180" s="103">
        <f>VLOOKUP($A180,'OI(Value)'!$A$7:$O$306,9,0)</f>
        <v>-5</v>
      </c>
      <c r="N180" s="103">
        <f>VLOOKUP($A180,'OI(Value)'!$A$7:$O$306,11,0)</f>
        <v>388</v>
      </c>
      <c r="O180" s="103">
        <f>VLOOKUP($A180,'OI(Value)'!$A$7:$O$306,12,0)</f>
        <v>0</v>
      </c>
    </row>
    <row r="181" spans="1:15" x14ac:dyDescent="0.25">
      <c r="A181" s="105" t="str">
        <f>'Data shares'!C176</f>
        <v>SAMMAANCAP</v>
      </c>
      <c r="B181" s="143">
        <f>VLOOKUP($A181,'Data shares'!$C:$FA,118)</f>
        <v>0.63</v>
      </c>
      <c r="C181" s="143">
        <f>VLOOKUP($A181,'Data shares'!$C:$FA,119)</f>
        <v>0.54</v>
      </c>
      <c r="D181" s="143">
        <f>VLOOKUP($A181,'Data shares'!$C:$FA,121)*100</f>
        <v>16.669999999999998</v>
      </c>
      <c r="E181" s="143">
        <f>VLOOKUP($A181,'Data shares'!$C:$FA,124)</f>
        <v>0.56999999999999995</v>
      </c>
      <c r="F181" s="143">
        <f>VLOOKUP($A181,'Data shares'!$C:$FA,125)</f>
        <v>0.32</v>
      </c>
      <c r="G181" s="143">
        <f>VLOOKUP($A181,'Data shares'!$C:$FA,127)*100</f>
        <v>78.12</v>
      </c>
      <c r="H181" s="103">
        <f>VLOOKUP($A181,'OI(Volume)'!$A$7:$O$427,8)</f>
        <v>65299800</v>
      </c>
      <c r="I181" s="103">
        <f>VLOOKUP($A181,'OI(Volume)'!$A$7:$O$427,9)</f>
        <v>10960700</v>
      </c>
      <c r="J181" s="103">
        <f>VLOOKUP($A181,'OI(Volume)'!$A$7:$O$427,11)</f>
        <v>41073600</v>
      </c>
      <c r="K181" s="103">
        <f>VLOOKUP($A181,'OI(Volume)'!$A$7:$O$427,12)</f>
        <v>11459500</v>
      </c>
      <c r="L181" s="103">
        <f>VLOOKUP($A181,'OI(Value)'!$A$7:$O$306,8,0)</f>
        <v>955</v>
      </c>
      <c r="M181" s="103">
        <f>VLOOKUP($A181,'OI(Value)'!$A$7:$O$306,9,0)</f>
        <v>160</v>
      </c>
      <c r="N181" s="103">
        <f>VLOOKUP($A181,'OI(Value)'!$A$7:$O$306,11,0)</f>
        <v>600</v>
      </c>
      <c r="O181" s="103">
        <f>VLOOKUP($A181,'OI(Value)'!$A$7:$O$306,12,0)</f>
        <v>168</v>
      </c>
    </row>
    <row r="182" spans="1:15" x14ac:dyDescent="0.25">
      <c r="A182" s="105" t="str">
        <f>'Data shares'!C177</f>
        <v>SBICARD</v>
      </c>
      <c r="B182" s="143">
        <f>VLOOKUP($A182,'Data shares'!$C:$FA,118)</f>
        <v>0.66</v>
      </c>
      <c r="C182" s="143">
        <f>VLOOKUP($A182,'Data shares'!$C:$FA,119)</f>
        <v>0.7</v>
      </c>
      <c r="D182" s="143">
        <f>VLOOKUP($A182,'Data shares'!$C:$FA,121)*100</f>
        <v>-5.71</v>
      </c>
      <c r="E182" s="143">
        <f>VLOOKUP($A182,'Data shares'!$C:$FA,124)</f>
        <v>0.89</v>
      </c>
      <c r="F182" s="143">
        <f>VLOOKUP($A182,'Data shares'!$C:$FA,125)</f>
        <v>0.55000000000000004</v>
      </c>
      <c r="G182" s="143">
        <f>VLOOKUP($A182,'Data shares'!$C:$FA,127)*100</f>
        <v>61.82</v>
      </c>
      <c r="H182" s="103">
        <f>VLOOKUP($A182,'OI(Volume)'!$A$7:$O$427,8)</f>
        <v>6587200</v>
      </c>
      <c r="I182" s="103">
        <f>VLOOKUP($A182,'OI(Volume)'!$A$7:$O$427,9)</f>
        <v>426400</v>
      </c>
      <c r="J182" s="103">
        <f>VLOOKUP($A182,'OI(Volume)'!$A$7:$O$427,11)</f>
        <v>4354400</v>
      </c>
      <c r="K182" s="103">
        <f>VLOOKUP($A182,'OI(Volume)'!$A$7:$O$427,12)</f>
        <v>33600</v>
      </c>
      <c r="L182" s="103">
        <f>VLOOKUP($A182,'OI(Value)'!$A$7:$O$306,8,0)</f>
        <v>551</v>
      </c>
      <c r="M182" s="103">
        <f>VLOOKUP($A182,'OI(Value)'!$A$7:$O$306,9,0)</f>
        <v>36</v>
      </c>
      <c r="N182" s="103">
        <f>VLOOKUP($A182,'OI(Value)'!$A$7:$O$306,11,0)</f>
        <v>364</v>
      </c>
      <c r="O182" s="103">
        <f>VLOOKUP($A182,'OI(Value)'!$A$7:$O$306,12,0)</f>
        <v>3</v>
      </c>
    </row>
    <row r="183" spans="1:15" x14ac:dyDescent="0.25">
      <c r="A183" s="105" t="str">
        <f>'Data shares'!C178</f>
        <v>SBILIFE</v>
      </c>
      <c r="B183" s="143">
        <f>VLOOKUP($A183,'Data shares'!$C:$FA,118)</f>
        <v>0.48</v>
      </c>
      <c r="C183" s="143">
        <f>VLOOKUP($A183,'Data shares'!$C:$FA,119)</f>
        <v>0.53</v>
      </c>
      <c r="D183" s="143">
        <f>VLOOKUP($A183,'Data shares'!$C:$FA,121)*100</f>
        <v>-9.43</v>
      </c>
      <c r="E183" s="143">
        <f>VLOOKUP($A183,'Data shares'!$C:$FA,124)</f>
        <v>1.02</v>
      </c>
      <c r="F183" s="143">
        <f>VLOOKUP($A183,'Data shares'!$C:$FA,125)</f>
        <v>0.33</v>
      </c>
      <c r="G183" s="143">
        <f>VLOOKUP($A183,'Data shares'!$C:$FA,127)*100</f>
        <v>209.09</v>
      </c>
      <c r="H183" s="103">
        <f>VLOOKUP($A183,'OI(Volume)'!$A$7:$O$427,8)</f>
        <v>4411500</v>
      </c>
      <c r="I183" s="103">
        <f>VLOOKUP($A183,'OI(Volume)'!$A$7:$O$427,9)</f>
        <v>-250875</v>
      </c>
      <c r="J183" s="103">
        <f>VLOOKUP($A183,'OI(Volume)'!$A$7:$O$427,11)</f>
        <v>2124750</v>
      </c>
      <c r="K183" s="103">
        <f>VLOOKUP($A183,'OI(Volume)'!$A$7:$O$427,12)</f>
        <v>-332625</v>
      </c>
      <c r="L183" s="103">
        <f>VLOOKUP($A183,'OI(Value)'!$A$7:$O$306,8,0)</f>
        <v>889</v>
      </c>
      <c r="M183" s="103">
        <f>VLOOKUP($A183,'OI(Value)'!$A$7:$O$306,9,0)</f>
        <v>-51</v>
      </c>
      <c r="N183" s="103">
        <f>VLOOKUP($A183,'OI(Value)'!$A$7:$O$306,11,0)</f>
        <v>428</v>
      </c>
      <c r="O183" s="103">
        <f>VLOOKUP($A183,'OI(Value)'!$A$7:$O$306,12,0)</f>
        <v>-67</v>
      </c>
    </row>
    <row r="184" spans="1:15" x14ac:dyDescent="0.25">
      <c r="A184" s="105" t="str">
        <f>'Data shares'!C179</f>
        <v>SBIN</v>
      </c>
      <c r="B184" s="143">
        <f>VLOOKUP($A184,'Data shares'!$C:$FA,118)</f>
        <v>0.71</v>
      </c>
      <c r="C184" s="143">
        <f>VLOOKUP($A184,'Data shares'!$C:$FA,119)</f>
        <v>0.61</v>
      </c>
      <c r="D184" s="143">
        <f>VLOOKUP($A184,'Data shares'!$C:$FA,121)*100</f>
        <v>16.39</v>
      </c>
      <c r="E184" s="143">
        <f>VLOOKUP($A184,'Data shares'!$C:$FA,124)</f>
        <v>0.59</v>
      </c>
      <c r="F184" s="143">
        <f>VLOOKUP($A184,'Data shares'!$C:$FA,125)</f>
        <v>0.65</v>
      </c>
      <c r="G184" s="143">
        <f>VLOOKUP($A184,'Data shares'!$C:$FA,127)*100</f>
        <v>-9.2299999999999986</v>
      </c>
      <c r="H184" s="103">
        <f>VLOOKUP($A184,'OI(Volume)'!$A$7:$O$427,8)</f>
        <v>48264000</v>
      </c>
      <c r="I184" s="103">
        <f>VLOOKUP($A184,'OI(Volume)'!$A$7:$O$427,9)</f>
        <v>-5099250</v>
      </c>
      <c r="J184" s="103">
        <f>VLOOKUP($A184,'OI(Volume)'!$A$7:$O$427,11)</f>
        <v>34032000</v>
      </c>
      <c r="K184" s="103">
        <f>VLOOKUP($A184,'OI(Volume)'!$A$7:$O$427,12)</f>
        <v>1649250</v>
      </c>
      <c r="L184" s="103">
        <f>VLOOKUP($A184,'OI(Value)'!$A$7:$O$306,8,0)</f>
        <v>4718</v>
      </c>
      <c r="M184" s="103">
        <f>VLOOKUP($A184,'OI(Value)'!$A$7:$O$306,9,0)</f>
        <v>-498</v>
      </c>
      <c r="N184" s="103">
        <f>VLOOKUP($A184,'OI(Value)'!$A$7:$O$306,11,0)</f>
        <v>3327</v>
      </c>
      <c r="O184" s="103">
        <f>VLOOKUP($A184,'OI(Value)'!$A$7:$O$306,12,0)</f>
        <v>161</v>
      </c>
    </row>
    <row r="185" spans="1:15" x14ac:dyDescent="0.25">
      <c r="A185" s="105" t="str">
        <f>'Data shares'!C180</f>
        <v>SHREECEM</v>
      </c>
      <c r="B185" s="143">
        <f>VLOOKUP($A185,'Data shares'!$C:$FA,118)</f>
        <v>0.44</v>
      </c>
      <c r="C185" s="143">
        <f>VLOOKUP($A185,'Data shares'!$C:$FA,119)</f>
        <v>0.41</v>
      </c>
      <c r="D185" s="143">
        <f>VLOOKUP($A185,'Data shares'!$C:$FA,121)*100</f>
        <v>7.32</v>
      </c>
      <c r="E185" s="143">
        <f>VLOOKUP($A185,'Data shares'!$C:$FA,124)</f>
        <v>0.18</v>
      </c>
      <c r="F185" s="143">
        <f>VLOOKUP($A185,'Data shares'!$C:$FA,125)</f>
        <v>0.54</v>
      </c>
      <c r="G185" s="143">
        <f>VLOOKUP($A185,'Data shares'!$C:$FA,127)*100</f>
        <v>-66.67</v>
      </c>
      <c r="H185" s="103">
        <f>VLOOKUP($A185,'OI(Volume)'!$A$7:$O$427,8)</f>
        <v>138650</v>
      </c>
      <c r="I185" s="103">
        <f>VLOOKUP($A185,'OI(Volume)'!$A$7:$O$427,9)</f>
        <v>-11225</v>
      </c>
      <c r="J185" s="103">
        <f>VLOOKUP($A185,'OI(Volume)'!$A$7:$O$427,11)</f>
        <v>60925</v>
      </c>
      <c r="K185" s="103">
        <f>VLOOKUP($A185,'OI(Volume)'!$A$7:$O$427,12)</f>
        <v>-1225</v>
      </c>
      <c r="L185" s="103">
        <f>VLOOKUP($A185,'OI(Value)'!$A$7:$O$306,8,0)</f>
        <v>362</v>
      </c>
      <c r="M185" s="103">
        <f>VLOOKUP($A185,'OI(Value)'!$A$7:$O$306,9,0)</f>
        <v>-29</v>
      </c>
      <c r="N185" s="103">
        <f>VLOOKUP($A185,'OI(Value)'!$A$7:$O$306,11,0)</f>
        <v>159</v>
      </c>
      <c r="O185" s="103">
        <f>VLOOKUP($A185,'OI(Value)'!$A$7:$O$306,12,0)</f>
        <v>-3</v>
      </c>
    </row>
    <row r="186" spans="1:15" x14ac:dyDescent="0.25">
      <c r="A186" s="105" t="str">
        <f>'Data shares'!C181</f>
        <v>SHRIRAMFIN</v>
      </c>
      <c r="B186" s="143">
        <f>VLOOKUP($A186,'Data shares'!$C:$FA,118)</f>
        <v>0.56999999999999995</v>
      </c>
      <c r="C186" s="143">
        <f>VLOOKUP($A186,'Data shares'!$C:$FA,119)</f>
        <v>0.6</v>
      </c>
      <c r="D186" s="143">
        <f>VLOOKUP($A186,'Data shares'!$C:$FA,121)*100</f>
        <v>-5</v>
      </c>
      <c r="E186" s="143">
        <f>VLOOKUP($A186,'Data shares'!$C:$FA,124)</f>
        <v>0.35</v>
      </c>
      <c r="F186" s="143">
        <f>VLOOKUP($A186,'Data shares'!$C:$FA,125)</f>
        <v>0.51</v>
      </c>
      <c r="G186" s="143">
        <f>VLOOKUP($A186,'Data shares'!$C:$FA,127)*100</f>
        <v>-31.369999999999997</v>
      </c>
      <c r="H186" s="103">
        <f>VLOOKUP($A186,'OI(Volume)'!$A$7:$O$427,8)</f>
        <v>22420200</v>
      </c>
      <c r="I186" s="103">
        <f>VLOOKUP($A186,'OI(Volume)'!$A$7:$O$427,9)</f>
        <v>3525225</v>
      </c>
      <c r="J186" s="103">
        <f>VLOOKUP($A186,'OI(Volume)'!$A$7:$O$427,11)</f>
        <v>12798225</v>
      </c>
      <c r="K186" s="103">
        <f>VLOOKUP($A186,'OI(Volume)'!$A$7:$O$427,12)</f>
        <v>1503975</v>
      </c>
      <c r="L186" s="103">
        <f>VLOOKUP($A186,'OI(Value)'!$A$7:$O$306,8,0)</f>
        <v>1946</v>
      </c>
      <c r="M186" s="103">
        <f>VLOOKUP($A186,'OI(Value)'!$A$7:$O$306,9,0)</f>
        <v>306</v>
      </c>
      <c r="N186" s="103">
        <f>VLOOKUP($A186,'OI(Value)'!$A$7:$O$306,11,0)</f>
        <v>1111</v>
      </c>
      <c r="O186" s="103">
        <f>VLOOKUP($A186,'OI(Value)'!$A$7:$O$306,12,0)</f>
        <v>131</v>
      </c>
    </row>
    <row r="187" spans="1:15" x14ac:dyDescent="0.25">
      <c r="A187" s="105" t="str">
        <f>'Data shares'!C182</f>
        <v>SIEMENS</v>
      </c>
      <c r="B187" s="143">
        <f>VLOOKUP($A187,'Data shares'!$C:$FA,118)</f>
        <v>0.52</v>
      </c>
      <c r="C187" s="143">
        <f>VLOOKUP($A187,'Data shares'!$C:$FA,119)</f>
        <v>0.51</v>
      </c>
      <c r="D187" s="143">
        <f>VLOOKUP($A187,'Data shares'!$C:$FA,121)*100</f>
        <v>1.96</v>
      </c>
      <c r="E187" s="143">
        <f>VLOOKUP($A187,'Data shares'!$C:$FA,124)</f>
        <v>0.4</v>
      </c>
      <c r="F187" s="143">
        <f>VLOOKUP($A187,'Data shares'!$C:$FA,125)</f>
        <v>0.52</v>
      </c>
      <c r="G187" s="143">
        <f>VLOOKUP($A187,'Data shares'!$C:$FA,127)*100</f>
        <v>-23.080000000000002</v>
      </c>
      <c r="H187" s="103">
        <f>VLOOKUP($A187,'OI(Volume)'!$A$7:$O$427,8)</f>
        <v>2298950</v>
      </c>
      <c r="I187" s="103">
        <f>VLOOKUP($A187,'OI(Volume)'!$A$7:$O$427,9)</f>
        <v>-18975</v>
      </c>
      <c r="J187" s="103">
        <f>VLOOKUP($A187,'OI(Volume)'!$A$7:$O$427,11)</f>
        <v>1204050</v>
      </c>
      <c r="K187" s="103">
        <f>VLOOKUP($A187,'OI(Volume)'!$A$7:$O$427,12)</f>
        <v>11475</v>
      </c>
      <c r="L187" s="103">
        <f>VLOOKUP($A187,'OI(Value)'!$A$7:$O$306,8,0)</f>
        <v>725</v>
      </c>
      <c r="M187" s="103">
        <f>VLOOKUP($A187,'OI(Value)'!$A$7:$O$306,9,0)</f>
        <v>-6</v>
      </c>
      <c r="N187" s="103">
        <f>VLOOKUP($A187,'OI(Value)'!$A$7:$O$306,11,0)</f>
        <v>380</v>
      </c>
      <c r="O187" s="103">
        <f>VLOOKUP($A187,'OI(Value)'!$A$7:$O$306,12,0)</f>
        <v>4</v>
      </c>
    </row>
    <row r="188" spans="1:15" x14ac:dyDescent="0.25">
      <c r="A188" s="105" t="str">
        <f>'Data shares'!C183</f>
        <v>SOLARINDS</v>
      </c>
      <c r="B188" s="143">
        <f>VLOOKUP($A188,'Data shares'!$C:$FA,118)</f>
        <v>0.38</v>
      </c>
      <c r="C188" s="143">
        <f>VLOOKUP($A188,'Data shares'!$C:$FA,119)</f>
        <v>0.37</v>
      </c>
      <c r="D188" s="143">
        <f>VLOOKUP($A188,'Data shares'!$C:$FA,121)*100</f>
        <v>2.7</v>
      </c>
      <c r="E188" s="143">
        <f>VLOOKUP($A188,'Data shares'!$C:$FA,124)</f>
        <v>0.63</v>
      </c>
      <c r="F188" s="143">
        <f>VLOOKUP($A188,'Data shares'!$C:$FA,125)</f>
        <v>0.44</v>
      </c>
      <c r="G188" s="143">
        <f>VLOOKUP($A188,'Data shares'!$C:$FA,127)*100</f>
        <v>43.18</v>
      </c>
      <c r="H188" s="103">
        <f>VLOOKUP($A188,'OI(Volume)'!$A$7:$O$427,8)</f>
        <v>834425</v>
      </c>
      <c r="I188" s="103">
        <f>VLOOKUP($A188,'OI(Volume)'!$A$7:$O$427,9)</f>
        <v>30525</v>
      </c>
      <c r="J188" s="103">
        <f>VLOOKUP($A188,'OI(Volume)'!$A$7:$O$427,11)</f>
        <v>317250</v>
      </c>
      <c r="K188" s="103">
        <f>VLOOKUP($A188,'OI(Volume)'!$A$7:$O$427,12)</f>
        <v>20550</v>
      </c>
      <c r="L188" s="103">
        <f>VLOOKUP($A188,'OI(Value)'!$A$7:$O$306,8,0)</f>
        <v>987</v>
      </c>
      <c r="M188" s="103">
        <f>VLOOKUP($A188,'OI(Value)'!$A$7:$O$306,9,0)</f>
        <v>36</v>
      </c>
      <c r="N188" s="103">
        <f>VLOOKUP($A188,'OI(Value)'!$A$7:$O$306,11,0)</f>
        <v>375</v>
      </c>
      <c r="O188" s="103">
        <f>VLOOKUP($A188,'OI(Value)'!$A$7:$O$306,12,0)</f>
        <v>24</v>
      </c>
    </row>
    <row r="189" spans="1:15" x14ac:dyDescent="0.25">
      <c r="A189" s="105" t="str">
        <f>'Data shares'!C184</f>
        <v>SONACOMS</v>
      </c>
      <c r="B189" s="143">
        <f>VLOOKUP($A189,'Data shares'!$C:$FA,118)</f>
        <v>0.45</v>
      </c>
      <c r="C189" s="143">
        <f>VLOOKUP($A189,'Data shares'!$C:$FA,119)</f>
        <v>0.48</v>
      </c>
      <c r="D189" s="143">
        <f>VLOOKUP($A189,'Data shares'!$C:$FA,121)*100</f>
        <v>-6.25</v>
      </c>
      <c r="E189" s="143">
        <f>VLOOKUP($A189,'Data shares'!$C:$FA,124)</f>
        <v>0.27</v>
      </c>
      <c r="F189" s="143">
        <f>VLOOKUP($A189,'Data shares'!$C:$FA,125)</f>
        <v>0.43</v>
      </c>
      <c r="G189" s="143">
        <f>VLOOKUP($A189,'Data shares'!$C:$FA,127)*100</f>
        <v>-37.21</v>
      </c>
      <c r="H189" s="103">
        <f>VLOOKUP($A189,'OI(Volume)'!$A$7:$O$427,8)</f>
        <v>834425</v>
      </c>
      <c r="I189" s="103">
        <f>VLOOKUP($A189,'OI(Volume)'!$A$7:$O$427,9)</f>
        <v>30525</v>
      </c>
      <c r="J189" s="103">
        <f>VLOOKUP($A189,'OI(Volume)'!$A$7:$O$427,11)</f>
        <v>317250</v>
      </c>
      <c r="K189" s="103">
        <f>VLOOKUP($A189,'OI(Volume)'!$A$7:$O$427,12)</f>
        <v>20550</v>
      </c>
      <c r="L189" s="103"/>
      <c r="M189" s="103"/>
      <c r="N189" s="103"/>
      <c r="O189" s="103"/>
    </row>
    <row r="190" spans="1:15" x14ac:dyDescent="0.25">
      <c r="A190" s="105" t="str">
        <f>'Data shares'!C215</f>
        <v>ZYDUSLIFE</v>
      </c>
      <c r="B190" s="143">
        <f>VLOOKUP($A190,'Data shares'!$C:$FA,118)</f>
        <v>0.74</v>
      </c>
      <c r="C190" s="143">
        <f>VLOOKUP($A190,'Data shares'!$C:$FA,119)</f>
        <v>0.7</v>
      </c>
      <c r="D190" s="143">
        <f>VLOOKUP($A190,'Data shares'!$C:$FA,121)*100</f>
        <v>5.71</v>
      </c>
      <c r="E190" s="143">
        <f>VLOOKUP($A190,'Data shares'!$C:$FA,124)</f>
        <v>0.3</v>
      </c>
      <c r="F190" s="143">
        <f>VLOOKUP($A190,'Data shares'!$C:$FA,125)</f>
        <v>0.26</v>
      </c>
      <c r="G190" s="143">
        <f>VLOOKUP($A190,'Data shares'!$C:$FA,127)*100</f>
        <v>15.379999999999999</v>
      </c>
      <c r="H190" s="103">
        <f>VLOOKUP($A190,'OI(Volume)'!$A$7:$O$427,8)</f>
        <v>0</v>
      </c>
      <c r="I190" s="103">
        <f>VLOOKUP($A190,'OI(Volume)'!$A$7:$O$427,9)</f>
        <v>0</v>
      </c>
      <c r="J190" s="103">
        <f>VLOOKUP($A190,'OI(Volume)'!$A$7:$O$427,11)</f>
        <v>0</v>
      </c>
      <c r="K190" s="103">
        <f>VLOOKUP($A190,'OI(Volume)'!$A$7:$O$427,12)</f>
        <v>0</v>
      </c>
      <c r="L190" s="103">
        <f>VLOOKUP($A190,'OI(Value)'!$A$7:$O$306,8,0)</f>
        <v>403</v>
      </c>
      <c r="M190" s="103">
        <f>VLOOKUP($A190,'OI(Value)'!$A$7:$O$306,9,0)</f>
        <v>-18</v>
      </c>
      <c r="N190" s="103">
        <f>VLOOKUP($A190,'OI(Value)'!$A$7:$O$306,11,0)</f>
        <v>297</v>
      </c>
      <c r="O190" s="103">
        <f>VLOOKUP($A190,'OI(Value)'!$A$7:$O$306,12,0)</f>
        <v>0</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6316381548</v>
      </c>
      <c r="I192" s="135">
        <f t="shared" si="0"/>
        <v>66439198</v>
      </c>
      <c r="J192" s="135">
        <f t="shared" si="0"/>
        <v>3799630951</v>
      </c>
      <c r="K192" s="135">
        <f t="shared" si="0"/>
        <v>76909587</v>
      </c>
      <c r="L192" s="135">
        <f t="shared" si="0"/>
        <v>1007349</v>
      </c>
      <c r="M192" s="135">
        <f t="shared" si="0"/>
        <v>202476</v>
      </c>
      <c r="N192" s="135">
        <f t="shared" si="0"/>
        <v>731883</v>
      </c>
      <c r="O192" s="135">
        <f t="shared" si="0"/>
        <v>90427</v>
      </c>
    </row>
    <row r="193" spans="1:15" x14ac:dyDescent="0.25">
      <c r="A193" s="126" t="s">
        <v>415</v>
      </c>
      <c r="B193" s="136"/>
      <c r="C193" s="136"/>
      <c r="D193" s="136"/>
      <c r="E193" s="136"/>
      <c r="F193" s="136"/>
      <c r="G193" s="136"/>
      <c r="H193" s="137">
        <f>H192/10000000</f>
        <v>631.63815480000005</v>
      </c>
      <c r="I193" s="137">
        <f>I192/10000000</f>
        <v>6.6439197999999999</v>
      </c>
      <c r="J193" s="137">
        <f>J192/10000000</f>
        <v>379.96309509999998</v>
      </c>
      <c r="K193" s="137">
        <f>K192/10000000</f>
        <v>7.6909587000000004</v>
      </c>
      <c r="L193" s="138">
        <f>L192</f>
        <v>1007349</v>
      </c>
      <c r="M193" s="138">
        <f>M192</f>
        <v>202476</v>
      </c>
      <c r="N193" s="138">
        <f>N192</f>
        <v>731883</v>
      </c>
      <c r="O193" s="138">
        <f>O192</f>
        <v>90427</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2025-12-18T03:26:52Z</dcterms:modified>
</cp:coreProperties>
</file>